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v.skagit.edu\datastor\EmpDoc\Kim.Cook\My Documents\Accreditation\2017\2017 Exhibits\"/>
    </mc:Choice>
  </mc:AlternateContent>
  <bookViews>
    <workbookView xWindow="240" yWindow="150" windowWidth="24240" windowHeight="12210"/>
  </bookViews>
  <sheets>
    <sheet name="Yield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9" i="1" l="1"/>
  <c r="J19" i="1" l="1"/>
  <c r="I4" i="1" l="1"/>
  <c r="I20" i="1" l="1"/>
  <c r="I19" i="1"/>
  <c r="H20" i="1" l="1"/>
  <c r="H19" i="1"/>
  <c r="G20" i="1" l="1"/>
  <c r="R31" i="1" l="1"/>
  <c r="Q31" i="1"/>
  <c r="P31" i="1"/>
  <c r="O31" i="1"/>
  <c r="N31" i="1"/>
  <c r="M31" i="1"/>
  <c r="L31" i="1"/>
  <c r="K31" i="1"/>
  <c r="L30" i="1"/>
  <c r="K30" i="1"/>
  <c r="J30" i="1"/>
  <c r="J31" i="1" s="1"/>
  <c r="N27" i="1"/>
  <c r="L27" i="1"/>
  <c r="K27" i="1"/>
  <c r="J27" i="1"/>
  <c r="R26" i="1"/>
  <c r="R27" i="1" s="1"/>
  <c r="Q26" i="1"/>
  <c r="Q27" i="1" s="1"/>
  <c r="P26" i="1"/>
  <c r="P27" i="1" s="1"/>
  <c r="O26" i="1"/>
  <c r="O27" i="1" s="1"/>
  <c r="M26" i="1"/>
  <c r="M27" i="1" s="1"/>
  <c r="I26" i="1"/>
  <c r="I27" i="1" s="1"/>
  <c r="H26" i="1"/>
  <c r="G26" i="1"/>
  <c r="H25" i="1"/>
  <c r="G25" i="1"/>
  <c r="G27" i="1" l="1"/>
  <c r="H27" i="1"/>
  <c r="R20" i="1"/>
  <c r="Q20" i="1" l="1"/>
  <c r="P20" i="1" l="1"/>
  <c r="O20" i="1" l="1"/>
  <c r="N20" i="1" l="1"/>
  <c r="M20" i="1" l="1"/>
  <c r="L20" i="1" l="1"/>
  <c r="K20" i="1" l="1"/>
  <c r="J20" i="1" l="1"/>
  <c r="R37" i="1" l="1"/>
  <c r="H37" i="1"/>
  <c r="G37" i="1"/>
  <c r="R36" i="1"/>
  <c r="Q36" i="1"/>
  <c r="O36" i="1"/>
  <c r="N36" i="1"/>
  <c r="M36" i="1"/>
  <c r="L36" i="1"/>
  <c r="K36" i="1"/>
  <c r="J36" i="1"/>
  <c r="I36" i="1"/>
  <c r="R35" i="1"/>
  <c r="Q35" i="1"/>
  <c r="Q37" i="1" s="1"/>
  <c r="P35" i="1"/>
  <c r="P37" i="1" s="1"/>
  <c r="O35" i="1"/>
  <c r="N35" i="1"/>
  <c r="M35" i="1"/>
  <c r="L35" i="1"/>
  <c r="K35" i="1"/>
  <c r="J35" i="1"/>
  <c r="I35" i="1"/>
  <c r="I37" i="1" s="1"/>
  <c r="R41" i="1"/>
  <c r="Q41" i="1"/>
  <c r="K41" i="1"/>
  <c r="J41" i="1"/>
  <c r="P40" i="1"/>
  <c r="P41" i="1" s="1"/>
  <c r="O40" i="1"/>
  <c r="O41" i="1" s="1"/>
  <c r="N40" i="1"/>
  <c r="N41" i="1" s="1"/>
  <c r="M40" i="1"/>
  <c r="M41" i="1" s="1"/>
  <c r="L40" i="1"/>
  <c r="L41" i="1" s="1"/>
  <c r="I40" i="1"/>
  <c r="I41" i="1" s="1"/>
  <c r="L37" i="1" l="1"/>
  <c r="J37" i="1"/>
  <c r="K37" i="1"/>
  <c r="O37" i="1"/>
  <c r="M37" i="1"/>
  <c r="N37" i="1"/>
  <c r="R47" i="1" l="1"/>
  <c r="Q47" i="1"/>
  <c r="P47" i="1"/>
  <c r="O47" i="1"/>
  <c r="N47" i="1"/>
  <c r="M47" i="1"/>
  <c r="L47" i="1"/>
  <c r="K47" i="1"/>
  <c r="J47" i="1"/>
  <c r="I47" i="1"/>
  <c r="H47" i="1"/>
  <c r="G47" i="1"/>
  <c r="J61" i="1" l="1"/>
  <c r="I61" i="1"/>
  <c r="K61" i="1"/>
  <c r="L61" i="1"/>
  <c r="M61" i="1"/>
  <c r="N61" i="1"/>
  <c r="O61" i="1"/>
  <c r="P61" i="1"/>
  <c r="Q61" i="1"/>
  <c r="R61" i="1"/>
  <c r="R54" i="1" l="1"/>
  <c r="Q54" i="1"/>
  <c r="P54" i="1"/>
  <c r="O54" i="1"/>
  <c r="N54" i="1"/>
  <c r="M54" i="1"/>
  <c r="L54" i="1"/>
  <c r="K54" i="1"/>
  <c r="J54" i="1"/>
  <c r="I54" i="1"/>
  <c r="H54" i="1"/>
  <c r="G54" i="1"/>
  <c r="R6" i="1" l="1"/>
  <c r="R11" i="1" l="1"/>
  <c r="Q11" i="1" l="1"/>
  <c r="Q6" i="1"/>
  <c r="P11" i="1" l="1"/>
  <c r="P6" i="1"/>
  <c r="O11" i="1"/>
  <c r="O6" i="1"/>
  <c r="N6" i="1" l="1"/>
  <c r="N11" i="1" l="1"/>
  <c r="M6" i="1"/>
  <c r="M11" i="1"/>
  <c r="L6" i="1"/>
  <c r="L11" i="1"/>
  <c r="K11" i="1"/>
  <c r="K6" i="1"/>
  <c r="J6" i="1" l="1"/>
  <c r="J11" i="1" l="1"/>
  <c r="I6" i="1"/>
  <c r="I11" i="1"/>
  <c r="H11" i="1"/>
  <c r="H6" i="1"/>
  <c r="G6" i="1" l="1"/>
  <c r="G11" i="1"/>
</calcChain>
</file>

<file path=xl/sharedStrings.xml><?xml version="1.0" encoding="utf-8"?>
<sst xmlns="http://schemas.openxmlformats.org/spreadsheetml/2006/main" count="116" uniqueCount="103">
  <si>
    <t>Actual Tuition Yield compared to Budgeted Yield</t>
  </si>
  <si>
    <t>Actual Yield</t>
  </si>
  <si>
    <t>Budgeted Yield</t>
  </si>
  <si>
    <t>Actual tuition collections</t>
  </si>
  <si>
    <t>divided by most current enrollments</t>
  </si>
  <si>
    <t>not including Winter enrollments</t>
  </si>
  <si>
    <t>including Winter Enrollments</t>
  </si>
  <si>
    <t>July 1314</t>
  </si>
  <si>
    <t>August 1314</t>
  </si>
  <si>
    <t>September 1314</t>
  </si>
  <si>
    <t>October 1314</t>
  </si>
  <si>
    <t>November 1314</t>
  </si>
  <si>
    <t>December 1314</t>
  </si>
  <si>
    <t>January 1314</t>
  </si>
  <si>
    <t>February 1314</t>
  </si>
  <si>
    <t>March 1314</t>
  </si>
  <si>
    <t>April 1314</t>
  </si>
  <si>
    <t>May 1314</t>
  </si>
  <si>
    <t>June 1314</t>
  </si>
  <si>
    <t>July 1213</t>
  </si>
  <si>
    <t>August 1213</t>
  </si>
  <si>
    <t>September 1213</t>
  </si>
  <si>
    <t>October 1213</t>
  </si>
  <si>
    <t>November 1213</t>
  </si>
  <si>
    <t>December 1213</t>
  </si>
  <si>
    <t>January 1213</t>
  </si>
  <si>
    <t>February 1213</t>
  </si>
  <si>
    <t>March 1213</t>
  </si>
  <si>
    <t>April 1213</t>
  </si>
  <si>
    <t>May 1213</t>
  </si>
  <si>
    <t>June 1213</t>
  </si>
  <si>
    <t>September 1112</t>
  </si>
  <si>
    <t>October 1112</t>
  </si>
  <si>
    <t>November 1112</t>
  </si>
  <si>
    <t>December 1112</t>
  </si>
  <si>
    <t>January 1112</t>
  </si>
  <si>
    <t>February 1112</t>
  </si>
  <si>
    <t>March 1112</t>
  </si>
  <si>
    <t>April 1112</t>
  </si>
  <si>
    <t>May 1112</t>
  </si>
  <si>
    <t>June 1112</t>
  </si>
  <si>
    <t>July 1415</t>
  </si>
  <si>
    <t>August 1415</t>
  </si>
  <si>
    <t>September 1415</t>
  </si>
  <si>
    <t>October 1415</t>
  </si>
  <si>
    <t>November 1415</t>
  </si>
  <si>
    <t>December 1415</t>
  </si>
  <si>
    <t>January 1415</t>
  </si>
  <si>
    <t>February 1415</t>
  </si>
  <si>
    <t>March 1415</t>
  </si>
  <si>
    <t>April 1415</t>
  </si>
  <si>
    <t>May 1415</t>
  </si>
  <si>
    <t>June 1415</t>
  </si>
  <si>
    <t>Actual tuition collections (lower division only)</t>
  </si>
  <si>
    <t>BAS Tuition total (upper division)</t>
  </si>
  <si>
    <t>divided by most current enrollments (lower division only)</t>
  </si>
  <si>
    <t>Actual budgeted tuition in budget book (lower diviison only)</t>
  </si>
  <si>
    <t>BAS FTEs</t>
  </si>
  <si>
    <t>BAS Yield</t>
  </si>
  <si>
    <t>November 2014 Oustanding Agency Receivables</t>
  </si>
  <si>
    <t>NW Workforce Development Council</t>
  </si>
  <si>
    <t>Electricians</t>
  </si>
  <si>
    <t>Child Care Aware of WA</t>
  </si>
  <si>
    <t>Carpenters Apprentice</t>
  </si>
  <si>
    <t>Chapter 31</t>
  </si>
  <si>
    <t>Commanding Officer</t>
  </si>
  <si>
    <t>Employment Security</t>
  </si>
  <si>
    <t>Dept of Voc Rehab</t>
  </si>
  <si>
    <t>L&amp;I</t>
  </si>
  <si>
    <t>July 1516</t>
  </si>
  <si>
    <t>August 1516</t>
  </si>
  <si>
    <t>September 1516</t>
  </si>
  <si>
    <t>October 1516</t>
  </si>
  <si>
    <t>November 1516</t>
  </si>
  <si>
    <t>December 1516</t>
  </si>
  <si>
    <t>January 1516</t>
  </si>
  <si>
    <t>February 1516</t>
  </si>
  <si>
    <t>March 1516</t>
  </si>
  <si>
    <t>April 1516</t>
  </si>
  <si>
    <t>May 1516</t>
  </si>
  <si>
    <t>June 1516</t>
  </si>
  <si>
    <t>divided by most current enrollments (State Annualized FTEs)</t>
  </si>
  <si>
    <t>x</t>
  </si>
  <si>
    <t>Actual tuition collections (total operating)</t>
  </si>
  <si>
    <t>not including spring enrollments</t>
  </si>
  <si>
    <t>BAS tuition collections only - fee code I from GA2109 in HalfFile</t>
  </si>
  <si>
    <t>BAS FTEs - (quarterly Targeted FTE report in Tableau)</t>
  </si>
  <si>
    <t>July 1617</t>
  </si>
  <si>
    <t>August 1617</t>
  </si>
  <si>
    <t>September 1617</t>
  </si>
  <si>
    <t>October 1617</t>
  </si>
  <si>
    <t>November 1617</t>
  </si>
  <si>
    <t>December 1617</t>
  </si>
  <si>
    <t>January 1617</t>
  </si>
  <si>
    <t>February 1617</t>
  </si>
  <si>
    <t>March 1617</t>
  </si>
  <si>
    <t>April 1617</t>
  </si>
  <si>
    <t>May 1617</t>
  </si>
  <si>
    <t>June 1617</t>
  </si>
  <si>
    <t>3857 FTEs - used the state target for the year</t>
  </si>
  <si>
    <t>BAS FTEs - (quarterly Targeted FTE report in Tableau divided by 3 to annualize)</t>
  </si>
  <si>
    <t>International Contract Student Revenues</t>
  </si>
  <si>
    <t>(145-111-3000)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</si>
</sst>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Alignment="1">
      <alignment horizontal="right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/>
    <xf numFmtId="3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Fill="1" applyBorder="1"/>
    <xf numFmtId="3" fontId="0" fillId="0" borderId="0" xfId="0" applyNumberFormat="1"/>
    <xf numFmtId="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4" fontId="1" fillId="0" borderId="0" xfId="0" applyNumberFormat="1" applyFont="1"/>
    <xf numFmtId="43" fontId="0" fillId="0" borderId="0" xfId="0" applyNumberFormat="1"/>
    <xf numFmtId="43" fontId="0" fillId="0" borderId="1" xfId="0" applyNumberFormat="1" applyBorder="1"/>
    <xf numFmtId="4" fontId="2" fillId="0" borderId="1" xfId="0" applyNumberFormat="1" applyFont="1" applyFill="1" applyBorder="1"/>
    <xf numFmtId="0" fontId="0" fillId="0" borderId="0" xfId="0" applyBorder="1"/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0" fillId="0" borderId="0" xfId="0"/>
    <xf numFmtId="41" fontId="0" fillId="0" borderId="0" xfId="0" applyNumberFormat="1"/>
    <xf numFmtId="41" fontId="0" fillId="0" borderId="1" xfId="0" applyNumberFormat="1" applyBorder="1"/>
    <xf numFmtId="164" fontId="0" fillId="0" borderId="1" xfId="0" applyNumberFormat="1" applyBorder="1"/>
    <xf numFmtId="165" fontId="2" fillId="0" borderId="1" xfId="0" applyNumberFormat="1" applyFont="1" applyBorder="1"/>
    <xf numFmtId="165" fontId="2" fillId="0" borderId="1" xfId="0" applyNumberFormat="1" applyFont="1" applyFill="1" applyBorder="1"/>
    <xf numFmtId="2" fontId="0" fillId="0" borderId="0" xfId="0" applyNumberFormat="1" applyBorder="1"/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0" fillId="2" borderId="6" xfId="0" applyFill="1" applyBorder="1"/>
    <xf numFmtId="0" fontId="2" fillId="2" borderId="5" xfId="0" applyFont="1" applyFill="1" applyBorder="1"/>
    <xf numFmtId="0" fontId="2" fillId="2" borderId="0" xfId="0" applyFont="1" applyFill="1" applyBorder="1"/>
    <xf numFmtId="165" fontId="2" fillId="2" borderId="0" xfId="0" applyNumberFormat="1" applyFont="1" applyFill="1" applyBorder="1"/>
    <xf numFmtId="0" fontId="2" fillId="2" borderId="6" xfId="0" applyFont="1" applyFill="1" applyBorder="1"/>
    <xf numFmtId="165" fontId="2" fillId="2" borderId="1" xfId="0" applyNumberFormat="1" applyFont="1" applyFill="1" applyBorder="1"/>
    <xf numFmtId="0" fontId="0" fillId="2" borderId="0" xfId="0" applyFill="1" applyBorder="1" applyAlignment="1">
      <alignment horizontal="right"/>
    </xf>
    <xf numFmtId="165" fontId="0" fillId="2" borderId="0" xfId="0" applyNumberFormat="1" applyFill="1" applyBorder="1"/>
    <xf numFmtId="4" fontId="2" fillId="2" borderId="7" xfId="0" applyNumberFormat="1" applyFont="1" applyFill="1" applyBorder="1"/>
    <xf numFmtId="165" fontId="0" fillId="2" borderId="1" xfId="0" applyNumberFormat="1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3" fillId="0" borderId="0" xfId="0" applyFont="1" applyAlignment="1">
      <alignment horizontal="right"/>
    </xf>
    <xf numFmtId="0" fontId="3" fillId="0" borderId="0" xfId="0" applyFont="1"/>
    <xf numFmtId="165" fontId="0" fillId="2" borderId="1" xfId="0" applyNumberFormat="1" applyFont="1" applyFill="1" applyBorder="1"/>
    <xf numFmtId="0" fontId="0" fillId="0" borderId="0" xfId="0" applyFill="1" applyBorder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1" xfId="0" applyNumberFormat="1" applyFont="1" applyFill="1" applyBorder="1"/>
    <xf numFmtId="4" fontId="0" fillId="0" borderId="0" xfId="0" applyNumberFormat="1" applyFill="1" applyBorder="1"/>
    <xf numFmtId="0" fontId="2" fillId="2" borderId="5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workbookViewId="0">
      <selection activeCell="K4" sqref="K4"/>
    </sheetView>
  </sheetViews>
  <sheetFormatPr defaultRowHeight="15" x14ac:dyDescent="0.25"/>
  <cols>
    <col min="2" max="2" width="9.7109375" customWidth="1"/>
    <col min="3" max="3" width="9" customWidth="1"/>
    <col min="5" max="5" width="5.42578125" customWidth="1"/>
    <col min="6" max="6" width="9" customWidth="1"/>
    <col min="7" max="7" width="15.42578125" bestFit="1" customWidth="1"/>
    <col min="8" max="8" width="13.28515625" bestFit="1" customWidth="1"/>
    <col min="9" max="9" width="15.42578125" bestFit="1" customWidth="1"/>
    <col min="10" max="10" width="15.140625" bestFit="1" customWidth="1"/>
    <col min="11" max="11" width="16.42578125" customWidth="1"/>
    <col min="12" max="12" width="15" bestFit="1" customWidth="1"/>
    <col min="13" max="13" width="14.7109375" bestFit="1" customWidth="1"/>
    <col min="14" max="15" width="13.42578125" bestFit="1" customWidth="1"/>
    <col min="16" max="18" width="12.7109375" bestFit="1" customWidth="1"/>
  </cols>
  <sheetData>
    <row r="1" spans="1:19" x14ac:dyDescent="0.25">
      <c r="A1" s="1" t="s">
        <v>0</v>
      </c>
    </row>
    <row r="2" spans="1:19" ht="45" x14ac:dyDescent="0.25">
      <c r="A2" s="1"/>
      <c r="B2" s="33"/>
      <c r="C2" s="34"/>
      <c r="D2" s="34"/>
      <c r="E2" s="34"/>
      <c r="F2" s="34"/>
      <c r="G2" s="34"/>
      <c r="H2" s="34"/>
      <c r="I2" s="34"/>
      <c r="J2" s="35" t="s">
        <v>5</v>
      </c>
      <c r="K2" s="35" t="s">
        <v>5</v>
      </c>
      <c r="L2" s="35" t="s">
        <v>6</v>
      </c>
      <c r="M2" s="36"/>
      <c r="N2" s="36" t="s">
        <v>84</v>
      </c>
      <c r="O2" s="34"/>
      <c r="P2" s="34"/>
      <c r="Q2" s="34"/>
      <c r="R2" s="34"/>
      <c r="S2" s="37"/>
    </row>
    <row r="3" spans="1:19" x14ac:dyDescent="0.25">
      <c r="A3" s="1"/>
      <c r="B3" s="38"/>
      <c r="C3" s="39"/>
      <c r="D3" s="39"/>
      <c r="E3" s="39"/>
      <c r="F3" s="39"/>
      <c r="G3" s="40" t="s">
        <v>87</v>
      </c>
      <c r="H3" s="40" t="s">
        <v>88</v>
      </c>
      <c r="I3" s="41" t="s">
        <v>89</v>
      </c>
      <c r="J3" s="41" t="s">
        <v>90</v>
      </c>
      <c r="K3" s="41" t="s">
        <v>91</v>
      </c>
      <c r="L3" s="41" t="s">
        <v>92</v>
      </c>
      <c r="M3" s="41" t="s">
        <v>93</v>
      </c>
      <c r="N3" s="41" t="s">
        <v>94</v>
      </c>
      <c r="O3" s="41" t="s">
        <v>95</v>
      </c>
      <c r="P3" s="41" t="s">
        <v>96</v>
      </c>
      <c r="Q3" s="41" t="s">
        <v>97</v>
      </c>
      <c r="R3" s="41" t="s">
        <v>98</v>
      </c>
      <c r="S3" s="42"/>
    </row>
    <row r="4" spans="1:19" s="6" customFormat="1" x14ac:dyDescent="0.25">
      <c r="B4" s="43" t="s">
        <v>83</v>
      </c>
      <c r="C4" s="44"/>
      <c r="D4" s="44"/>
      <c r="E4" s="44"/>
      <c r="F4" s="44"/>
      <c r="G4" s="45">
        <v>1049858</v>
      </c>
      <c r="H4" s="45">
        <v>2181813.09</v>
      </c>
      <c r="I4" s="45">
        <f>3398324</f>
        <v>3398324</v>
      </c>
      <c r="J4" s="45">
        <v>3469740.32</v>
      </c>
      <c r="K4" s="45">
        <v>3917642.82</v>
      </c>
      <c r="L4" s="45"/>
      <c r="M4" s="45"/>
      <c r="N4" s="45"/>
      <c r="O4" s="45"/>
      <c r="P4" s="45"/>
      <c r="Q4" s="45"/>
      <c r="R4" s="45"/>
      <c r="S4" s="46"/>
    </row>
    <row r="5" spans="1:19" s="6" customFormat="1" ht="33.75" customHeight="1" x14ac:dyDescent="0.25">
      <c r="B5" s="68" t="s">
        <v>81</v>
      </c>
      <c r="C5" s="69"/>
      <c r="D5" s="69"/>
      <c r="E5" s="69"/>
      <c r="F5" s="69"/>
      <c r="G5" s="47">
        <v>350.7</v>
      </c>
      <c r="H5" s="47">
        <v>1297.0999999999999</v>
      </c>
      <c r="I5" s="47">
        <v>1376.4</v>
      </c>
      <c r="J5" s="47">
        <v>1428.8</v>
      </c>
      <c r="K5" s="47">
        <v>1454.7</v>
      </c>
      <c r="L5" s="47"/>
      <c r="M5" s="47"/>
      <c r="N5" s="47"/>
      <c r="O5" s="47"/>
      <c r="P5" s="47"/>
      <c r="Q5" s="47"/>
      <c r="R5" s="47"/>
      <c r="S5" s="46"/>
    </row>
    <row r="6" spans="1:19" x14ac:dyDescent="0.25">
      <c r="B6" s="38"/>
      <c r="C6" s="39"/>
      <c r="D6" s="39"/>
      <c r="E6" s="39"/>
      <c r="F6" s="48" t="s">
        <v>1</v>
      </c>
      <c r="G6" s="49">
        <f t="shared" ref="G6:K6" si="0">G4/G5</f>
        <v>2993.6070715711435</v>
      </c>
      <c r="H6" s="49">
        <f t="shared" si="0"/>
        <v>1682.070071698404</v>
      </c>
      <c r="I6" s="49">
        <f t="shared" si="0"/>
        <v>2468.994478349317</v>
      </c>
      <c r="J6" s="49">
        <f t="shared" si="0"/>
        <v>2428.4296752519595</v>
      </c>
      <c r="K6" s="49">
        <f t="shared" si="0"/>
        <v>2693.093297587131</v>
      </c>
      <c r="L6" s="49" t="e">
        <f t="shared" ref="L6:R6" si="1">L4/L5</f>
        <v>#DIV/0!</v>
      </c>
      <c r="M6" s="49" t="e">
        <f t="shared" si="1"/>
        <v>#DIV/0!</v>
      </c>
      <c r="N6" s="49" t="e">
        <f t="shared" si="1"/>
        <v>#DIV/0!</v>
      </c>
      <c r="O6" s="49" t="e">
        <f t="shared" si="1"/>
        <v>#DIV/0!</v>
      </c>
      <c r="P6" s="49" t="e">
        <f t="shared" si="1"/>
        <v>#DIV/0!</v>
      </c>
      <c r="Q6" s="49" t="e">
        <f t="shared" si="1"/>
        <v>#DIV/0!</v>
      </c>
      <c r="R6" s="49" t="e">
        <f t="shared" si="1"/>
        <v>#DIV/0!</v>
      </c>
      <c r="S6" s="42"/>
    </row>
    <row r="7" spans="1:19" x14ac:dyDescent="0.25">
      <c r="B7" s="38"/>
      <c r="C7" s="39"/>
      <c r="D7" s="39"/>
      <c r="E7" s="39"/>
      <c r="F7" s="3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2"/>
    </row>
    <row r="8" spans="1:19" x14ac:dyDescent="0.25">
      <c r="B8" s="38"/>
      <c r="C8" s="39"/>
      <c r="D8" s="39"/>
      <c r="E8" s="39"/>
      <c r="F8" s="3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2"/>
    </row>
    <row r="9" spans="1:19" ht="31.5" customHeight="1" x14ac:dyDescent="0.25">
      <c r="B9" s="70" t="s">
        <v>56</v>
      </c>
      <c r="C9" s="69"/>
      <c r="D9" s="69"/>
      <c r="E9" s="69"/>
      <c r="F9" s="69"/>
      <c r="G9" s="49">
        <v>10795158</v>
      </c>
      <c r="H9" s="49">
        <v>10795158</v>
      </c>
      <c r="I9" s="49">
        <v>10795158</v>
      </c>
      <c r="J9" s="49">
        <v>10795158</v>
      </c>
      <c r="K9" s="49">
        <v>10795158</v>
      </c>
      <c r="L9" s="49">
        <v>10795158</v>
      </c>
      <c r="M9" s="49">
        <v>10795158</v>
      </c>
      <c r="N9" s="49">
        <v>10795158</v>
      </c>
      <c r="O9" s="49">
        <v>10795158</v>
      </c>
      <c r="P9" s="49">
        <v>10795158</v>
      </c>
      <c r="Q9" s="49">
        <v>10795158</v>
      </c>
      <c r="R9" s="49">
        <v>10795158</v>
      </c>
      <c r="S9" s="42"/>
    </row>
    <row r="10" spans="1:19" s="6" customFormat="1" x14ac:dyDescent="0.25">
      <c r="A10" s="55"/>
      <c r="B10" s="43" t="s">
        <v>99</v>
      </c>
      <c r="C10" s="44"/>
      <c r="D10" s="44"/>
      <c r="E10" s="44"/>
      <c r="F10" s="44"/>
      <c r="G10" s="47">
        <v>3857</v>
      </c>
      <c r="H10" s="47">
        <v>3857</v>
      </c>
      <c r="I10" s="47">
        <v>3857</v>
      </c>
      <c r="J10" s="47">
        <v>3857</v>
      </c>
      <c r="K10" s="47">
        <v>3857</v>
      </c>
      <c r="L10" s="47">
        <v>3857</v>
      </c>
      <c r="M10" s="47">
        <v>3857</v>
      </c>
      <c r="N10" s="47">
        <v>3857</v>
      </c>
      <c r="O10" s="47">
        <v>3857</v>
      </c>
      <c r="P10" s="47">
        <v>3857</v>
      </c>
      <c r="Q10" s="47">
        <v>3857</v>
      </c>
      <c r="R10" s="47">
        <v>3857</v>
      </c>
      <c r="S10" s="50"/>
    </row>
    <row r="11" spans="1:19" x14ac:dyDescent="0.25">
      <c r="B11" s="38"/>
      <c r="C11" s="39"/>
      <c r="D11" s="39"/>
      <c r="E11" s="39"/>
      <c r="F11" s="48" t="s">
        <v>2</v>
      </c>
      <c r="G11" s="49">
        <f t="shared" ref="G11:H11" si="2">G9/G10</f>
        <v>2798.8483277158412</v>
      </c>
      <c r="H11" s="49">
        <f t="shared" si="2"/>
        <v>2798.8483277158412</v>
      </c>
      <c r="I11" s="49">
        <f t="shared" ref="I11:J11" si="3">I9/I10</f>
        <v>2798.8483277158412</v>
      </c>
      <c r="J11" s="49">
        <f t="shared" si="3"/>
        <v>2798.8483277158412</v>
      </c>
      <c r="K11" s="49">
        <f t="shared" ref="K11:L11" si="4">K9/K10</f>
        <v>2798.8483277158412</v>
      </c>
      <c r="L11" s="49">
        <f t="shared" si="4"/>
        <v>2798.8483277158412</v>
      </c>
      <c r="M11" s="49">
        <f t="shared" ref="M11:N11" si="5">M9/M10</f>
        <v>2798.8483277158412</v>
      </c>
      <c r="N11" s="49">
        <f t="shared" si="5"/>
        <v>2798.8483277158412</v>
      </c>
      <c r="O11" s="49">
        <f t="shared" ref="O11:P11" si="6">O9/O10</f>
        <v>2798.8483277158412</v>
      </c>
      <c r="P11" s="49">
        <f t="shared" si="6"/>
        <v>2798.8483277158412</v>
      </c>
      <c r="Q11" s="49">
        <f t="shared" ref="Q11:R11" si="7">Q9/Q10</f>
        <v>2798.8483277158412</v>
      </c>
      <c r="R11" s="49">
        <f t="shared" si="7"/>
        <v>2798.8483277158412</v>
      </c>
      <c r="S11" s="42"/>
    </row>
    <row r="12" spans="1:19" s="26" customFormat="1" x14ac:dyDescent="0.25">
      <c r="B12" s="38"/>
      <c r="C12" s="39"/>
      <c r="D12" s="39"/>
      <c r="E12" s="39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2"/>
    </row>
    <row r="13" spans="1:19" s="26" customFormat="1" x14ac:dyDescent="0.25">
      <c r="B13" s="38"/>
      <c r="C13" s="39"/>
      <c r="D13" s="39"/>
      <c r="E13" s="39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2"/>
    </row>
    <row r="14" spans="1:19" s="26" customFormat="1" x14ac:dyDescent="0.25">
      <c r="B14" s="38" t="s">
        <v>101</v>
      </c>
      <c r="C14" s="39"/>
      <c r="D14" s="39"/>
      <c r="E14" s="39"/>
      <c r="F14" s="48"/>
      <c r="G14" s="49"/>
      <c r="H14" s="49"/>
      <c r="I14" s="49">
        <v>553105</v>
      </c>
      <c r="J14" s="49">
        <v>573793</v>
      </c>
      <c r="K14" s="49">
        <v>815834</v>
      </c>
      <c r="L14" s="49"/>
      <c r="M14" s="49"/>
      <c r="N14" s="49"/>
      <c r="O14" s="49"/>
      <c r="P14" s="49"/>
      <c r="Q14" s="49"/>
      <c r="R14" s="49"/>
      <c r="S14" s="42"/>
    </row>
    <row r="15" spans="1:19" s="26" customFormat="1" x14ac:dyDescent="0.25">
      <c r="B15" s="38" t="s">
        <v>102</v>
      </c>
      <c r="C15" s="39"/>
      <c r="D15" s="39"/>
      <c r="E15" s="39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2"/>
    </row>
    <row r="16" spans="1:19" s="26" customFormat="1" x14ac:dyDescent="0.25">
      <c r="B16" s="38"/>
      <c r="C16" s="39"/>
      <c r="D16" s="39"/>
      <c r="E16" s="39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2"/>
    </row>
    <row r="17" spans="1:19" s="26" customFormat="1" x14ac:dyDescent="0.25">
      <c r="B17" s="38"/>
      <c r="C17" s="39"/>
      <c r="D17" s="39"/>
      <c r="E17" s="39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2"/>
    </row>
    <row r="18" spans="1:19" s="26" customFormat="1" x14ac:dyDescent="0.25">
      <c r="B18" s="38" t="s">
        <v>85</v>
      </c>
      <c r="C18" s="39"/>
      <c r="D18" s="39"/>
      <c r="E18" s="39"/>
      <c r="F18" s="48"/>
      <c r="G18" s="49">
        <v>662.26</v>
      </c>
      <c r="H18" s="49">
        <v>7703.52</v>
      </c>
      <c r="I18" s="49">
        <v>27428.53</v>
      </c>
      <c r="J18" s="49">
        <v>32953.46</v>
      </c>
      <c r="K18" s="49">
        <v>36308.800000000003</v>
      </c>
      <c r="L18" s="49"/>
      <c r="M18" s="49"/>
      <c r="N18" s="49"/>
      <c r="O18" s="49"/>
      <c r="P18" s="49"/>
      <c r="Q18" s="49"/>
      <c r="R18" s="49"/>
      <c r="S18" s="42"/>
    </row>
    <row r="19" spans="1:19" s="26" customFormat="1" ht="30" customHeight="1" x14ac:dyDescent="0.25">
      <c r="A19" s="55" t="s">
        <v>82</v>
      </c>
      <c r="B19" s="70" t="s">
        <v>100</v>
      </c>
      <c r="C19" s="75"/>
      <c r="D19" s="75"/>
      <c r="E19" s="75"/>
      <c r="F19" s="75"/>
      <c r="G19" s="51">
        <v>1.67</v>
      </c>
      <c r="H19" s="51">
        <f>(1.67+12.67)/3</f>
        <v>4.78</v>
      </c>
      <c r="I19" s="51">
        <f>(1.67+17.53)/3</f>
        <v>6.4000000000000012</v>
      </c>
      <c r="J19" s="51">
        <f>(1.67+17.53)/3</f>
        <v>6.4000000000000012</v>
      </c>
      <c r="K19" s="57">
        <f>(1.67+18.53)/3</f>
        <v>6.7333333333333343</v>
      </c>
      <c r="L19" s="57"/>
      <c r="M19" s="51"/>
      <c r="N19" s="51"/>
      <c r="O19" s="51"/>
      <c r="P19" s="51"/>
      <c r="Q19" s="51"/>
      <c r="R19" s="51"/>
      <c r="S19" s="42"/>
    </row>
    <row r="20" spans="1:19" x14ac:dyDescent="0.25">
      <c r="B20" s="52"/>
      <c r="C20" s="53"/>
      <c r="D20" s="53"/>
      <c r="E20" s="53"/>
      <c r="F20" s="53"/>
      <c r="G20" s="51">
        <f>G18/G19</f>
        <v>396.56287425149702</v>
      </c>
      <c r="H20" s="51">
        <f>H18/H19</f>
        <v>1611.6150627615064</v>
      </c>
      <c r="I20" s="51">
        <f>I18/I19</f>
        <v>4285.7078124999989</v>
      </c>
      <c r="J20" s="51">
        <f t="shared" ref="J20:R20" si="8">J18/J19</f>
        <v>5148.9781249999987</v>
      </c>
      <c r="K20" s="51">
        <f t="shared" si="8"/>
        <v>5392.3960396039602</v>
      </c>
      <c r="L20" s="51" t="e">
        <f t="shared" si="8"/>
        <v>#DIV/0!</v>
      </c>
      <c r="M20" s="51" t="e">
        <f t="shared" si="8"/>
        <v>#DIV/0!</v>
      </c>
      <c r="N20" s="51" t="e">
        <f t="shared" si="8"/>
        <v>#DIV/0!</v>
      </c>
      <c r="O20" s="51" t="e">
        <f t="shared" si="8"/>
        <v>#DIV/0!</v>
      </c>
      <c r="P20" s="51" t="e">
        <f t="shared" si="8"/>
        <v>#DIV/0!</v>
      </c>
      <c r="Q20" s="51" t="e">
        <f t="shared" si="8"/>
        <v>#DIV/0!</v>
      </c>
      <c r="R20" s="51" t="e">
        <f t="shared" si="8"/>
        <v>#DIV/0!</v>
      </c>
      <c r="S20" s="54"/>
    </row>
    <row r="21" spans="1:19" x14ac:dyDescent="0.25">
      <c r="G21" s="2"/>
    </row>
    <row r="22" spans="1:19" s="26" customFormat="1" x14ac:dyDescent="0.25">
      <c r="E22" s="56"/>
      <c r="G22" s="2"/>
    </row>
    <row r="23" spans="1:19" s="26" customFormat="1" x14ac:dyDescent="0.25">
      <c r="G23" s="2"/>
    </row>
    <row r="24" spans="1:19" s="26" customFormat="1" x14ac:dyDescent="0.25">
      <c r="B24" s="58"/>
      <c r="C24" s="58"/>
      <c r="D24" s="58"/>
      <c r="E24" s="58"/>
      <c r="F24" s="58"/>
      <c r="G24" s="59" t="s">
        <v>69</v>
      </c>
      <c r="H24" s="59" t="s">
        <v>70</v>
      </c>
      <c r="I24" s="60" t="s">
        <v>71</v>
      </c>
      <c r="J24" s="60" t="s">
        <v>72</v>
      </c>
      <c r="K24" s="60" t="s">
        <v>73</v>
      </c>
      <c r="L24" s="60" t="s">
        <v>74</v>
      </c>
      <c r="M24" s="60" t="s">
        <v>75</v>
      </c>
      <c r="N24" s="60" t="s">
        <v>76</v>
      </c>
      <c r="O24" s="60" t="s">
        <v>77</v>
      </c>
      <c r="P24" s="60" t="s">
        <v>78</v>
      </c>
      <c r="Q24" s="60" t="s">
        <v>79</v>
      </c>
      <c r="R24" s="60" t="s">
        <v>80</v>
      </c>
    </row>
    <row r="25" spans="1:19" s="26" customFormat="1" x14ac:dyDescent="0.25">
      <c r="B25" s="61" t="s">
        <v>83</v>
      </c>
      <c r="C25" s="61"/>
      <c r="D25" s="61"/>
      <c r="E25" s="61"/>
      <c r="F25" s="61"/>
      <c r="G25" s="62">
        <f>1114388.73</f>
        <v>1114388.73</v>
      </c>
      <c r="H25" s="62">
        <f>2211415.32-2621.43</f>
        <v>2208793.8899999997</v>
      </c>
      <c r="I25" s="62">
        <v>3930551</v>
      </c>
      <c r="J25" s="62">
        <v>4143620.58</v>
      </c>
      <c r="K25" s="62">
        <v>4401595.6900000004</v>
      </c>
      <c r="L25" s="62">
        <v>6686249.4400000004</v>
      </c>
      <c r="M25" s="62">
        <v>7035728.0599999996</v>
      </c>
      <c r="N25" s="62">
        <v>7382518.6100000003</v>
      </c>
      <c r="O25" s="62">
        <v>9729198.9499999993</v>
      </c>
      <c r="P25" s="62">
        <v>10238924.800000001</v>
      </c>
      <c r="Q25" s="62">
        <v>10237948.51</v>
      </c>
      <c r="R25" s="62">
        <v>10502202.949999999</v>
      </c>
    </row>
    <row r="26" spans="1:19" s="26" customFormat="1" x14ac:dyDescent="0.25">
      <c r="B26" s="73" t="s">
        <v>81</v>
      </c>
      <c r="C26" s="74"/>
      <c r="D26" s="74"/>
      <c r="E26" s="74"/>
      <c r="F26" s="74"/>
      <c r="G26" s="31">
        <f>359</f>
        <v>359</v>
      </c>
      <c r="H26" s="31">
        <f>1397</f>
        <v>1397</v>
      </c>
      <c r="I26" s="31">
        <f>359.4+1091.9</f>
        <v>1451.3000000000002</v>
      </c>
      <c r="J26" s="31">
        <v>1529.1</v>
      </c>
      <c r="K26" s="31">
        <v>1549.6</v>
      </c>
      <c r="L26" s="31">
        <v>2642.7</v>
      </c>
      <c r="M26" s="31">
        <f>359+1194+1206+17</f>
        <v>2776</v>
      </c>
      <c r="N26" s="31">
        <v>2770.2</v>
      </c>
      <c r="O26" s="31">
        <f>359.4+1193.7+1218+1060.4</f>
        <v>3831.5</v>
      </c>
      <c r="P26" s="31">
        <f>359.4+1193.7+1218+1125.8</f>
        <v>3896.8999999999996</v>
      </c>
      <c r="Q26" s="31">
        <f>359.4+1193.7+1218+1144.9</f>
        <v>3916</v>
      </c>
      <c r="R26" s="31">
        <f>359.4+1193.7+1218+1148.8</f>
        <v>3919.8999999999996</v>
      </c>
    </row>
    <row r="27" spans="1:19" s="26" customFormat="1" x14ac:dyDescent="0.25">
      <c r="B27" s="58"/>
      <c r="C27" s="58"/>
      <c r="D27" s="58"/>
      <c r="E27" s="58"/>
      <c r="F27" s="63" t="s">
        <v>1</v>
      </c>
      <c r="G27" s="64">
        <f t="shared" ref="G27:R27" si="9">G25/G26</f>
        <v>3104.146880222841</v>
      </c>
      <c r="H27" s="64">
        <f t="shared" si="9"/>
        <v>1581.097988546886</v>
      </c>
      <c r="I27" s="64">
        <f t="shared" si="9"/>
        <v>2708.2966995107831</v>
      </c>
      <c r="J27" s="64">
        <f t="shared" si="9"/>
        <v>2709.8427702570143</v>
      </c>
      <c r="K27" s="64">
        <f t="shared" si="9"/>
        <v>2840.4721799173985</v>
      </c>
      <c r="L27" s="64">
        <f t="shared" si="9"/>
        <v>2530.0826578877668</v>
      </c>
      <c r="M27" s="64">
        <f t="shared" si="9"/>
        <v>2534.4841714697404</v>
      </c>
      <c r="N27" s="64">
        <f t="shared" si="9"/>
        <v>2664.9767561908889</v>
      </c>
      <c r="O27" s="64">
        <f t="shared" si="9"/>
        <v>2539.2663317238676</v>
      </c>
      <c r="P27" s="64">
        <f t="shared" si="9"/>
        <v>2627.4538222689835</v>
      </c>
      <c r="Q27" s="64">
        <f t="shared" si="9"/>
        <v>2614.3893028600614</v>
      </c>
      <c r="R27" s="64">
        <f t="shared" si="9"/>
        <v>2679.2017525957294</v>
      </c>
    </row>
    <row r="28" spans="1:19" s="26" customFormat="1" x14ac:dyDescent="0.25">
      <c r="B28" s="58"/>
      <c r="C28" s="58"/>
      <c r="D28" s="58"/>
      <c r="E28" s="58"/>
      <c r="F28" s="58"/>
      <c r="G28" s="6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9" s="26" customFormat="1" x14ac:dyDescent="0.25">
      <c r="B29" s="58" t="s">
        <v>85</v>
      </c>
      <c r="C29" s="58"/>
      <c r="D29" s="58"/>
      <c r="E29" s="58"/>
      <c r="F29" s="63"/>
      <c r="G29" s="64"/>
      <c r="H29" s="64"/>
      <c r="I29" s="64"/>
      <c r="J29" s="64">
        <v>31509.75</v>
      </c>
      <c r="K29" s="64">
        <v>31509.75</v>
      </c>
      <c r="L29" s="64">
        <v>58699.74</v>
      </c>
      <c r="M29" s="64">
        <v>66374.97</v>
      </c>
      <c r="N29" s="64">
        <v>72351.87</v>
      </c>
      <c r="O29" s="64">
        <v>97065.3</v>
      </c>
      <c r="P29" s="64">
        <v>108534.65</v>
      </c>
      <c r="Q29" s="64">
        <v>109791.69</v>
      </c>
      <c r="R29" s="64">
        <v>115768.58</v>
      </c>
    </row>
    <row r="30" spans="1:19" s="26" customFormat="1" x14ac:dyDescent="0.25">
      <c r="B30" s="58" t="s">
        <v>86</v>
      </c>
      <c r="C30" s="58"/>
      <c r="D30" s="58"/>
      <c r="E30" s="58"/>
      <c r="F30" s="63"/>
      <c r="G30" s="64"/>
      <c r="H30" s="64"/>
      <c r="I30" s="64"/>
      <c r="J30" s="65">
        <f>(19.87+2.43)/3</f>
        <v>7.4333333333333336</v>
      </c>
      <c r="K30" s="66">
        <f>(19.87+2.43)/3</f>
        <v>7.4333333333333336</v>
      </c>
      <c r="L30" s="66">
        <f>(19.87+2.43+17.73)/3</f>
        <v>13.343333333333334</v>
      </c>
      <c r="M30" s="65">
        <v>17.73</v>
      </c>
      <c r="N30" s="65">
        <v>19.399999999999999</v>
      </c>
      <c r="O30" s="65">
        <v>20.47</v>
      </c>
      <c r="P30" s="65">
        <v>20.67</v>
      </c>
      <c r="Q30" s="65">
        <v>20.67</v>
      </c>
      <c r="R30" s="65">
        <v>20.67</v>
      </c>
    </row>
    <row r="31" spans="1:19" s="26" customFormat="1" x14ac:dyDescent="0.25">
      <c r="B31" s="58"/>
      <c r="C31" s="58"/>
      <c r="D31" s="58"/>
      <c r="E31" s="58"/>
      <c r="F31" s="58"/>
      <c r="G31" s="64"/>
      <c r="H31" s="64"/>
      <c r="I31" s="64"/>
      <c r="J31" s="64">
        <f t="shared" ref="J31:R31" si="10">J29/J30</f>
        <v>4238.9798206278028</v>
      </c>
      <c r="K31" s="64">
        <f t="shared" si="10"/>
        <v>4238.9798206278028</v>
      </c>
      <c r="L31" s="64">
        <f t="shared" si="10"/>
        <v>4399.1811141643766</v>
      </c>
      <c r="M31" s="64">
        <f t="shared" si="10"/>
        <v>3743.6531302876479</v>
      </c>
      <c r="N31" s="64">
        <f t="shared" si="10"/>
        <v>3729.4778350515462</v>
      </c>
      <c r="O31" s="64">
        <f t="shared" si="10"/>
        <v>4741.8319491939428</v>
      </c>
      <c r="P31" s="64">
        <f t="shared" si="10"/>
        <v>5250.8297048863078</v>
      </c>
      <c r="Q31" s="64">
        <f t="shared" si="10"/>
        <v>5311.644412191582</v>
      </c>
      <c r="R31" s="64">
        <f t="shared" si="10"/>
        <v>5600.8021286889207</v>
      </c>
    </row>
    <row r="32" spans="1:19" s="26" customFormat="1" x14ac:dyDescent="0.25">
      <c r="G32" s="2"/>
    </row>
    <row r="33" spans="2:18" s="26" customFormat="1" x14ac:dyDescent="0.25">
      <c r="G33" s="2"/>
    </row>
    <row r="34" spans="2:18" s="26" customFormat="1" x14ac:dyDescent="0.25">
      <c r="B34" s="19"/>
      <c r="C34" s="19"/>
      <c r="D34" s="19"/>
      <c r="E34" s="19"/>
      <c r="F34" s="19"/>
      <c r="G34" s="20" t="s">
        <v>41</v>
      </c>
      <c r="H34" s="20" t="s">
        <v>42</v>
      </c>
      <c r="I34" s="21" t="s">
        <v>43</v>
      </c>
      <c r="J34" s="21" t="s">
        <v>44</v>
      </c>
      <c r="K34" s="21" t="s">
        <v>45</v>
      </c>
      <c r="L34" s="21" t="s">
        <v>46</v>
      </c>
      <c r="M34" s="21" t="s">
        <v>47</v>
      </c>
      <c r="N34" s="21" t="s">
        <v>48</v>
      </c>
      <c r="O34" s="21" t="s">
        <v>49</v>
      </c>
      <c r="P34" s="21" t="s">
        <v>50</v>
      </c>
      <c r="Q34" s="21" t="s">
        <v>51</v>
      </c>
      <c r="R34" s="21" t="s">
        <v>52</v>
      </c>
    </row>
    <row r="35" spans="2:18" s="26" customFormat="1" x14ac:dyDescent="0.25">
      <c r="B35" s="22" t="s">
        <v>53</v>
      </c>
      <c r="C35" s="22"/>
      <c r="D35" s="22"/>
      <c r="E35" s="22"/>
      <c r="F35" s="22"/>
      <c r="G35" s="23">
        <v>1146511</v>
      </c>
      <c r="H35" s="23">
        <v>2224672</v>
      </c>
      <c r="I35" s="23">
        <f>4161180.2-18874</f>
        <v>4142306.2</v>
      </c>
      <c r="J35" s="23">
        <f>4197907-18874</f>
        <v>4179033</v>
      </c>
      <c r="K35" s="23">
        <f>4386826.97-18874</f>
        <v>4367952.97</v>
      </c>
      <c r="L35" s="23">
        <f>6903530.62-26293.27</f>
        <v>6877237.3500000006</v>
      </c>
      <c r="M35" s="23">
        <f>7482482.31-35732.97</f>
        <v>7446749.3399999999</v>
      </c>
      <c r="N35" s="23">
        <f>7632124.14-40932</f>
        <v>7591192.1399999997</v>
      </c>
      <c r="O35" s="23">
        <f>9901658.32-64088.16</f>
        <v>9837570.1600000001</v>
      </c>
      <c r="P35" s="23">
        <f>10640873.45-66185.27</f>
        <v>10574688.18</v>
      </c>
      <c r="Q35" s="23">
        <f>10758317.39-69248.87</f>
        <v>10689068.520000001</v>
      </c>
      <c r="R35" s="23">
        <f>10860675-74441.3</f>
        <v>10786233.699999999</v>
      </c>
    </row>
    <row r="36" spans="2:18" s="26" customFormat="1" x14ac:dyDescent="0.25">
      <c r="B36" s="71" t="s">
        <v>55</v>
      </c>
      <c r="C36" s="72"/>
      <c r="D36" s="72"/>
      <c r="E36" s="72"/>
      <c r="F36" s="72"/>
      <c r="G36" s="30">
        <v>359.3</v>
      </c>
      <c r="H36" s="30">
        <v>1349.5</v>
      </c>
      <c r="I36" s="30">
        <f>1464.7-4</f>
        <v>1460.7</v>
      </c>
      <c r="J36" s="31">
        <f>1514.2-4</f>
        <v>1510.2</v>
      </c>
      <c r="K36" s="31">
        <f>1527.7-4</f>
        <v>1523.7</v>
      </c>
      <c r="L36" s="31">
        <f>2608.8-7.2</f>
        <v>2601.6000000000004</v>
      </c>
      <c r="M36" s="31">
        <f>2709-8.2</f>
        <v>2700.8</v>
      </c>
      <c r="N36" s="31">
        <f>2720.9-8.5</f>
        <v>2712.4</v>
      </c>
      <c r="O36" s="31">
        <f>3766-13.6</f>
        <v>3752.4</v>
      </c>
      <c r="P36" s="31">
        <v>3794.2</v>
      </c>
      <c r="Q36" s="31">
        <f>359.4+1175.1+1186.4+1126.1-15.03</f>
        <v>3831.97</v>
      </c>
      <c r="R36" s="31">
        <f>3857-15.03</f>
        <v>3841.97</v>
      </c>
    </row>
    <row r="37" spans="2:18" s="26" customFormat="1" x14ac:dyDescent="0.25">
      <c r="B37" s="19"/>
      <c r="C37" s="19"/>
      <c r="D37" s="19"/>
      <c r="E37" s="19"/>
      <c r="F37" s="24" t="s">
        <v>1</v>
      </c>
      <c r="G37" s="25">
        <f t="shared" ref="G37:R37" si="11">G35/G36</f>
        <v>3190.9574172001112</v>
      </c>
      <c r="H37" s="25">
        <f t="shared" si="11"/>
        <v>1648.5157465728048</v>
      </c>
      <c r="I37" s="25">
        <f t="shared" si="11"/>
        <v>2835.8363798178957</v>
      </c>
      <c r="J37" s="25">
        <f t="shared" si="11"/>
        <v>2767.2050059594753</v>
      </c>
      <c r="K37" s="25">
        <f t="shared" si="11"/>
        <v>2866.6751788409788</v>
      </c>
      <c r="L37" s="25">
        <f t="shared" si="11"/>
        <v>2643.4645410516605</v>
      </c>
      <c r="M37" s="25">
        <f t="shared" si="11"/>
        <v>2757.2383515995257</v>
      </c>
      <c r="N37" s="25">
        <f t="shared" si="11"/>
        <v>2798.6993585016958</v>
      </c>
      <c r="O37" s="25">
        <f t="shared" si="11"/>
        <v>2621.6741711971003</v>
      </c>
      <c r="P37" s="25">
        <f t="shared" si="11"/>
        <v>2787.0666227399715</v>
      </c>
      <c r="Q37" s="25">
        <f t="shared" si="11"/>
        <v>2789.4447294733523</v>
      </c>
      <c r="R37" s="25">
        <f t="shared" si="11"/>
        <v>2807.4747330145733</v>
      </c>
    </row>
    <row r="38" spans="2:18" s="26" customFormat="1" x14ac:dyDescent="0.25">
      <c r="B38" s="19"/>
      <c r="C38" s="19"/>
      <c r="D38" s="19"/>
      <c r="E38" s="19"/>
      <c r="F38" s="19"/>
      <c r="G38" s="25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2:18" s="26" customFormat="1" x14ac:dyDescent="0.25">
      <c r="B39" s="19" t="s">
        <v>54</v>
      </c>
      <c r="C39" s="19"/>
      <c r="D39" s="19"/>
      <c r="E39" s="19"/>
      <c r="F39" s="19"/>
      <c r="G39" s="25"/>
      <c r="H39" s="25"/>
      <c r="I39" s="25">
        <v>18874</v>
      </c>
      <c r="J39" s="25">
        <v>18874</v>
      </c>
      <c r="K39" s="25">
        <v>18874</v>
      </c>
      <c r="L39" s="25">
        <v>26293.27</v>
      </c>
      <c r="M39" s="25">
        <v>35732.97</v>
      </c>
      <c r="N39" s="25">
        <v>40932</v>
      </c>
      <c r="O39" s="25">
        <v>64088.160000000003</v>
      </c>
      <c r="P39" s="25">
        <v>66185.27</v>
      </c>
      <c r="Q39" s="25">
        <v>69248.87</v>
      </c>
      <c r="R39" s="25">
        <v>74441.3</v>
      </c>
    </row>
    <row r="40" spans="2:18" s="26" customFormat="1" x14ac:dyDescent="0.25">
      <c r="B40" s="19" t="s">
        <v>57</v>
      </c>
      <c r="C40" s="19"/>
      <c r="D40" s="19"/>
      <c r="E40" s="19"/>
      <c r="F40" s="19"/>
      <c r="G40" s="12"/>
      <c r="H40" s="13"/>
      <c r="I40" s="13">
        <f>12/3</f>
        <v>4</v>
      </c>
      <c r="J40" s="13">
        <v>4</v>
      </c>
      <c r="K40" s="13">
        <v>4</v>
      </c>
      <c r="L40" s="13">
        <f>(12+9.6)/3</f>
        <v>7.2</v>
      </c>
      <c r="M40" s="13">
        <f>(12+12.6)/3</f>
        <v>8.2000000000000011</v>
      </c>
      <c r="N40" s="29">
        <f>(12+13.6)/3</f>
        <v>8.5333333333333332</v>
      </c>
      <c r="O40" s="29">
        <f>(12+14.8+15.33)/3</f>
        <v>14.043333333333335</v>
      </c>
      <c r="P40" s="29">
        <f>(12+14.8+18.8)/3</f>
        <v>15.200000000000001</v>
      </c>
      <c r="Q40" s="13">
        <v>15.03</v>
      </c>
      <c r="R40" s="13">
        <v>15.03</v>
      </c>
    </row>
    <row r="41" spans="2:18" s="26" customFormat="1" x14ac:dyDescent="0.25">
      <c r="B41" s="19"/>
      <c r="C41" s="19"/>
      <c r="D41" s="19"/>
      <c r="E41" s="19"/>
      <c r="F41" s="19" t="s">
        <v>58</v>
      </c>
      <c r="G41" s="25"/>
      <c r="H41" s="19"/>
      <c r="I41" s="32">
        <f t="shared" ref="I41:R41" si="12">I39/I40</f>
        <v>4718.5</v>
      </c>
      <c r="J41" s="32">
        <f t="shared" si="12"/>
        <v>4718.5</v>
      </c>
      <c r="K41" s="32">
        <f t="shared" si="12"/>
        <v>4718.5</v>
      </c>
      <c r="L41" s="32">
        <f t="shared" si="12"/>
        <v>3651.8430555555556</v>
      </c>
      <c r="M41" s="32">
        <f t="shared" si="12"/>
        <v>4357.6792682926825</v>
      </c>
      <c r="N41" s="32">
        <f t="shared" si="12"/>
        <v>4796.71875</v>
      </c>
      <c r="O41" s="32">
        <f t="shared" si="12"/>
        <v>4563.6002848326607</v>
      </c>
      <c r="P41" s="32">
        <f t="shared" si="12"/>
        <v>4354.2940789473687</v>
      </c>
      <c r="Q41" s="32">
        <f t="shared" si="12"/>
        <v>4607.3765801729869</v>
      </c>
      <c r="R41" s="32">
        <f t="shared" si="12"/>
        <v>4952.8476380572192</v>
      </c>
    </row>
    <row r="42" spans="2:18" s="26" customFormat="1" x14ac:dyDescent="0.25">
      <c r="G42" s="2"/>
    </row>
    <row r="43" spans="2:18" x14ac:dyDescent="0.25">
      <c r="G43" s="2"/>
    </row>
    <row r="44" spans="2:18" x14ac:dyDescent="0.25">
      <c r="G44" s="4" t="s">
        <v>7</v>
      </c>
      <c r="H44" s="1" t="s">
        <v>8</v>
      </c>
      <c r="I44" s="1" t="s">
        <v>9</v>
      </c>
      <c r="J44" s="1" t="s">
        <v>10</v>
      </c>
      <c r="K44" s="1" t="s">
        <v>11</v>
      </c>
      <c r="L44" s="1" t="s">
        <v>12</v>
      </c>
      <c r="M44" s="1" t="s">
        <v>13</v>
      </c>
      <c r="N44" s="1" t="s">
        <v>14</v>
      </c>
      <c r="O44" s="1" t="s">
        <v>15</v>
      </c>
      <c r="P44" s="1" t="s">
        <v>16</v>
      </c>
      <c r="Q44" s="1" t="s">
        <v>17</v>
      </c>
      <c r="R44" s="1" t="s">
        <v>18</v>
      </c>
    </row>
    <row r="45" spans="2:18" x14ac:dyDescent="0.25">
      <c r="B45" s="6" t="s">
        <v>3</v>
      </c>
      <c r="C45" s="6"/>
      <c r="D45" s="6"/>
      <c r="E45" s="6"/>
      <c r="F45" s="6"/>
      <c r="G45" s="7">
        <v>1234282</v>
      </c>
      <c r="H45" s="7">
        <v>1698117</v>
      </c>
      <c r="I45" s="7">
        <v>4279753.29</v>
      </c>
      <c r="J45" s="7">
        <v>4402753.33</v>
      </c>
      <c r="K45" s="7">
        <v>4656022.2699999996</v>
      </c>
      <c r="L45" s="7">
        <v>7150091.5099999998</v>
      </c>
      <c r="M45" s="7">
        <v>7855376.1399999997</v>
      </c>
      <c r="N45" s="7">
        <v>7973039.7999999998</v>
      </c>
      <c r="O45" s="7">
        <v>10352415.109999999</v>
      </c>
      <c r="P45" s="7">
        <v>11109576</v>
      </c>
      <c r="Q45" s="7">
        <v>11123371.029999999</v>
      </c>
      <c r="R45" s="7">
        <v>11285311.6</v>
      </c>
    </row>
    <row r="46" spans="2:18" x14ac:dyDescent="0.25">
      <c r="B46" s="6" t="s">
        <v>4</v>
      </c>
      <c r="C46" s="6"/>
      <c r="D46" s="6"/>
      <c r="E46" s="6"/>
      <c r="F46" s="6"/>
      <c r="G46" s="8">
        <v>363.7</v>
      </c>
      <c r="H46" s="9">
        <v>1325</v>
      </c>
      <c r="I46" s="9">
        <v>1470.8</v>
      </c>
      <c r="J46" s="10">
        <v>1500.1</v>
      </c>
      <c r="K46" s="10">
        <v>1533.2</v>
      </c>
      <c r="L46" s="10">
        <v>2644.3</v>
      </c>
      <c r="M46" s="10">
        <v>2702.8</v>
      </c>
      <c r="N46" s="10">
        <v>2729.2</v>
      </c>
      <c r="O46" s="10">
        <v>3710.7</v>
      </c>
      <c r="P46" s="10">
        <v>3781.4</v>
      </c>
      <c r="Q46" s="10">
        <v>3804.2</v>
      </c>
      <c r="R46" s="10">
        <v>3804.2</v>
      </c>
    </row>
    <row r="47" spans="2:18" x14ac:dyDescent="0.25">
      <c r="F47" s="3" t="s">
        <v>1</v>
      </c>
      <c r="G47" s="2">
        <f t="shared" ref="G47:R47" si="13">G45/G46</f>
        <v>3393.6816057189994</v>
      </c>
      <c r="H47" s="2">
        <f t="shared" si="13"/>
        <v>1281.5977358490566</v>
      </c>
      <c r="I47" s="2">
        <f t="shared" si="13"/>
        <v>2909.8132240957302</v>
      </c>
      <c r="J47" s="2">
        <f t="shared" si="13"/>
        <v>2934.9732217852147</v>
      </c>
      <c r="K47" s="2">
        <f t="shared" si="13"/>
        <v>3036.8003326376202</v>
      </c>
      <c r="L47" s="2">
        <f t="shared" si="13"/>
        <v>2703.9638127292665</v>
      </c>
      <c r="M47" s="2">
        <f t="shared" si="13"/>
        <v>2906.3845419564891</v>
      </c>
      <c r="N47" s="2">
        <f t="shared" si="13"/>
        <v>2921.3834823391471</v>
      </c>
      <c r="O47" s="2">
        <f t="shared" si="13"/>
        <v>2789.8819926159485</v>
      </c>
      <c r="P47" s="2">
        <f t="shared" si="13"/>
        <v>2937.9531390490292</v>
      </c>
      <c r="Q47" s="2">
        <f t="shared" si="13"/>
        <v>2923.9711450502077</v>
      </c>
      <c r="R47" s="2">
        <f t="shared" si="13"/>
        <v>2966.5400346984911</v>
      </c>
    </row>
    <row r="48" spans="2:18" x14ac:dyDescent="0.25">
      <c r="G48" s="2"/>
    </row>
    <row r="49" spans="2:18" x14ac:dyDescent="0.25">
      <c r="G49" s="2"/>
    </row>
    <row r="50" spans="2:18" x14ac:dyDescent="0.25">
      <c r="K50" s="5"/>
    </row>
    <row r="51" spans="2:18" x14ac:dyDescent="0.25">
      <c r="G51" s="4" t="s">
        <v>19</v>
      </c>
      <c r="H51" s="1" t="s">
        <v>20</v>
      </c>
      <c r="I51" s="1" t="s">
        <v>21</v>
      </c>
      <c r="J51" s="1" t="s">
        <v>22</v>
      </c>
      <c r="K51" s="1" t="s">
        <v>23</v>
      </c>
      <c r="L51" s="1" t="s">
        <v>24</v>
      </c>
      <c r="M51" s="1" t="s">
        <v>25</v>
      </c>
      <c r="N51" s="1" t="s">
        <v>26</v>
      </c>
      <c r="O51" s="1" t="s">
        <v>27</v>
      </c>
      <c r="P51" s="1" t="s">
        <v>28</v>
      </c>
      <c r="Q51" s="1" t="s">
        <v>29</v>
      </c>
      <c r="R51" s="1" t="s">
        <v>30</v>
      </c>
    </row>
    <row r="52" spans="2:18" x14ac:dyDescent="0.25">
      <c r="B52" t="s">
        <v>3</v>
      </c>
      <c r="G52" s="11">
        <v>1089470</v>
      </c>
      <c r="H52" s="11">
        <v>1530679.06</v>
      </c>
      <c r="I52" s="11">
        <v>4073321</v>
      </c>
      <c r="J52" s="11">
        <v>4377790.88</v>
      </c>
      <c r="K52" s="11">
        <v>4595434.13</v>
      </c>
      <c r="L52" s="11">
        <v>7069433</v>
      </c>
      <c r="M52" s="11">
        <v>7918085.5700000003</v>
      </c>
      <c r="N52" s="11">
        <v>7941622</v>
      </c>
      <c r="O52" s="11">
        <v>10324878.789999999</v>
      </c>
      <c r="P52" s="11">
        <v>11157438</v>
      </c>
      <c r="Q52" s="11">
        <v>11124113.539999999</v>
      </c>
      <c r="R52" s="11">
        <v>11290485</v>
      </c>
    </row>
    <row r="53" spans="2:18" x14ac:dyDescent="0.25">
      <c r="B53" t="s">
        <v>4</v>
      </c>
      <c r="G53" s="12">
        <v>351.9</v>
      </c>
      <c r="H53" s="13">
        <v>1058.0999999999999</v>
      </c>
      <c r="I53" s="13">
        <v>1399</v>
      </c>
      <c r="J53" s="14">
        <v>1437.3</v>
      </c>
      <c r="K53" s="14">
        <v>1452.3</v>
      </c>
      <c r="L53" s="14">
        <v>2566.1</v>
      </c>
      <c r="M53" s="14">
        <v>2667.7</v>
      </c>
      <c r="N53" s="14">
        <v>2671.5</v>
      </c>
      <c r="O53" s="14">
        <v>3727</v>
      </c>
      <c r="P53" s="14">
        <v>3793.6</v>
      </c>
      <c r="Q53" s="14">
        <v>3793.6</v>
      </c>
      <c r="R53" s="13">
        <v>3810.9</v>
      </c>
    </row>
    <row r="54" spans="2:18" x14ac:dyDescent="0.25">
      <c r="F54" s="3" t="s">
        <v>1</v>
      </c>
      <c r="G54" s="2">
        <f t="shared" ref="G54:K54" si="14">G52/G53</f>
        <v>3095.964762716681</v>
      </c>
      <c r="H54" s="2">
        <f t="shared" si="14"/>
        <v>1446.6298648520935</v>
      </c>
      <c r="I54" s="2">
        <f t="shared" si="14"/>
        <v>2911.5947105075052</v>
      </c>
      <c r="J54" s="2">
        <f t="shared" si="14"/>
        <v>3045.8435121408197</v>
      </c>
      <c r="K54" s="2">
        <f t="shared" si="14"/>
        <v>3164.245768780555</v>
      </c>
      <c r="L54" s="2">
        <f t="shared" ref="L54:R54" si="15">L52/L53</f>
        <v>2754.9327773664318</v>
      </c>
      <c r="M54" s="2">
        <f t="shared" si="15"/>
        <v>2968.1319376241709</v>
      </c>
      <c r="N54" s="2">
        <f t="shared" si="15"/>
        <v>2972.7201946472019</v>
      </c>
      <c r="O54" s="2">
        <f t="shared" si="15"/>
        <v>2770.2921357660316</v>
      </c>
      <c r="P54" s="2">
        <f t="shared" si="15"/>
        <v>2941.1213622943906</v>
      </c>
      <c r="Q54" s="2">
        <f t="shared" si="15"/>
        <v>2932.3369727962881</v>
      </c>
      <c r="R54" s="2">
        <f t="shared" si="15"/>
        <v>2962.682043611745</v>
      </c>
    </row>
    <row r="58" spans="2:18" x14ac:dyDescent="0.25">
      <c r="G58" s="15"/>
      <c r="H58" s="15"/>
      <c r="I58" s="15" t="s">
        <v>31</v>
      </c>
      <c r="J58" s="15" t="s">
        <v>32</v>
      </c>
      <c r="K58" s="15" t="s">
        <v>33</v>
      </c>
      <c r="L58" s="15" t="s">
        <v>34</v>
      </c>
      <c r="M58" s="15" t="s">
        <v>35</v>
      </c>
      <c r="N58" s="15" t="s">
        <v>36</v>
      </c>
      <c r="O58" s="15" t="s">
        <v>37</v>
      </c>
      <c r="P58" s="15" t="s">
        <v>38</v>
      </c>
      <c r="Q58" s="15" t="s">
        <v>39</v>
      </c>
      <c r="R58" s="15" t="s">
        <v>40</v>
      </c>
    </row>
    <row r="59" spans="2:18" x14ac:dyDescent="0.25">
      <c r="B59" t="s">
        <v>3</v>
      </c>
      <c r="G59" s="2"/>
      <c r="H59" s="16"/>
      <c r="I59" s="2">
        <v>4113660</v>
      </c>
      <c r="J59" s="16">
        <v>4299133.58</v>
      </c>
      <c r="K59" s="2">
        <v>4560661.9000000004</v>
      </c>
      <c r="L59" s="2">
        <v>6958232.54</v>
      </c>
      <c r="M59" s="2">
        <v>7595998</v>
      </c>
      <c r="N59" s="2">
        <v>7686695.8399999999</v>
      </c>
      <c r="O59" s="2">
        <v>10128471</v>
      </c>
      <c r="P59" s="2">
        <v>10393716</v>
      </c>
      <c r="Q59" s="2">
        <v>10659243.619999999</v>
      </c>
      <c r="R59" s="2">
        <v>10743959</v>
      </c>
    </row>
    <row r="60" spans="2:18" x14ac:dyDescent="0.25">
      <c r="B60" t="s">
        <v>4</v>
      </c>
      <c r="G60" s="12"/>
      <c r="H60" s="17"/>
      <c r="I60" s="12">
        <v>1569.8</v>
      </c>
      <c r="J60" s="17">
        <v>1597.2</v>
      </c>
      <c r="K60" s="18">
        <v>1614.7</v>
      </c>
      <c r="L60" s="18">
        <v>2763.5</v>
      </c>
      <c r="M60" s="12">
        <v>2812.4</v>
      </c>
      <c r="N60" s="12">
        <v>2833.1</v>
      </c>
      <c r="O60" s="13">
        <v>3899.3</v>
      </c>
      <c r="P60" s="13">
        <v>3899.3</v>
      </c>
      <c r="Q60" s="13">
        <v>3951</v>
      </c>
      <c r="R60" s="14">
        <v>3981.4</v>
      </c>
    </row>
    <row r="61" spans="2:18" x14ac:dyDescent="0.25">
      <c r="F61" s="3" t="s">
        <v>1</v>
      </c>
      <c r="G61" s="2"/>
      <c r="H61" s="2"/>
      <c r="I61" s="2">
        <f t="shared" ref="I61:J61" si="16">I59/I60</f>
        <v>2620.4994266785579</v>
      </c>
      <c r="J61" s="2">
        <f t="shared" si="16"/>
        <v>2691.668908089156</v>
      </c>
      <c r="K61" s="2">
        <f t="shared" ref="K61:R61" si="17">K59/K60</f>
        <v>2824.4639251873414</v>
      </c>
      <c r="L61" s="2">
        <f t="shared" si="17"/>
        <v>2517.9057499547675</v>
      </c>
      <c r="M61" s="2">
        <f t="shared" si="17"/>
        <v>2700.8953207225145</v>
      </c>
      <c r="N61" s="2">
        <f t="shared" si="17"/>
        <v>2713.1749108750132</v>
      </c>
      <c r="O61" s="2">
        <f t="shared" si="17"/>
        <v>2597.5100659092654</v>
      </c>
      <c r="P61" s="2">
        <f t="shared" si="17"/>
        <v>2665.5338137614444</v>
      </c>
      <c r="Q61" s="2">
        <f t="shared" si="17"/>
        <v>2697.8596861554033</v>
      </c>
      <c r="R61" s="2">
        <f t="shared" si="17"/>
        <v>2698.5379514743559</v>
      </c>
    </row>
  </sheetData>
  <mergeCells count="5">
    <mergeCell ref="B5:F5"/>
    <mergeCell ref="B9:F9"/>
    <mergeCell ref="B36:F36"/>
    <mergeCell ref="B26:F26"/>
    <mergeCell ref="B19:F19"/>
  </mergeCells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3"/>
    </sheetView>
  </sheetViews>
  <sheetFormatPr defaultRowHeight="15" x14ac:dyDescent="0.25"/>
  <sheetData>
    <row r="1" spans="1:7" x14ac:dyDescent="0.25">
      <c r="A1" s="26" t="s">
        <v>59</v>
      </c>
      <c r="B1" s="26"/>
      <c r="C1" s="26"/>
      <c r="D1" s="26"/>
      <c r="E1" s="26"/>
      <c r="F1" s="26"/>
      <c r="G1" s="26"/>
    </row>
    <row r="3" spans="1:7" x14ac:dyDescent="0.25">
      <c r="A3" s="26"/>
      <c r="B3" s="26" t="s">
        <v>60</v>
      </c>
      <c r="C3" s="26"/>
      <c r="D3" s="26"/>
      <c r="E3" s="26"/>
      <c r="F3" s="26"/>
      <c r="G3" s="27">
        <v>18449</v>
      </c>
    </row>
    <row r="4" spans="1:7" x14ac:dyDescent="0.25">
      <c r="A4" s="26"/>
      <c r="B4" s="26" t="s">
        <v>61</v>
      </c>
      <c r="C4" s="26"/>
      <c r="D4" s="26"/>
      <c r="E4" s="26"/>
      <c r="F4" s="26"/>
      <c r="G4" s="27">
        <v>50831</v>
      </c>
    </row>
    <row r="5" spans="1:7" x14ac:dyDescent="0.25">
      <c r="A5" s="26"/>
      <c r="B5" s="26" t="s">
        <v>62</v>
      </c>
      <c r="C5" s="26"/>
      <c r="D5" s="26"/>
      <c r="E5" s="26"/>
      <c r="F5" s="26"/>
      <c r="G5" s="27">
        <v>17654</v>
      </c>
    </row>
    <row r="6" spans="1:7" x14ac:dyDescent="0.25">
      <c r="A6" s="26"/>
      <c r="B6" s="26" t="s">
        <v>63</v>
      </c>
      <c r="C6" s="26"/>
      <c r="D6" s="26"/>
      <c r="E6" s="26"/>
      <c r="F6" s="26"/>
      <c r="G6" s="27">
        <v>17980</v>
      </c>
    </row>
    <row r="7" spans="1:7" x14ac:dyDescent="0.25">
      <c r="A7" s="26"/>
      <c r="B7" s="26" t="s">
        <v>64</v>
      </c>
      <c r="C7" s="26"/>
      <c r="D7" s="26"/>
      <c r="E7" s="26"/>
      <c r="F7" s="26"/>
      <c r="G7" s="27">
        <v>45742</v>
      </c>
    </row>
    <row r="8" spans="1:7" x14ac:dyDescent="0.25">
      <c r="A8" s="26"/>
      <c r="B8" s="26" t="s">
        <v>65</v>
      </c>
      <c r="C8" s="26"/>
      <c r="D8" s="26"/>
      <c r="E8" s="26"/>
      <c r="F8" s="26"/>
      <c r="G8" s="27">
        <v>50333</v>
      </c>
    </row>
    <row r="9" spans="1:7" x14ac:dyDescent="0.25">
      <c r="A9" s="26"/>
      <c r="B9" s="26" t="s">
        <v>66</v>
      </c>
      <c r="C9" s="26"/>
      <c r="D9" s="26"/>
      <c r="E9" s="26"/>
      <c r="F9" s="26"/>
      <c r="G9" s="27">
        <v>11298</v>
      </c>
    </row>
    <row r="10" spans="1:7" x14ac:dyDescent="0.25">
      <c r="A10" s="26"/>
      <c r="B10" s="26" t="s">
        <v>67</v>
      </c>
      <c r="C10" s="26"/>
      <c r="D10" s="26"/>
      <c r="E10" s="26"/>
      <c r="F10" s="26"/>
      <c r="G10" s="27">
        <v>8681</v>
      </c>
    </row>
    <row r="11" spans="1:7" x14ac:dyDescent="0.25">
      <c r="A11" s="26"/>
      <c r="B11" s="26" t="s">
        <v>68</v>
      </c>
      <c r="C11" s="26"/>
      <c r="D11" s="26"/>
      <c r="E11" s="26"/>
      <c r="F11" s="26"/>
      <c r="G11" s="28">
        <v>49245</v>
      </c>
    </row>
    <row r="12" spans="1:7" x14ac:dyDescent="0.25">
      <c r="A12" s="26"/>
      <c r="B12" s="26"/>
      <c r="C12" s="26"/>
      <c r="D12" s="26"/>
      <c r="E12" s="26"/>
      <c r="F12" s="26"/>
      <c r="G12" s="27">
        <v>270213</v>
      </c>
    </row>
    <row r="13" spans="1:7" x14ac:dyDescent="0.25">
      <c r="A13" s="26"/>
      <c r="B13" s="26"/>
      <c r="C13" s="26"/>
      <c r="D13" s="26"/>
      <c r="E13" s="26"/>
      <c r="F13" s="26"/>
      <c r="G13" s="27"/>
    </row>
    <row r="14" spans="1:7" x14ac:dyDescent="0.25">
      <c r="A14" s="26"/>
      <c r="B14" s="26"/>
      <c r="C14" s="26"/>
      <c r="D14" s="26"/>
      <c r="E14" s="26"/>
      <c r="F14" s="26"/>
      <c r="G14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Yield</vt:lpstr>
      <vt:lpstr>Sheet2</vt:lpstr>
      <vt:lpstr>Sheet3</vt:lpstr>
    </vt:vector>
  </TitlesOfParts>
  <Company>Skagit Valley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kim.cook</dc:creator>
  <cp:lastModifiedBy>Kim Cook</cp:lastModifiedBy>
  <cp:lastPrinted>2012-01-12T20:05:26Z</cp:lastPrinted>
  <dcterms:created xsi:type="dcterms:W3CDTF">2011-10-12T21:58:34Z</dcterms:created>
  <dcterms:modified xsi:type="dcterms:W3CDTF">2017-01-10T00:54:40Z</dcterms:modified>
</cp:coreProperties>
</file>