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omments1.xml" ContentType="application/vnd.openxmlformats-officedocument.spreadsheetml.comments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omments2.xml" ContentType="application/vnd.openxmlformats-officedocument.spreadsheetml.comments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omments3.xml" ContentType="application/vnd.openxmlformats-officedocument.spreadsheetml.comments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mv.skagit.edu\datastor\EmpDoc\Kim.Cook\My Documents\Accreditation\2017\2017 Exhibits\"/>
    </mc:Choice>
  </mc:AlternateContent>
  <bookViews>
    <workbookView xWindow="0" yWindow="0" windowWidth="28800" windowHeight="11235" tabRatio="888" firstSheet="13" activeTab="37"/>
  </bookViews>
  <sheets>
    <sheet name="afrs vs fms approps" sheetId="75" state="hidden" r:id="rId1"/>
    <sheet name="Grants Check 2" sheetId="117" state="hidden" r:id="rId2"/>
    <sheet name="CurrentGrantData" sheetId="110" state="hidden" r:id="rId3"/>
    <sheet name="District Check" sheetId="109" state="hidden" r:id="rId4"/>
    <sheet name="Grants Check" sheetId="107" state="hidden" r:id="rId5"/>
    <sheet name="Alloc Sched Data" sheetId="1" state="hidden" r:id="rId6"/>
    <sheet name="Balance by Fund" sheetId="102" state="hidden" r:id="rId7"/>
    <sheet name="FTE Check" sheetId="112" state="hidden" r:id="rId8"/>
    <sheet name="Balance by Fund-Appn" sheetId="106" state="hidden" r:id="rId9"/>
    <sheet name="Other Resources Data" sheetId="80" state="hidden" r:id="rId10"/>
    <sheet name="Balance by Program" sheetId="103" state="hidden" r:id="rId11"/>
    <sheet name="district" sheetId="6" state="hidden" r:id="rId12"/>
    <sheet name="Alloc Data FUND" sheetId="120" state="hidden" r:id="rId13"/>
    <sheet name="Attachment One" sheetId="66" r:id="rId14"/>
    <sheet name="Attachment Three" sheetId="4" r:id="rId15"/>
    <sheet name="Bates" sheetId="40" r:id="rId16"/>
    <sheet name="Bellevue" sheetId="20" r:id="rId17"/>
    <sheet name="Bellingham" sheetId="37" r:id="rId18"/>
    <sheet name="Big Bend" sheetId="30" r:id="rId19"/>
    <sheet name="Cascadia" sheetId="42" r:id="rId20"/>
    <sheet name="Centralia" sheetId="24" r:id="rId21"/>
    <sheet name="Clark" sheetId="26" r:id="rId22"/>
    <sheet name="Clover Park" sheetId="41" r:id="rId23"/>
    <sheet name="Columbia Basin" sheetId="31" r:id="rId24"/>
    <sheet name="Edmonds" sheetId="35" r:id="rId25"/>
    <sheet name="Everett" sheetId="18" r:id="rId26"/>
    <sheet name="Grays Harbor" sheetId="15" r:id="rId27"/>
    <sheet name="Green River" sheetId="22" r:id="rId28"/>
    <sheet name="Highline" sheetId="21" r:id="rId29"/>
    <sheet name="Lake WA" sheetId="38" r:id="rId30"/>
    <sheet name="Lower Columbia" sheetId="25" r:id="rId31"/>
    <sheet name="Olympic" sheetId="16" r:id="rId32"/>
    <sheet name="Peninsula" sheetId="8" r:id="rId33"/>
    <sheet name="Pierce" sheetId="23" r:id="rId34"/>
    <sheet name="Renton" sheetId="39" r:id="rId35"/>
    <sheet name="Seattle" sheetId="14" r:id="rId36"/>
    <sheet name="Shoreline" sheetId="19" r:id="rId37"/>
    <sheet name="Skagit" sheetId="17" r:id="rId38"/>
    <sheet name="So Puget Sound" sheetId="36" r:id="rId39"/>
    <sheet name="Spokane" sheetId="29" r:id="rId40"/>
    <sheet name="Tacoma" sheetId="34" r:id="rId41"/>
    <sheet name="Walla Walla" sheetId="32" r:id="rId42"/>
    <sheet name="Wenatchee" sheetId="27" r:id="rId43"/>
    <sheet name="Whatcom" sheetId="33" r:id="rId44"/>
    <sheet name="Yakima" sheetId="28" r:id="rId45"/>
    <sheet name="SBCTC Admin" sheetId="43" r:id="rId46"/>
    <sheet name="SBCTC Program" sheetId="45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xlnm._FilterDatabase" localSheetId="5" hidden="1">'Alloc Sched Data'!$A$1:$O$717</definedName>
    <definedName name="_xlnm._FilterDatabase" localSheetId="9" hidden="1">'Other Resources Data'!$A$1:$K$381</definedName>
    <definedName name="_Key1" localSheetId="13" hidden="1">#REF!</definedName>
    <definedName name="_Key1" localSheetId="3" hidden="1">#REF!</definedName>
    <definedName name="_Key1" localSheetId="1" hidden="1">#REF!</definedName>
    <definedName name="_Key1" hidden="1">#REF!</definedName>
    <definedName name="_Key2" localSheetId="1" hidden="1">#REF!</definedName>
    <definedName name="_Key2" hidden="1">#REF!</definedName>
    <definedName name="_Order1" hidden="1">255</definedName>
    <definedName name="_Sort" localSheetId="13" hidden="1">#REF!</definedName>
    <definedName name="_Sort" localSheetId="3" hidden="1">#REF!</definedName>
    <definedName name="_Sort" localSheetId="1" hidden="1">#REF!</definedName>
    <definedName name="_Sort" hidden="1">#REF!</definedName>
    <definedName name="_Sort1" localSheetId="1" hidden="1">#REF!</definedName>
    <definedName name="_Sort1" hidden="1">#REF!</definedName>
    <definedName name="AddRes" localSheetId="13">#REF!</definedName>
    <definedName name="AddRes" localSheetId="3">#REF!</definedName>
    <definedName name="AddRes">'Other Resources Data'!$A$1:$J$380</definedName>
    <definedName name="alloc">[1]Allocation!$A$3:$J$37</definedName>
    <definedName name="AllocSched" localSheetId="13">#REF!</definedName>
    <definedName name="AllocSched" localSheetId="3">#REF!</definedName>
    <definedName name="AllocSched">'Alloc Sched Data'!$A$1:$N$716</definedName>
    <definedName name="Approp" localSheetId="7">'FTE Check'!$B$2:$D$12</definedName>
    <definedName name="Approp">'afrs vs fms approps'!$A$1:$B$27</definedName>
    <definedName name="Child_Data" localSheetId="1">#REF!</definedName>
    <definedName name="Child_Data">#REF!</definedName>
    <definedName name="CLASSBFT" localSheetId="8">[2]FORMAT!#REF!</definedName>
    <definedName name="CLASSBFT" localSheetId="10">[2]FORMAT!#REF!</definedName>
    <definedName name="CLASSBFT" localSheetId="3">[2]FORMAT!#REF!</definedName>
    <definedName name="CLASSBFT" localSheetId="7">[2]FORMAT!#REF!</definedName>
    <definedName name="CLASSBFT" localSheetId="1">[2]FORMAT!#REF!</definedName>
    <definedName name="CLASSBFT">[2]FORMAT!#REF!</definedName>
    <definedName name="CLASSFTE" localSheetId="8">[2]FORMAT!#REF!</definedName>
    <definedName name="CLASSFTE" localSheetId="10">[2]FORMAT!#REF!</definedName>
    <definedName name="CLASSFTE" localSheetId="3">[2]FORMAT!#REF!</definedName>
    <definedName name="CLASSFTE" localSheetId="7">[2]FORMAT!#REF!</definedName>
    <definedName name="CLASSFTE" localSheetId="1">[2]FORMAT!#REF!</definedName>
    <definedName name="CLASSFTE">[2]FORMAT!#REF!</definedName>
    <definedName name="CLASSSAL" localSheetId="8">[2]FORMAT!#REF!</definedName>
    <definedName name="CLASSSAL" localSheetId="10">[2]FORMAT!#REF!</definedName>
    <definedName name="CLASSSAL" localSheetId="3">[2]FORMAT!#REF!</definedName>
    <definedName name="CLASSSAL" localSheetId="7">[2]FORMAT!#REF!</definedName>
    <definedName name="CLASSSAL" localSheetId="1">[2]FORMAT!#REF!</definedName>
    <definedName name="CLASSSAL">[2]FORMAT!#REF!</definedName>
    <definedName name="d2data" localSheetId="1">#REF!</definedName>
    <definedName name="d2data">#REF!</definedName>
    <definedName name="d3data" localSheetId="1">#REF!</definedName>
    <definedName name="d3data">#REF!</definedName>
    <definedName name="Difference" localSheetId="1">#REF!</definedName>
    <definedName name="Difference">#REF!</definedName>
    <definedName name="DiffImm" localSheetId="1">#REF!</definedName>
    <definedName name="DiffImm">#REF!</definedName>
    <definedName name="DiffMin" localSheetId="1">#REF!</definedName>
    <definedName name="DiffMin">#REF!</definedName>
    <definedName name="DiffPop" localSheetId="1">#REF!</definedName>
    <definedName name="DiffPop">#REF!</definedName>
    <definedName name="DiffSL" localSheetId="8">#REF!</definedName>
    <definedName name="DiffSL" localSheetId="10">#REF!</definedName>
    <definedName name="DiffSL" localSheetId="3">#REF!</definedName>
    <definedName name="DiffSL" localSheetId="7">#REF!</definedName>
    <definedName name="DiffSL" localSheetId="1">#REF!</definedName>
    <definedName name="DiffSL">#REF!</definedName>
    <definedName name="DiffWrk" localSheetId="1">#REF!</definedName>
    <definedName name="DiffWrk">#REF!</definedName>
    <definedName name="Disability_Data">'[3]Disability-Data'!$A$1:$C$35</definedName>
    <definedName name="District" localSheetId="13">#REF!</definedName>
    <definedName name="District" localSheetId="3">#REF!</definedName>
    <definedName name="District">district!$A$1:$B$34</definedName>
    <definedName name="ExpProg">'[4]Exp by Prog Data'!$A$2:$G$30</definedName>
    <definedName name="ExpProg2">'[5]Exp by Prog Data'!$A$2:$G$30</definedName>
    <definedName name="ExpSource">'[4]Exp Source of funds data'!$A$2:$F$30</definedName>
    <definedName name="ExpSource2">'[5]Exp Source of funds data'!$A$2:$F$30</definedName>
    <definedName name="Fall_A">[1]FalEnroll!$A$2:$I$32</definedName>
    <definedName name="Fall_B">[1]FalEnroll!$K$2:$S$32</definedName>
    <definedName name="HL_Data" localSheetId="1">#REF!</definedName>
    <definedName name="HL_Data">#REF!</definedName>
    <definedName name="Minority_Data" localSheetId="1">#REF!</definedName>
    <definedName name="Minority_Data">#REF!</definedName>
    <definedName name="NOTESitss" localSheetId="8">[2]CSS!#REF!</definedName>
    <definedName name="NOTESitss" localSheetId="10">[2]CSS!#REF!</definedName>
    <definedName name="NOTESitss" localSheetId="3">[2]CSS!#REF!</definedName>
    <definedName name="NOTESitss" localSheetId="7">[2]CSS!#REF!</definedName>
    <definedName name="NOTESitss" localSheetId="1">[2]CSS!#REF!</definedName>
    <definedName name="NOTESitss">[2]CSS!#REF!</definedName>
    <definedName name="_xlnm.Print_Area" localSheetId="13">'Attachment One'!$A$1:$E$49</definedName>
    <definedName name="_xlnm.Print_Area" localSheetId="14">'Attachment Three'!$A$1:$Q$42</definedName>
    <definedName name="PRINT_RANGE">'[6]Exp by Source of Funds-pg 79'!$A$1:$K$38</definedName>
    <definedName name="PRINT_RANGE_1">'[7]Exp by Prog by Dist'!$A$45:$G$88</definedName>
    <definedName name="Print_Range_12" localSheetId="1">#REF!</definedName>
    <definedName name="Print_Range_12">#REF!</definedName>
    <definedName name="PRINT_RANGE_2">'[7]Exp by Prog by Dist'!$H$45:$O$88</definedName>
    <definedName name="Print_Range2" localSheetId="1">#REF!</definedName>
    <definedName name="Print_Range2">#REF!</definedName>
    <definedName name="_xlnm.Print_Titles" localSheetId="5">'Alloc Sched Data'!$1:$1</definedName>
    <definedName name="Spr_A">[1]SprEnroll!$A$2:$I$32</definedName>
    <definedName name="Spr_B">[8]SprEnroll!$N$2:$Y$32</definedName>
    <definedName name="Student" localSheetId="13">#REF!</definedName>
    <definedName name="Student" localSheetId="3">#REF!</definedName>
    <definedName name="Student">'Attachment Three'!$B$7:$O$42</definedName>
    <definedName name="Sum_A">[1]SumEnroll!$A$2:$I$32</definedName>
    <definedName name="Sum_B">[1]SumEnroll!$K$2:$S$32</definedName>
    <definedName name="SumEnroll" localSheetId="1">#REF!</definedName>
    <definedName name="SumEnroll">#REF!</definedName>
    <definedName name="Win_A">[1]WinEnroll!$A$2:$I$32</definedName>
    <definedName name="Win_B">[1]WinEnroll!$K$2:$S$32</definedName>
    <definedName name="Win_Contract" localSheetId="8">[8]WinEnroll!#REF!</definedName>
    <definedName name="Win_Contract" localSheetId="10">[8]WinEnroll!#REF!</definedName>
    <definedName name="Win_Contract" localSheetId="3">[8]WinEnroll!#REF!</definedName>
    <definedName name="Win_Contract" localSheetId="7">[8]WinEnroll!#REF!</definedName>
    <definedName name="Win_Contract" localSheetId="1">[8]WinEnroll!#REF!</definedName>
    <definedName name="Win_Contract">[8]WinEnroll!#REF!</definedName>
    <definedName name="Win_SelfSupport" localSheetId="8">[8]WinEnroll!#REF!</definedName>
    <definedName name="Win_SelfSupport" localSheetId="10">[8]WinEnroll!#REF!</definedName>
    <definedName name="Win_SelfSupport" localSheetId="3">[8]WinEnroll!#REF!</definedName>
    <definedName name="Win_SelfSupport" localSheetId="7">[8]WinEnroll!#REF!</definedName>
    <definedName name="Win_SelfSupport" localSheetId="1">[8]WinEnroll!#REF!</definedName>
    <definedName name="Win_SelfSupport">[8]WinEnroll!#REF!</definedName>
  </definedNames>
  <calcPr calcId="152511"/>
  <pivotCaches>
    <pivotCache cacheId="0" r:id="rId56"/>
    <pivotCache cacheId="1" r:id="rId57"/>
    <pivotCache cacheId="2" r:id="rId58"/>
  </pivotCaches>
</workbook>
</file>

<file path=xl/calcChain.xml><?xml version="1.0" encoding="utf-8"?>
<calcChain xmlns="http://schemas.openxmlformats.org/spreadsheetml/2006/main">
  <c r="B47" i="66" l="1"/>
  <c r="B43" i="66"/>
  <c r="B42" i="66"/>
  <c r="E40" i="66"/>
  <c r="E45" i="66" s="1"/>
  <c r="E49" i="66" s="1"/>
  <c r="D40" i="66"/>
  <c r="D45" i="66" s="1"/>
  <c r="D49" i="66" s="1"/>
  <c r="C40" i="66"/>
  <c r="C45" i="66" s="1"/>
  <c r="C49" i="66" s="1"/>
  <c r="B38" i="66"/>
  <c r="B37" i="66"/>
  <c r="B36" i="66"/>
  <c r="B35" i="66"/>
  <c r="B34" i="66"/>
  <c r="B33" i="66"/>
  <c r="B32" i="66"/>
  <c r="B31" i="66"/>
  <c r="B30" i="66"/>
  <c r="B29" i="66"/>
  <c r="B28" i="66"/>
  <c r="B27" i="66"/>
  <c r="B26" i="66"/>
  <c r="B25" i="66"/>
  <c r="B24" i="66"/>
  <c r="B23" i="66"/>
  <c r="B22" i="66"/>
  <c r="B21" i="66"/>
  <c r="B20" i="66"/>
  <c r="B19" i="66"/>
  <c r="B18" i="66"/>
  <c r="B17" i="66"/>
  <c r="B16" i="66"/>
  <c r="B15" i="66"/>
  <c r="B14" i="66"/>
  <c r="B13" i="66"/>
  <c r="B12" i="66"/>
  <c r="B11" i="66"/>
  <c r="B10" i="66"/>
  <c r="B9" i="66"/>
  <c r="B40" i="66" l="1"/>
  <c r="B45" i="66" s="1"/>
  <c r="B49" i="66" s="1"/>
  <c r="L41" i="4"/>
  <c r="G39" i="4"/>
  <c r="G42" i="4" s="1"/>
  <c r="D43" i="4"/>
  <c r="D29" i="4"/>
  <c r="D26" i="4"/>
  <c r="D25" i="4"/>
  <c r="D23" i="4"/>
  <c r="D17" i="4"/>
  <c r="D10" i="4"/>
  <c r="G46" i="4" l="1"/>
  <c r="G44" i="4"/>
  <c r="G2" i="1"/>
  <c r="G9" i="1"/>
  <c r="G8" i="1"/>
  <c r="G99" i="1"/>
  <c r="G135" i="1"/>
  <c r="G219" i="1"/>
  <c r="G249" i="1"/>
  <c r="G280" i="1"/>
  <c r="G299" i="1"/>
  <c r="G326" i="1"/>
  <c r="G330" i="1"/>
  <c r="G413" i="1"/>
  <c r="G539" i="1"/>
  <c r="G551" i="1"/>
  <c r="G550" i="1"/>
  <c r="G703" i="1"/>
  <c r="G702" i="1"/>
  <c r="G700" i="1"/>
  <c r="G687" i="1"/>
  <c r="H145" i="1"/>
  <c r="H133" i="1"/>
  <c r="H132" i="1"/>
  <c r="G133" i="1"/>
  <c r="G132" i="1"/>
  <c r="A427" i="1"/>
  <c r="A426" i="1"/>
  <c r="A425" i="1"/>
  <c r="A424" i="1"/>
  <c r="L83" i="1" l="1"/>
  <c r="L331" i="1"/>
  <c r="I6" i="120" l="1"/>
  <c r="I7" i="120"/>
  <c r="I8" i="120"/>
  <c r="I9" i="120"/>
  <c r="I10" i="120"/>
  <c r="I11" i="120"/>
  <c r="I12" i="120"/>
  <c r="I13" i="120"/>
  <c r="I14" i="120"/>
  <c r="I15" i="120"/>
  <c r="I16" i="120"/>
  <c r="I17" i="120"/>
  <c r="I18" i="120"/>
  <c r="I19" i="120"/>
  <c r="I20" i="120"/>
  <c r="I21" i="120"/>
  <c r="I22" i="120"/>
  <c r="I23" i="120"/>
  <c r="I24" i="120"/>
  <c r="I25" i="120"/>
  <c r="I26" i="120"/>
  <c r="I27" i="120"/>
  <c r="I28" i="120"/>
  <c r="I29" i="120"/>
  <c r="I30" i="120"/>
  <c r="I31" i="120"/>
  <c r="I32" i="120"/>
  <c r="I33" i="120"/>
  <c r="I34" i="120"/>
  <c r="I35" i="120"/>
  <c r="I36" i="120"/>
  <c r="I37" i="120"/>
  <c r="I5" i="120"/>
  <c r="M331" i="1" l="1"/>
  <c r="M99" i="1"/>
  <c r="A306" i="1"/>
  <c r="H38" i="120"/>
  <c r="I38" i="120" s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12" i="1"/>
  <c r="L105" i="1"/>
  <c r="R47" i="1" l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46" i="1"/>
  <c r="S46" i="1"/>
  <c r="T46" i="1"/>
  <c r="U46" i="1"/>
  <c r="R107" i="1"/>
  <c r="B41" i="102" l="1"/>
  <c r="E41" i="102" s="1"/>
  <c r="E42" i="102" s="1"/>
  <c r="C41" i="102"/>
  <c r="X106" i="1"/>
  <c r="S107" i="1"/>
  <c r="T107" i="1"/>
  <c r="U107" i="1"/>
  <c r="V107" i="1"/>
  <c r="W107" i="1"/>
  <c r="S44" i="1"/>
  <c r="T44" i="1"/>
  <c r="U44" i="1"/>
  <c r="R44" i="1"/>
  <c r="AG4" i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2" i="1" l="1"/>
  <c r="O702" i="1" l="1"/>
  <c r="H702" i="1"/>
  <c r="N702" i="1" s="1"/>
  <c r="F702" i="1"/>
  <c r="M319" i="1"/>
  <c r="M318" i="1"/>
  <c r="M314" i="1"/>
  <c r="M310" i="1"/>
  <c r="A227" i="1"/>
  <c r="I702" i="1" l="1"/>
  <c r="O572" i="1"/>
  <c r="O571" i="1"/>
  <c r="O570" i="1"/>
  <c r="O569" i="1"/>
  <c r="O568" i="1"/>
  <c r="O567" i="1"/>
  <c r="O566" i="1"/>
  <c r="O565" i="1"/>
  <c r="O564" i="1"/>
  <c r="O563" i="1"/>
  <c r="O562" i="1"/>
  <c r="O716" i="1"/>
  <c r="O715" i="1"/>
  <c r="O330" i="1"/>
  <c r="O329" i="1"/>
  <c r="W46" i="1" l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77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46" i="1"/>
  <c r="X75" i="1" l="1"/>
  <c r="X71" i="1"/>
  <c r="X67" i="1"/>
  <c r="X63" i="1"/>
  <c r="X59" i="1"/>
  <c r="X55" i="1"/>
  <c r="X51" i="1"/>
  <c r="X47" i="1"/>
  <c r="X70" i="1"/>
  <c r="X74" i="1"/>
  <c r="X66" i="1"/>
  <c r="X73" i="1"/>
  <c r="X69" i="1"/>
  <c r="X65" i="1"/>
  <c r="X61" i="1"/>
  <c r="X57" i="1"/>
  <c r="X53" i="1"/>
  <c r="X49" i="1"/>
  <c r="X72" i="1"/>
  <c r="X68" i="1"/>
  <c r="X64" i="1"/>
  <c r="X60" i="1"/>
  <c r="X56" i="1"/>
  <c r="X52" i="1"/>
  <c r="X48" i="1"/>
  <c r="X62" i="1"/>
  <c r="X58" i="1"/>
  <c r="X54" i="1"/>
  <c r="X50" i="1"/>
  <c r="X46" i="1"/>
  <c r="V44" i="1"/>
  <c r="W44" i="1"/>
  <c r="Y107" i="1"/>
  <c r="Y76" i="1" l="1"/>
  <c r="O49" i="1"/>
  <c r="M699" i="1" l="1"/>
  <c r="O700" i="1"/>
  <c r="H700" i="1"/>
  <c r="F700" i="1"/>
  <c r="I700" i="1" l="1"/>
  <c r="O227" i="1" l="1"/>
  <c r="O226" i="1"/>
  <c r="A226" i="1"/>
  <c r="H227" i="1"/>
  <c r="N227" i="1" s="1"/>
  <c r="F227" i="1"/>
  <c r="H226" i="1"/>
  <c r="N226" i="1" s="1"/>
  <c r="F226" i="1"/>
  <c r="G636" i="1"/>
  <c r="H636" i="1"/>
  <c r="N636" i="1" s="1"/>
  <c r="H635" i="1"/>
  <c r="I635" i="1" s="1"/>
  <c r="G635" i="1"/>
  <c r="Q640" i="1"/>
  <c r="O635" i="1"/>
  <c r="O637" i="1"/>
  <c r="O636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5" i="1"/>
  <c r="O596" i="1"/>
  <c r="O597" i="1"/>
  <c r="O598" i="1"/>
  <c r="O599" i="1"/>
  <c r="O600" i="1"/>
  <c r="O601" i="1"/>
  <c r="O602" i="1"/>
  <c r="O603" i="1"/>
  <c r="O604" i="1"/>
  <c r="H594" i="1"/>
  <c r="G594" i="1"/>
  <c r="F594" i="1"/>
  <c r="A646" i="1"/>
  <c r="H593" i="1"/>
  <c r="G593" i="1"/>
  <c r="F593" i="1"/>
  <c r="A555" i="1"/>
  <c r="H604" i="1"/>
  <c r="N604" i="1" s="1"/>
  <c r="G604" i="1"/>
  <c r="F604" i="1"/>
  <c r="A604" i="1"/>
  <c r="H603" i="1"/>
  <c r="N603" i="1" s="1"/>
  <c r="G603" i="1"/>
  <c r="F603" i="1"/>
  <c r="A603" i="1"/>
  <c r="H602" i="1"/>
  <c r="N602" i="1" s="1"/>
  <c r="G602" i="1"/>
  <c r="F602" i="1"/>
  <c r="A602" i="1"/>
  <c r="H601" i="1"/>
  <c r="N601" i="1" s="1"/>
  <c r="G601" i="1"/>
  <c r="F601" i="1"/>
  <c r="A601" i="1"/>
  <c r="H600" i="1"/>
  <c r="N600" i="1" s="1"/>
  <c r="G600" i="1"/>
  <c r="F600" i="1"/>
  <c r="A600" i="1"/>
  <c r="H599" i="1"/>
  <c r="N599" i="1" s="1"/>
  <c r="G599" i="1"/>
  <c r="F599" i="1"/>
  <c r="A599" i="1"/>
  <c r="H598" i="1"/>
  <c r="N598" i="1" s="1"/>
  <c r="G598" i="1"/>
  <c r="F598" i="1"/>
  <c r="A598" i="1"/>
  <c r="H597" i="1"/>
  <c r="N597" i="1" s="1"/>
  <c r="G597" i="1"/>
  <c r="F597" i="1"/>
  <c r="A597" i="1"/>
  <c r="H596" i="1"/>
  <c r="N596" i="1" s="1"/>
  <c r="G596" i="1"/>
  <c r="F596" i="1"/>
  <c r="A596" i="1"/>
  <c r="H595" i="1"/>
  <c r="N595" i="1" s="1"/>
  <c r="G595" i="1"/>
  <c r="F595" i="1"/>
  <c r="A595" i="1"/>
  <c r="H592" i="1"/>
  <c r="N592" i="1" s="1"/>
  <c r="G592" i="1"/>
  <c r="F592" i="1"/>
  <c r="A592" i="1"/>
  <c r="H591" i="1"/>
  <c r="N591" i="1" s="1"/>
  <c r="G591" i="1"/>
  <c r="F591" i="1"/>
  <c r="A591" i="1"/>
  <c r="H590" i="1"/>
  <c r="N590" i="1" s="1"/>
  <c r="G590" i="1"/>
  <c r="F590" i="1"/>
  <c r="A590" i="1"/>
  <c r="H589" i="1"/>
  <c r="N589" i="1" s="1"/>
  <c r="G589" i="1"/>
  <c r="F589" i="1"/>
  <c r="A589" i="1"/>
  <c r="H588" i="1"/>
  <c r="N588" i="1" s="1"/>
  <c r="G588" i="1"/>
  <c r="F588" i="1"/>
  <c r="A588" i="1"/>
  <c r="H587" i="1"/>
  <c r="N587" i="1" s="1"/>
  <c r="G587" i="1"/>
  <c r="F587" i="1"/>
  <c r="A587" i="1"/>
  <c r="H586" i="1"/>
  <c r="N586" i="1" s="1"/>
  <c r="G586" i="1"/>
  <c r="F586" i="1"/>
  <c r="A586" i="1"/>
  <c r="H585" i="1"/>
  <c r="N585" i="1" s="1"/>
  <c r="G585" i="1"/>
  <c r="F585" i="1"/>
  <c r="A585" i="1"/>
  <c r="H584" i="1"/>
  <c r="N584" i="1" s="1"/>
  <c r="G584" i="1"/>
  <c r="F584" i="1"/>
  <c r="A584" i="1"/>
  <c r="H583" i="1"/>
  <c r="N583" i="1" s="1"/>
  <c r="G583" i="1"/>
  <c r="F583" i="1"/>
  <c r="A583" i="1"/>
  <c r="H582" i="1"/>
  <c r="N582" i="1" s="1"/>
  <c r="G582" i="1"/>
  <c r="F582" i="1"/>
  <c r="A582" i="1"/>
  <c r="H581" i="1"/>
  <c r="N581" i="1" s="1"/>
  <c r="G581" i="1"/>
  <c r="F581" i="1"/>
  <c r="A581" i="1"/>
  <c r="H580" i="1"/>
  <c r="N580" i="1" s="1"/>
  <c r="G580" i="1"/>
  <c r="F580" i="1"/>
  <c r="A580" i="1"/>
  <c r="H579" i="1"/>
  <c r="N579" i="1" s="1"/>
  <c r="G579" i="1"/>
  <c r="F579" i="1"/>
  <c r="A579" i="1"/>
  <c r="H578" i="1"/>
  <c r="N578" i="1" s="1"/>
  <c r="G578" i="1"/>
  <c r="F578" i="1"/>
  <c r="A578" i="1"/>
  <c r="H577" i="1"/>
  <c r="N577" i="1" s="1"/>
  <c r="G577" i="1"/>
  <c r="F577" i="1"/>
  <c r="A577" i="1"/>
  <c r="H576" i="1"/>
  <c r="N576" i="1" s="1"/>
  <c r="G576" i="1"/>
  <c r="F576" i="1"/>
  <c r="A576" i="1"/>
  <c r="H575" i="1"/>
  <c r="N575" i="1" s="1"/>
  <c r="G575" i="1"/>
  <c r="F575" i="1"/>
  <c r="A575" i="1"/>
  <c r="H574" i="1"/>
  <c r="N574" i="1" s="1"/>
  <c r="G574" i="1"/>
  <c r="F574" i="1"/>
  <c r="A574" i="1"/>
  <c r="H573" i="1"/>
  <c r="N573" i="1" s="1"/>
  <c r="G573" i="1"/>
  <c r="F573" i="1"/>
  <c r="A573" i="1"/>
  <c r="I227" i="1" l="1"/>
  <c r="I226" i="1"/>
  <c r="N635" i="1"/>
  <c r="I636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5" i="1"/>
  <c r="I596" i="1"/>
  <c r="I597" i="1"/>
  <c r="I598" i="1"/>
  <c r="I599" i="1"/>
  <c r="I600" i="1"/>
  <c r="I601" i="1"/>
  <c r="I602" i="1"/>
  <c r="I603" i="1"/>
  <c r="I604" i="1"/>
  <c r="I593" i="1"/>
  <c r="I594" i="1"/>
  <c r="I573" i="1"/>
  <c r="O698" i="1" l="1"/>
  <c r="H698" i="1"/>
  <c r="F698" i="1"/>
  <c r="A698" i="1"/>
  <c r="O6" i="1"/>
  <c r="M8" i="1"/>
  <c r="M719" i="1" s="1"/>
  <c r="I698" i="1" l="1"/>
  <c r="L104" i="1" l="1"/>
  <c r="O104" i="1" s="1"/>
  <c r="L100" i="1"/>
  <c r="L69" i="1"/>
  <c r="A219" i="1" l="1"/>
  <c r="A650" i="1"/>
  <c r="T7" i="106"/>
  <c r="U7" i="106"/>
  <c r="E41" i="120"/>
  <c r="V6" i="106"/>
  <c r="T6" i="106"/>
  <c r="U6" i="106"/>
  <c r="W6" i="106" l="1"/>
  <c r="O666" i="1"/>
  <c r="H666" i="1"/>
  <c r="G666" i="1"/>
  <c r="F666" i="1"/>
  <c r="H650" i="1"/>
  <c r="N650" i="1" s="1"/>
  <c r="G650" i="1"/>
  <c r="F650" i="1"/>
  <c r="O650" i="1"/>
  <c r="H649" i="1"/>
  <c r="G649" i="1"/>
  <c r="F649" i="1"/>
  <c r="H648" i="1"/>
  <c r="G648" i="1"/>
  <c r="F648" i="1"/>
  <c r="H647" i="1"/>
  <c r="G647" i="1"/>
  <c r="F647" i="1"/>
  <c r="H645" i="1"/>
  <c r="G645" i="1"/>
  <c r="F645" i="1"/>
  <c r="H644" i="1"/>
  <c r="G644" i="1"/>
  <c r="F644" i="1"/>
  <c r="H643" i="1"/>
  <c r="G643" i="1"/>
  <c r="F643" i="1"/>
  <c r="H642" i="1"/>
  <c r="G642" i="1"/>
  <c r="F642" i="1"/>
  <c r="H641" i="1"/>
  <c r="G641" i="1"/>
  <c r="F641" i="1"/>
  <c r="H640" i="1"/>
  <c r="G640" i="1"/>
  <c r="F640" i="1"/>
  <c r="H639" i="1"/>
  <c r="G639" i="1"/>
  <c r="F639" i="1"/>
  <c r="H638" i="1"/>
  <c r="G638" i="1"/>
  <c r="F638" i="1"/>
  <c r="H637" i="1"/>
  <c r="N637" i="1" s="1"/>
  <c r="G637" i="1"/>
  <c r="F637" i="1"/>
  <c r="I637" i="1" l="1"/>
  <c r="I640" i="1"/>
  <c r="I644" i="1"/>
  <c r="I649" i="1"/>
  <c r="I666" i="1"/>
  <c r="I650" i="1"/>
  <c r="N666" i="1"/>
  <c r="I639" i="1"/>
  <c r="I643" i="1"/>
  <c r="I648" i="1"/>
  <c r="I647" i="1"/>
  <c r="I638" i="1"/>
  <c r="I642" i="1"/>
  <c r="I641" i="1"/>
  <c r="I645" i="1"/>
  <c r="O634" i="1" l="1"/>
  <c r="O646" i="1"/>
  <c r="G646" i="1"/>
  <c r="H646" i="1"/>
  <c r="N646" i="1" s="1"/>
  <c r="O295" i="1" l="1"/>
  <c r="H291" i="1"/>
  <c r="N291" i="1" s="1"/>
  <c r="F291" i="1"/>
  <c r="A294" i="1"/>
  <c r="A293" i="1"/>
  <c r="A291" i="1"/>
  <c r="A292" i="1"/>
  <c r="A308" i="1"/>
  <c r="A307" i="1"/>
  <c r="A223" i="1"/>
  <c r="A224" i="1"/>
  <c r="A225" i="1"/>
  <c r="A304" i="1"/>
  <c r="A303" i="1"/>
  <c r="A302" i="1"/>
  <c r="A301" i="1"/>
  <c r="A300" i="1"/>
  <c r="O291" i="1"/>
  <c r="O302" i="1"/>
  <c r="H302" i="1"/>
  <c r="N302" i="1" s="1"/>
  <c r="F302" i="1"/>
  <c r="H303" i="1"/>
  <c r="F303" i="1"/>
  <c r="O9" i="1"/>
  <c r="O8" i="1"/>
  <c r="I302" i="1" l="1"/>
  <c r="I303" i="1"/>
  <c r="I291" i="1"/>
  <c r="O703" i="1" l="1"/>
  <c r="O221" i="1" l="1"/>
  <c r="H20" i="1"/>
  <c r="N20" i="1" s="1"/>
  <c r="O13" i="1"/>
  <c r="G374" i="117" l="1"/>
  <c r="H8" i="117"/>
  <c r="H9" i="117"/>
  <c r="H10" i="117"/>
  <c r="H11" i="117"/>
  <c r="H12" i="117"/>
  <c r="H13" i="117"/>
  <c r="H14" i="117"/>
  <c r="H15" i="117"/>
  <c r="H16" i="117"/>
  <c r="H17" i="117"/>
  <c r="H18" i="117"/>
  <c r="H19" i="117"/>
  <c r="H20" i="117"/>
  <c r="H21" i="117"/>
  <c r="H22" i="117"/>
  <c r="H23" i="117"/>
  <c r="H24" i="117"/>
  <c r="H25" i="117"/>
  <c r="H26" i="117"/>
  <c r="H27" i="117"/>
  <c r="H28" i="117"/>
  <c r="H29" i="117"/>
  <c r="H30" i="117"/>
  <c r="H31" i="117"/>
  <c r="H32" i="117"/>
  <c r="H33" i="117"/>
  <c r="H34" i="117"/>
  <c r="H35" i="117"/>
  <c r="H36" i="117"/>
  <c r="H37" i="117"/>
  <c r="H38" i="117"/>
  <c r="H39" i="117"/>
  <c r="H40" i="117"/>
  <c r="H41" i="117"/>
  <c r="H42" i="117"/>
  <c r="H43" i="117"/>
  <c r="H44" i="117"/>
  <c r="H45" i="117"/>
  <c r="H46" i="117"/>
  <c r="H47" i="117"/>
  <c r="H48" i="117"/>
  <c r="H49" i="117"/>
  <c r="H50" i="117"/>
  <c r="H51" i="117"/>
  <c r="H52" i="117"/>
  <c r="H53" i="117"/>
  <c r="H54" i="117"/>
  <c r="H55" i="117"/>
  <c r="H56" i="117"/>
  <c r="H57" i="117"/>
  <c r="H58" i="117"/>
  <c r="H59" i="117"/>
  <c r="H60" i="117"/>
  <c r="H61" i="117"/>
  <c r="H62" i="117"/>
  <c r="H63" i="117"/>
  <c r="H64" i="117"/>
  <c r="H65" i="117"/>
  <c r="H66" i="117"/>
  <c r="H67" i="117"/>
  <c r="H68" i="117"/>
  <c r="H69" i="117"/>
  <c r="H70" i="117"/>
  <c r="H71" i="117"/>
  <c r="H72" i="117"/>
  <c r="H73" i="117"/>
  <c r="H74" i="117"/>
  <c r="H75" i="117"/>
  <c r="H76" i="117"/>
  <c r="H77" i="117"/>
  <c r="H78" i="117"/>
  <c r="H79" i="117"/>
  <c r="H80" i="117"/>
  <c r="H81" i="117"/>
  <c r="H82" i="117"/>
  <c r="H83" i="117"/>
  <c r="H84" i="117"/>
  <c r="H85" i="117"/>
  <c r="H86" i="117"/>
  <c r="H87" i="117"/>
  <c r="H88" i="117"/>
  <c r="H89" i="117"/>
  <c r="H90" i="117"/>
  <c r="H91" i="117"/>
  <c r="H92" i="117"/>
  <c r="H93" i="117"/>
  <c r="H94" i="117"/>
  <c r="H95" i="117"/>
  <c r="H96" i="117"/>
  <c r="H97" i="117"/>
  <c r="H98" i="117"/>
  <c r="H99" i="117"/>
  <c r="H100" i="117"/>
  <c r="H101" i="117"/>
  <c r="H102" i="117"/>
  <c r="H103" i="117"/>
  <c r="H104" i="117"/>
  <c r="H105" i="117"/>
  <c r="H106" i="117"/>
  <c r="H107" i="117"/>
  <c r="H108" i="117"/>
  <c r="H109" i="117"/>
  <c r="H110" i="117"/>
  <c r="H111" i="117"/>
  <c r="H112" i="117"/>
  <c r="H113" i="117"/>
  <c r="H114" i="117"/>
  <c r="H115" i="117"/>
  <c r="H116" i="117"/>
  <c r="H117" i="117"/>
  <c r="H118" i="117"/>
  <c r="H119" i="117"/>
  <c r="H120" i="117"/>
  <c r="H121" i="117"/>
  <c r="H122" i="117"/>
  <c r="H123" i="117"/>
  <c r="H124" i="117"/>
  <c r="H125" i="117"/>
  <c r="H126" i="117"/>
  <c r="H127" i="117"/>
  <c r="H128" i="117"/>
  <c r="H129" i="117"/>
  <c r="H130" i="117"/>
  <c r="H131" i="117"/>
  <c r="H132" i="117"/>
  <c r="H133" i="117"/>
  <c r="H134" i="117"/>
  <c r="H135" i="117"/>
  <c r="H136" i="117"/>
  <c r="H137" i="117"/>
  <c r="H138" i="117"/>
  <c r="H139" i="117"/>
  <c r="H140" i="117"/>
  <c r="H141" i="117"/>
  <c r="H142" i="117"/>
  <c r="H143" i="117"/>
  <c r="H144" i="117"/>
  <c r="H145" i="117"/>
  <c r="H146" i="117"/>
  <c r="H147" i="117"/>
  <c r="H148" i="117"/>
  <c r="H149" i="117"/>
  <c r="H150" i="117"/>
  <c r="H151" i="117"/>
  <c r="H152" i="117"/>
  <c r="H153" i="117"/>
  <c r="H154" i="117"/>
  <c r="H155" i="117"/>
  <c r="H156" i="117"/>
  <c r="H157" i="117"/>
  <c r="H158" i="117"/>
  <c r="H159" i="117"/>
  <c r="H160" i="117"/>
  <c r="H161" i="117"/>
  <c r="H162" i="117"/>
  <c r="H163" i="117"/>
  <c r="H164" i="117"/>
  <c r="H165" i="117"/>
  <c r="H166" i="117"/>
  <c r="H167" i="117"/>
  <c r="H168" i="117"/>
  <c r="H169" i="117"/>
  <c r="H170" i="117"/>
  <c r="H171" i="117"/>
  <c r="H172" i="117"/>
  <c r="H173" i="117"/>
  <c r="H174" i="117"/>
  <c r="H175" i="117"/>
  <c r="H176" i="117"/>
  <c r="H177" i="117"/>
  <c r="H178" i="117"/>
  <c r="H179" i="117"/>
  <c r="H180" i="117"/>
  <c r="H181" i="117"/>
  <c r="H182" i="117"/>
  <c r="H183" i="117"/>
  <c r="H184" i="117"/>
  <c r="H185" i="117"/>
  <c r="H186" i="117"/>
  <c r="H187" i="117"/>
  <c r="H188" i="117"/>
  <c r="H189" i="117"/>
  <c r="H190" i="117"/>
  <c r="H191" i="117"/>
  <c r="H192" i="117"/>
  <c r="H193" i="117"/>
  <c r="H194" i="117"/>
  <c r="H195" i="117"/>
  <c r="H196" i="117"/>
  <c r="H197" i="117"/>
  <c r="H198" i="117"/>
  <c r="H199" i="117"/>
  <c r="H200" i="117"/>
  <c r="H201" i="117"/>
  <c r="H202" i="117"/>
  <c r="H203" i="117"/>
  <c r="H204" i="117"/>
  <c r="H205" i="117"/>
  <c r="H206" i="117"/>
  <c r="H207" i="117"/>
  <c r="H208" i="117"/>
  <c r="H209" i="117"/>
  <c r="H210" i="117"/>
  <c r="H211" i="117"/>
  <c r="H212" i="117"/>
  <c r="H213" i="117"/>
  <c r="H214" i="117"/>
  <c r="H215" i="117"/>
  <c r="H216" i="117"/>
  <c r="H217" i="117"/>
  <c r="H218" i="117"/>
  <c r="H219" i="117"/>
  <c r="H220" i="117"/>
  <c r="H221" i="117"/>
  <c r="H222" i="117"/>
  <c r="H223" i="117"/>
  <c r="H224" i="117"/>
  <c r="H225" i="117"/>
  <c r="H226" i="117"/>
  <c r="H227" i="117"/>
  <c r="H228" i="117"/>
  <c r="H229" i="117"/>
  <c r="H230" i="117"/>
  <c r="H231" i="117"/>
  <c r="H232" i="117"/>
  <c r="H233" i="117"/>
  <c r="H234" i="117"/>
  <c r="H235" i="117"/>
  <c r="H236" i="117"/>
  <c r="H237" i="117"/>
  <c r="H238" i="117"/>
  <c r="H239" i="117"/>
  <c r="H240" i="117"/>
  <c r="H241" i="117"/>
  <c r="H242" i="117"/>
  <c r="H243" i="117"/>
  <c r="H244" i="117"/>
  <c r="H245" i="117"/>
  <c r="H246" i="117"/>
  <c r="H247" i="117"/>
  <c r="H248" i="117"/>
  <c r="H249" i="117"/>
  <c r="H250" i="117"/>
  <c r="H251" i="117"/>
  <c r="H252" i="117"/>
  <c r="H253" i="117"/>
  <c r="H254" i="117"/>
  <c r="H255" i="117"/>
  <c r="H256" i="117"/>
  <c r="H257" i="117"/>
  <c r="H258" i="117"/>
  <c r="H259" i="117"/>
  <c r="H260" i="117"/>
  <c r="H261" i="117"/>
  <c r="H262" i="117"/>
  <c r="H263" i="117"/>
  <c r="H264" i="117"/>
  <c r="H265" i="117"/>
  <c r="H266" i="117"/>
  <c r="H267" i="117"/>
  <c r="H268" i="117"/>
  <c r="H269" i="117"/>
  <c r="H270" i="117"/>
  <c r="H271" i="117"/>
  <c r="H272" i="117"/>
  <c r="H273" i="117"/>
  <c r="H274" i="117"/>
  <c r="H275" i="117"/>
  <c r="H276" i="117"/>
  <c r="H277" i="117"/>
  <c r="H278" i="117"/>
  <c r="H279" i="117"/>
  <c r="H280" i="117"/>
  <c r="H281" i="117"/>
  <c r="H282" i="117"/>
  <c r="H283" i="117"/>
  <c r="H284" i="117"/>
  <c r="H285" i="117"/>
  <c r="H286" i="117"/>
  <c r="H287" i="117"/>
  <c r="H288" i="117"/>
  <c r="H289" i="117"/>
  <c r="H290" i="117"/>
  <c r="H291" i="117"/>
  <c r="H292" i="117"/>
  <c r="H293" i="117"/>
  <c r="H294" i="117"/>
  <c r="H295" i="117"/>
  <c r="H296" i="117"/>
  <c r="H297" i="117"/>
  <c r="H298" i="117"/>
  <c r="H299" i="117"/>
  <c r="H300" i="117"/>
  <c r="H301" i="117"/>
  <c r="H302" i="117"/>
  <c r="H303" i="117"/>
  <c r="H304" i="117"/>
  <c r="H305" i="117"/>
  <c r="H306" i="117"/>
  <c r="H307" i="117"/>
  <c r="H308" i="117"/>
  <c r="H309" i="117"/>
  <c r="H310" i="117"/>
  <c r="H311" i="117"/>
  <c r="H312" i="117"/>
  <c r="H313" i="117"/>
  <c r="H314" i="117"/>
  <c r="H315" i="117"/>
  <c r="H316" i="117"/>
  <c r="H317" i="117"/>
  <c r="H318" i="117"/>
  <c r="H319" i="117"/>
  <c r="H320" i="117"/>
  <c r="H321" i="117"/>
  <c r="H322" i="117"/>
  <c r="H323" i="117"/>
  <c r="H324" i="117"/>
  <c r="H325" i="117"/>
  <c r="H326" i="117"/>
  <c r="H327" i="117"/>
  <c r="H328" i="117"/>
  <c r="H329" i="117"/>
  <c r="H330" i="117"/>
  <c r="H331" i="117"/>
  <c r="H332" i="117"/>
  <c r="H333" i="117"/>
  <c r="H334" i="117"/>
  <c r="H335" i="117"/>
  <c r="H336" i="117"/>
  <c r="H337" i="117"/>
  <c r="H338" i="117"/>
  <c r="H339" i="117"/>
  <c r="H340" i="117"/>
  <c r="H341" i="117"/>
  <c r="H342" i="117"/>
  <c r="H343" i="117"/>
  <c r="H344" i="117"/>
  <c r="H345" i="117"/>
  <c r="H346" i="117"/>
  <c r="H347" i="117"/>
  <c r="H348" i="117"/>
  <c r="H349" i="117"/>
  <c r="H350" i="117"/>
  <c r="H351" i="117"/>
  <c r="H352" i="117"/>
  <c r="H353" i="117"/>
  <c r="H354" i="117"/>
  <c r="H355" i="117"/>
  <c r="H356" i="117"/>
  <c r="H357" i="117"/>
  <c r="H358" i="117"/>
  <c r="H359" i="117"/>
  <c r="H360" i="117"/>
  <c r="H361" i="117"/>
  <c r="H362" i="117"/>
  <c r="H363" i="117"/>
  <c r="H364" i="117"/>
  <c r="H365" i="117"/>
  <c r="H366" i="117"/>
  <c r="H367" i="117"/>
  <c r="H368" i="117"/>
  <c r="H369" i="117"/>
  <c r="H370" i="117"/>
  <c r="H371" i="117"/>
  <c r="H372" i="117"/>
  <c r="H373" i="117"/>
  <c r="H374" i="117"/>
  <c r="H375" i="117"/>
  <c r="H376" i="117"/>
  <c r="G8" i="117"/>
  <c r="G9" i="117"/>
  <c r="G10" i="117"/>
  <c r="G11" i="117"/>
  <c r="G12" i="117"/>
  <c r="G13" i="117"/>
  <c r="G14" i="117"/>
  <c r="G15" i="117"/>
  <c r="G16" i="117"/>
  <c r="G17" i="117"/>
  <c r="G18" i="117"/>
  <c r="G19" i="117"/>
  <c r="G20" i="117"/>
  <c r="G21" i="117"/>
  <c r="G22" i="117"/>
  <c r="G23" i="117"/>
  <c r="G24" i="117"/>
  <c r="G25" i="117"/>
  <c r="G26" i="117"/>
  <c r="G27" i="117"/>
  <c r="G28" i="117"/>
  <c r="G29" i="117"/>
  <c r="G30" i="117"/>
  <c r="G31" i="117"/>
  <c r="G32" i="117"/>
  <c r="G33" i="117"/>
  <c r="G34" i="117"/>
  <c r="G35" i="117"/>
  <c r="G36" i="117"/>
  <c r="G37" i="117"/>
  <c r="G38" i="117"/>
  <c r="G39" i="117"/>
  <c r="G40" i="117"/>
  <c r="G41" i="117"/>
  <c r="G42" i="117"/>
  <c r="G43" i="117"/>
  <c r="G44" i="117"/>
  <c r="G45" i="117"/>
  <c r="G46" i="117"/>
  <c r="G47" i="117"/>
  <c r="G48" i="117"/>
  <c r="G49" i="117"/>
  <c r="G50" i="117"/>
  <c r="G51" i="117"/>
  <c r="G52" i="117"/>
  <c r="G53" i="117"/>
  <c r="G54" i="117"/>
  <c r="G55" i="117"/>
  <c r="G56" i="117"/>
  <c r="G57" i="117"/>
  <c r="G58" i="117"/>
  <c r="G59" i="117"/>
  <c r="G60" i="117"/>
  <c r="G61" i="117"/>
  <c r="G62" i="117"/>
  <c r="G63" i="117"/>
  <c r="G64" i="117"/>
  <c r="G65" i="117"/>
  <c r="G66" i="117"/>
  <c r="G67" i="117"/>
  <c r="G68" i="117"/>
  <c r="G69" i="117"/>
  <c r="G70" i="117"/>
  <c r="G71" i="117"/>
  <c r="G72" i="117"/>
  <c r="G73" i="117"/>
  <c r="G74" i="117"/>
  <c r="G75" i="117"/>
  <c r="G76" i="117"/>
  <c r="G77" i="117"/>
  <c r="G78" i="117"/>
  <c r="G79" i="117"/>
  <c r="G80" i="117"/>
  <c r="G81" i="117"/>
  <c r="G82" i="117"/>
  <c r="G83" i="117"/>
  <c r="G84" i="117"/>
  <c r="G85" i="117"/>
  <c r="G86" i="117"/>
  <c r="G87" i="117"/>
  <c r="G88" i="117"/>
  <c r="G89" i="117"/>
  <c r="G90" i="117"/>
  <c r="G91" i="117"/>
  <c r="G92" i="117"/>
  <c r="G93" i="117"/>
  <c r="G94" i="117"/>
  <c r="G95" i="117"/>
  <c r="G96" i="117"/>
  <c r="G97" i="117"/>
  <c r="G98" i="117"/>
  <c r="G99" i="117"/>
  <c r="G100" i="117"/>
  <c r="G101" i="117"/>
  <c r="G102" i="117"/>
  <c r="G103" i="117"/>
  <c r="G104" i="117"/>
  <c r="G105" i="117"/>
  <c r="G106" i="117"/>
  <c r="G107" i="117"/>
  <c r="G108" i="117"/>
  <c r="G109" i="117"/>
  <c r="G110" i="117"/>
  <c r="G111" i="117"/>
  <c r="G112" i="117"/>
  <c r="G113" i="117"/>
  <c r="G114" i="117"/>
  <c r="G115" i="117"/>
  <c r="G116" i="117"/>
  <c r="G117" i="117"/>
  <c r="G118" i="117"/>
  <c r="G119" i="117"/>
  <c r="G120" i="117"/>
  <c r="G121" i="117"/>
  <c r="G122" i="117"/>
  <c r="G123" i="117"/>
  <c r="G124" i="117"/>
  <c r="G125" i="117"/>
  <c r="G126" i="117"/>
  <c r="G127" i="117"/>
  <c r="G128" i="117"/>
  <c r="G129" i="117"/>
  <c r="G130" i="117"/>
  <c r="G131" i="117"/>
  <c r="G132" i="117"/>
  <c r="G133" i="117"/>
  <c r="G134" i="117"/>
  <c r="G135" i="117"/>
  <c r="G136" i="117"/>
  <c r="G137" i="117"/>
  <c r="G138" i="117"/>
  <c r="G139" i="117"/>
  <c r="G140" i="117"/>
  <c r="G141" i="117"/>
  <c r="G142" i="117"/>
  <c r="G143" i="117"/>
  <c r="G144" i="117"/>
  <c r="G145" i="117"/>
  <c r="G146" i="117"/>
  <c r="G147" i="117"/>
  <c r="G148" i="117"/>
  <c r="G149" i="117"/>
  <c r="G150" i="117"/>
  <c r="G151" i="117"/>
  <c r="G152" i="117"/>
  <c r="G153" i="117"/>
  <c r="G154" i="117"/>
  <c r="G155" i="117"/>
  <c r="G156" i="117"/>
  <c r="G157" i="117"/>
  <c r="G158" i="117"/>
  <c r="G159" i="117"/>
  <c r="G160" i="117"/>
  <c r="G161" i="117"/>
  <c r="G162" i="117"/>
  <c r="G163" i="117"/>
  <c r="G164" i="117"/>
  <c r="G165" i="117"/>
  <c r="G166" i="117"/>
  <c r="G167" i="117"/>
  <c r="G168" i="117"/>
  <c r="G169" i="117"/>
  <c r="G170" i="117"/>
  <c r="G171" i="117"/>
  <c r="G172" i="117"/>
  <c r="G173" i="117"/>
  <c r="G174" i="117"/>
  <c r="G175" i="117"/>
  <c r="G176" i="117"/>
  <c r="G177" i="117"/>
  <c r="G178" i="117"/>
  <c r="G179" i="117"/>
  <c r="G180" i="117"/>
  <c r="G181" i="117"/>
  <c r="G182" i="117"/>
  <c r="G183" i="117"/>
  <c r="G184" i="117"/>
  <c r="G185" i="117"/>
  <c r="G186" i="117"/>
  <c r="G187" i="117"/>
  <c r="G188" i="117"/>
  <c r="G189" i="117"/>
  <c r="G190" i="117"/>
  <c r="G191" i="117"/>
  <c r="G192" i="117"/>
  <c r="G193" i="117"/>
  <c r="G194" i="117"/>
  <c r="G195" i="117"/>
  <c r="G196" i="117"/>
  <c r="G197" i="117"/>
  <c r="G198" i="117"/>
  <c r="G199" i="117"/>
  <c r="G200" i="117"/>
  <c r="G201" i="117"/>
  <c r="G202" i="117"/>
  <c r="G203" i="117"/>
  <c r="G204" i="117"/>
  <c r="G205" i="117"/>
  <c r="G206" i="117"/>
  <c r="G207" i="117"/>
  <c r="G208" i="117"/>
  <c r="G209" i="117"/>
  <c r="G210" i="117"/>
  <c r="G211" i="117"/>
  <c r="G212" i="117"/>
  <c r="G213" i="117"/>
  <c r="G214" i="117"/>
  <c r="G215" i="117"/>
  <c r="G216" i="117"/>
  <c r="G217" i="117"/>
  <c r="G218" i="117"/>
  <c r="G219" i="117"/>
  <c r="G220" i="117"/>
  <c r="G221" i="117"/>
  <c r="G222" i="117"/>
  <c r="G223" i="117"/>
  <c r="G224" i="117"/>
  <c r="G225" i="117"/>
  <c r="G226" i="117"/>
  <c r="G227" i="117"/>
  <c r="G228" i="117"/>
  <c r="G229" i="117"/>
  <c r="G230" i="117"/>
  <c r="G231" i="117"/>
  <c r="G232" i="117"/>
  <c r="G233" i="117"/>
  <c r="G234" i="117"/>
  <c r="G235" i="117"/>
  <c r="G236" i="117"/>
  <c r="G237" i="117"/>
  <c r="G238" i="117"/>
  <c r="G239" i="117"/>
  <c r="G240" i="117"/>
  <c r="G241" i="117"/>
  <c r="G242" i="117"/>
  <c r="G243" i="117"/>
  <c r="G244" i="117"/>
  <c r="G245" i="117"/>
  <c r="G246" i="117"/>
  <c r="G247" i="117"/>
  <c r="G248" i="117"/>
  <c r="G249" i="117"/>
  <c r="G250" i="117"/>
  <c r="G251" i="117"/>
  <c r="G252" i="117"/>
  <c r="G253" i="117"/>
  <c r="G254" i="117"/>
  <c r="G255" i="117"/>
  <c r="G256" i="117"/>
  <c r="G257" i="117"/>
  <c r="G258" i="117"/>
  <c r="G259" i="117"/>
  <c r="G260" i="117"/>
  <c r="G261" i="117"/>
  <c r="G262" i="117"/>
  <c r="G263" i="117"/>
  <c r="G264" i="117"/>
  <c r="G265" i="117"/>
  <c r="G266" i="117"/>
  <c r="G267" i="117"/>
  <c r="G268" i="117"/>
  <c r="G269" i="117"/>
  <c r="G270" i="117"/>
  <c r="G271" i="117"/>
  <c r="G272" i="117"/>
  <c r="G273" i="117"/>
  <c r="G274" i="117"/>
  <c r="G275" i="117"/>
  <c r="G276" i="117"/>
  <c r="G277" i="117"/>
  <c r="G278" i="117"/>
  <c r="G279" i="117"/>
  <c r="G280" i="117"/>
  <c r="G281" i="117"/>
  <c r="G282" i="117"/>
  <c r="G283" i="117"/>
  <c r="G284" i="117"/>
  <c r="G285" i="117"/>
  <c r="G286" i="117"/>
  <c r="G287" i="117"/>
  <c r="G288" i="117"/>
  <c r="G289" i="117"/>
  <c r="G290" i="117"/>
  <c r="G291" i="117"/>
  <c r="G292" i="117"/>
  <c r="G293" i="117"/>
  <c r="G294" i="117"/>
  <c r="G295" i="117"/>
  <c r="G296" i="117"/>
  <c r="G297" i="117"/>
  <c r="G298" i="117"/>
  <c r="G299" i="117"/>
  <c r="G300" i="117"/>
  <c r="G301" i="117"/>
  <c r="G302" i="117"/>
  <c r="G303" i="117"/>
  <c r="G304" i="117"/>
  <c r="G305" i="117"/>
  <c r="G306" i="117"/>
  <c r="G307" i="117"/>
  <c r="G308" i="117"/>
  <c r="G309" i="117"/>
  <c r="G310" i="117"/>
  <c r="G311" i="117"/>
  <c r="G312" i="117"/>
  <c r="G313" i="117"/>
  <c r="G314" i="117"/>
  <c r="G315" i="117"/>
  <c r="G316" i="117"/>
  <c r="G317" i="117"/>
  <c r="G318" i="117"/>
  <c r="G319" i="117"/>
  <c r="G320" i="117"/>
  <c r="G321" i="117"/>
  <c r="G322" i="117"/>
  <c r="G323" i="117"/>
  <c r="G324" i="117"/>
  <c r="G325" i="117"/>
  <c r="G326" i="117"/>
  <c r="G327" i="117"/>
  <c r="G328" i="117"/>
  <c r="G329" i="117"/>
  <c r="G330" i="117"/>
  <c r="G331" i="117"/>
  <c r="G332" i="117"/>
  <c r="G333" i="117"/>
  <c r="G334" i="117"/>
  <c r="G335" i="117"/>
  <c r="G336" i="117"/>
  <c r="G337" i="117"/>
  <c r="G338" i="117"/>
  <c r="G339" i="117"/>
  <c r="G340" i="117"/>
  <c r="G341" i="117"/>
  <c r="G342" i="117"/>
  <c r="G343" i="117"/>
  <c r="G344" i="117"/>
  <c r="G345" i="117"/>
  <c r="G346" i="117"/>
  <c r="G347" i="117"/>
  <c r="G348" i="117"/>
  <c r="G349" i="117"/>
  <c r="G350" i="117"/>
  <c r="G351" i="117"/>
  <c r="G352" i="117"/>
  <c r="G353" i="117"/>
  <c r="G354" i="117"/>
  <c r="G355" i="117"/>
  <c r="G356" i="117"/>
  <c r="G357" i="117"/>
  <c r="G358" i="117"/>
  <c r="G359" i="117"/>
  <c r="G360" i="117"/>
  <c r="G361" i="117"/>
  <c r="G362" i="117"/>
  <c r="G363" i="117"/>
  <c r="G364" i="117"/>
  <c r="G365" i="117"/>
  <c r="G366" i="117"/>
  <c r="G367" i="117"/>
  <c r="G368" i="117"/>
  <c r="G369" i="117"/>
  <c r="G370" i="117"/>
  <c r="G371" i="117"/>
  <c r="G372" i="117"/>
  <c r="G373" i="117"/>
  <c r="G375" i="117"/>
  <c r="G376" i="117"/>
  <c r="H7" i="117"/>
  <c r="G7" i="117"/>
  <c r="G5" i="117"/>
  <c r="G6" i="117"/>
  <c r="H6" i="117"/>
  <c r="H5" i="117"/>
  <c r="E334" i="110"/>
  <c r="N373" i="117"/>
  <c r="H379" i="80" l="1"/>
  <c r="H378" i="80"/>
  <c r="H377" i="80"/>
  <c r="H376" i="80"/>
  <c r="H375" i="80"/>
  <c r="H374" i="80"/>
  <c r="H373" i="80"/>
  <c r="H372" i="80"/>
  <c r="H371" i="80"/>
  <c r="H369" i="80"/>
  <c r="H368" i="80"/>
  <c r="H367" i="80"/>
  <c r="H366" i="80"/>
  <c r="H365" i="80"/>
  <c r="H364" i="80"/>
  <c r="H363" i="80"/>
  <c r="H362" i="80"/>
  <c r="H361" i="80"/>
  <c r="H360" i="80"/>
  <c r="H359" i="80"/>
  <c r="H358" i="80"/>
  <c r="H357" i="80"/>
  <c r="H356" i="80"/>
  <c r="H354" i="80"/>
  <c r="H353" i="80"/>
  <c r="H352" i="80"/>
  <c r="H351" i="80"/>
  <c r="H350" i="80"/>
  <c r="H349" i="80"/>
  <c r="H348" i="80"/>
  <c r="H347" i="80"/>
  <c r="H345" i="80"/>
  <c r="H344" i="80"/>
  <c r="H343" i="80"/>
  <c r="H342" i="80"/>
  <c r="H341" i="80"/>
  <c r="H340" i="80"/>
  <c r="H339" i="80"/>
  <c r="H338" i="80"/>
  <c r="H337" i="80"/>
  <c r="H336" i="80"/>
  <c r="H334" i="80"/>
  <c r="H333" i="80"/>
  <c r="H332" i="80"/>
  <c r="H331" i="80"/>
  <c r="H330" i="80"/>
  <c r="H329" i="80"/>
  <c r="H328" i="80"/>
  <c r="H327" i="80"/>
  <c r="H326" i="80"/>
  <c r="H325" i="80"/>
  <c r="H324" i="80"/>
  <c r="H318" i="80"/>
  <c r="H316" i="80"/>
  <c r="H315" i="80"/>
  <c r="H314" i="80"/>
  <c r="H313" i="80"/>
  <c r="H312" i="80"/>
  <c r="H311" i="80"/>
  <c r="H310" i="80"/>
  <c r="H309" i="80"/>
  <c r="H308" i="80"/>
  <c r="H307" i="80"/>
  <c r="H306" i="80"/>
  <c r="H305" i="80"/>
  <c r="H300" i="80"/>
  <c r="H299" i="80"/>
  <c r="H298" i="80"/>
  <c r="H297" i="80"/>
  <c r="H296" i="80"/>
  <c r="H295" i="80"/>
  <c r="H294" i="80"/>
  <c r="H293" i="80"/>
  <c r="H292" i="80"/>
  <c r="H290" i="80"/>
  <c r="H289" i="80"/>
  <c r="H288" i="80"/>
  <c r="H287" i="80"/>
  <c r="H286" i="80"/>
  <c r="H285" i="80"/>
  <c r="H284" i="80"/>
  <c r="H282" i="80"/>
  <c r="H281" i="80"/>
  <c r="H280" i="80"/>
  <c r="H279" i="80"/>
  <c r="H278" i="80"/>
  <c r="H277" i="80"/>
  <c r="H276" i="80"/>
  <c r="H275" i="80"/>
  <c r="H274" i="80"/>
  <c r="H273" i="80"/>
  <c r="H272" i="80"/>
  <c r="H270" i="80"/>
  <c r="H269" i="80"/>
  <c r="H268" i="80"/>
  <c r="H267" i="80"/>
  <c r="H266" i="80"/>
  <c r="H265" i="80"/>
  <c r="H264" i="80"/>
  <c r="H263" i="80"/>
  <c r="H261" i="80"/>
  <c r="H260" i="80"/>
  <c r="H259" i="80"/>
  <c r="H258" i="80"/>
  <c r="H257" i="80"/>
  <c r="H252" i="80"/>
  <c r="H251" i="80"/>
  <c r="H250" i="80"/>
  <c r="H249" i="80"/>
  <c r="H248" i="80"/>
  <c r="H247" i="80"/>
  <c r="H246" i="80"/>
  <c r="H244" i="80"/>
  <c r="H243" i="80"/>
  <c r="H242" i="80"/>
  <c r="H241" i="80"/>
  <c r="H240" i="80"/>
  <c r="H239" i="80"/>
  <c r="H238" i="80"/>
  <c r="H237" i="80"/>
  <c r="H236" i="80"/>
  <c r="H235" i="80"/>
  <c r="H234" i="80"/>
  <c r="H232" i="80"/>
  <c r="H229" i="80"/>
  <c r="H227" i="80"/>
  <c r="H226" i="80"/>
  <c r="H225" i="80"/>
  <c r="H224" i="80"/>
  <c r="H223" i="80"/>
  <c r="H222" i="80"/>
  <c r="H221" i="80"/>
  <c r="H220" i="80"/>
  <c r="H219" i="80"/>
  <c r="H218" i="80"/>
  <c r="H217" i="80"/>
  <c r="H216" i="80"/>
  <c r="H215" i="80"/>
  <c r="H213" i="80"/>
  <c r="H212" i="80"/>
  <c r="H211" i="80"/>
  <c r="H210" i="80"/>
  <c r="H209" i="80"/>
  <c r="H208" i="80"/>
  <c r="H207" i="80"/>
  <c r="H206" i="80"/>
  <c r="H205" i="80"/>
  <c r="H204" i="80"/>
  <c r="H203" i="80"/>
  <c r="H202" i="80"/>
  <c r="H201" i="80"/>
  <c r="H199" i="80"/>
  <c r="H198" i="80"/>
  <c r="H197" i="80"/>
  <c r="H196" i="80"/>
  <c r="H195" i="80"/>
  <c r="H194" i="80"/>
  <c r="H193" i="80"/>
  <c r="H192" i="80"/>
  <c r="H191" i="80"/>
  <c r="H190" i="80"/>
  <c r="H189" i="80"/>
  <c r="H188" i="80"/>
  <c r="H186" i="80"/>
  <c r="H185" i="80"/>
  <c r="H184" i="80"/>
  <c r="H183" i="80"/>
  <c r="H182" i="80"/>
  <c r="H181" i="80"/>
  <c r="H180" i="80"/>
  <c r="H179" i="80"/>
  <c r="H178" i="80"/>
  <c r="H176" i="80"/>
  <c r="H175" i="80"/>
  <c r="H174" i="80"/>
  <c r="H173" i="80"/>
  <c r="H172" i="80"/>
  <c r="H171" i="80"/>
  <c r="H170" i="80"/>
  <c r="H169" i="80"/>
  <c r="H168" i="80"/>
  <c r="H166" i="80"/>
  <c r="H165" i="80"/>
  <c r="H164" i="80"/>
  <c r="H163" i="80"/>
  <c r="H162" i="80"/>
  <c r="H161" i="80"/>
  <c r="H160" i="80"/>
  <c r="H159" i="80"/>
  <c r="H158" i="80"/>
  <c r="H157" i="80"/>
  <c r="H155" i="80"/>
  <c r="H154" i="80"/>
  <c r="H153" i="80"/>
  <c r="H152" i="80"/>
  <c r="H151" i="80"/>
  <c r="H150" i="80"/>
  <c r="H149" i="80"/>
  <c r="H148" i="80"/>
  <c r="H147" i="80"/>
  <c r="H146" i="80"/>
  <c r="H145" i="80"/>
  <c r="H143" i="80"/>
  <c r="H142" i="80"/>
  <c r="H141" i="80"/>
  <c r="H140" i="80"/>
  <c r="H139" i="80"/>
  <c r="H138" i="80"/>
  <c r="H137" i="80"/>
  <c r="H136" i="80"/>
  <c r="H135" i="80"/>
  <c r="H134" i="80"/>
  <c r="H133" i="80"/>
  <c r="H132" i="80"/>
  <c r="H131" i="80"/>
  <c r="H130" i="80"/>
  <c r="H129" i="80"/>
  <c r="H128" i="80"/>
  <c r="H126" i="80"/>
  <c r="H125" i="80"/>
  <c r="H124" i="80"/>
  <c r="H123" i="80"/>
  <c r="H122" i="80"/>
  <c r="H121" i="80"/>
  <c r="H120" i="80"/>
  <c r="H119" i="80"/>
  <c r="H118" i="80"/>
  <c r="H117" i="80"/>
  <c r="H115" i="80"/>
  <c r="H114" i="80"/>
  <c r="H113" i="80"/>
  <c r="H112" i="80"/>
  <c r="H111" i="80"/>
  <c r="H110" i="80"/>
  <c r="H109" i="80"/>
  <c r="H108" i="80"/>
  <c r="H107" i="80"/>
  <c r="H106" i="80"/>
  <c r="H105" i="80"/>
  <c r="H104" i="80"/>
  <c r="H102" i="80"/>
  <c r="H101" i="80"/>
  <c r="H100" i="80"/>
  <c r="H99" i="80"/>
  <c r="H98" i="80"/>
  <c r="H97" i="80"/>
  <c r="H96" i="80"/>
  <c r="H95" i="80"/>
  <c r="H94" i="80"/>
  <c r="H93" i="80"/>
  <c r="H92" i="80"/>
  <c r="H90" i="80"/>
  <c r="H89" i="80"/>
  <c r="H88" i="80"/>
  <c r="H87" i="80"/>
  <c r="H86" i="80"/>
  <c r="H85" i="80"/>
  <c r="H84" i="80"/>
  <c r="H82" i="80"/>
  <c r="H81" i="80"/>
  <c r="H80" i="80"/>
  <c r="H79" i="80"/>
  <c r="H78" i="80"/>
  <c r="H77" i="80"/>
  <c r="H76" i="80"/>
  <c r="H75" i="80"/>
  <c r="H73" i="80"/>
  <c r="H72" i="80"/>
  <c r="H71" i="80"/>
  <c r="H70" i="80"/>
  <c r="H69" i="80"/>
  <c r="H68" i="80"/>
  <c r="H67" i="80"/>
  <c r="H66" i="80"/>
  <c r="H65" i="80"/>
  <c r="H64" i="80"/>
  <c r="H63" i="80"/>
  <c r="H61" i="80"/>
  <c r="H60" i="80"/>
  <c r="H59" i="80"/>
  <c r="H58" i="80"/>
  <c r="H57" i="80"/>
  <c r="H56" i="80"/>
  <c r="H55" i="80"/>
  <c r="H54" i="80"/>
  <c r="H53" i="80"/>
  <c r="H52" i="80"/>
  <c r="H51" i="80"/>
  <c r="H49" i="80"/>
  <c r="H48" i="80"/>
  <c r="H47" i="80"/>
  <c r="H46" i="80"/>
  <c r="H45" i="80"/>
  <c r="H44" i="80"/>
  <c r="H43" i="80"/>
  <c r="H42" i="80"/>
  <c r="H40" i="80"/>
  <c r="H39" i="80"/>
  <c r="H38" i="80"/>
  <c r="H37" i="80"/>
  <c r="H36" i="80"/>
  <c r="H35" i="80"/>
  <c r="H34" i="80"/>
  <c r="H33" i="80"/>
  <c r="H32" i="80"/>
  <c r="H31" i="80"/>
  <c r="H29" i="80"/>
  <c r="H28" i="80"/>
  <c r="H27" i="80"/>
  <c r="H26" i="80"/>
  <c r="H25" i="80"/>
  <c r="H24" i="80"/>
  <c r="H23" i="80"/>
  <c r="H22" i="80"/>
  <c r="H20" i="80"/>
  <c r="H19" i="80"/>
  <c r="H18" i="80"/>
  <c r="H17" i="80"/>
  <c r="H16" i="80"/>
  <c r="H15" i="80"/>
  <c r="H14" i="80"/>
  <c r="H13" i="80"/>
  <c r="H12" i="80"/>
  <c r="H11" i="80"/>
  <c r="H9" i="80"/>
  <c r="H8" i="80"/>
  <c r="H7" i="80"/>
  <c r="H6" i="80"/>
  <c r="H5" i="80"/>
  <c r="H4" i="80"/>
  <c r="H3" i="80"/>
  <c r="H2" i="80"/>
  <c r="A306" i="80"/>
  <c r="A305" i="80"/>
  <c r="A304" i="80"/>
  <c r="A303" i="80"/>
  <c r="A302" i="80"/>
  <c r="A301" i="80"/>
  <c r="A300" i="80"/>
  <c r="A299" i="80"/>
  <c r="A298" i="80"/>
  <c r="A297" i="80"/>
  <c r="A296" i="80"/>
  <c r="A295" i="80"/>
  <c r="A294" i="80"/>
  <c r="A293" i="80"/>
  <c r="A292" i="80"/>
  <c r="A291" i="80"/>
  <c r="A290" i="80"/>
  <c r="A289" i="80"/>
  <c r="A288" i="80"/>
  <c r="A287" i="80"/>
  <c r="A286" i="80"/>
  <c r="A285" i="80"/>
  <c r="A284" i="80"/>
  <c r="H382" i="80" l="1"/>
  <c r="A380" i="80"/>
  <c r="A315" i="80"/>
  <c r="A283" i="80"/>
  <c r="A282" i="80"/>
  <c r="A244" i="80"/>
  <c r="A213" i="80"/>
  <c r="A207" i="80"/>
  <c r="A205" i="80"/>
  <c r="A204" i="80"/>
  <c r="A203" i="80"/>
  <c r="A202" i="80"/>
  <c r="A201" i="80"/>
  <c r="A200" i="80"/>
  <c r="A199" i="80"/>
  <c r="A198" i="80"/>
  <c r="A197" i="80"/>
  <c r="A196" i="80"/>
  <c r="A195" i="80"/>
  <c r="A194" i="80"/>
  <c r="A193" i="80"/>
  <c r="A192" i="80"/>
  <c r="A191" i="80"/>
  <c r="A190" i="80"/>
  <c r="A189" i="80"/>
  <c r="A188" i="80"/>
  <c r="A187" i="80"/>
  <c r="A186" i="80"/>
  <c r="A185" i="80"/>
  <c r="A184" i="80"/>
  <c r="A183" i="80"/>
  <c r="A182" i="80"/>
  <c r="A181" i="80"/>
  <c r="A180" i="80"/>
  <c r="A179" i="80"/>
  <c r="A178" i="80"/>
  <c r="A149" i="80"/>
  <c r="A148" i="80"/>
  <c r="A147" i="80"/>
  <c r="A146" i="80"/>
  <c r="A145" i="80"/>
  <c r="A144" i="80"/>
  <c r="A143" i="80"/>
  <c r="A142" i="80"/>
  <c r="A141" i="80"/>
  <c r="A140" i="80"/>
  <c r="A137" i="80"/>
  <c r="A139" i="80"/>
  <c r="A138" i="80"/>
  <c r="A136" i="80"/>
  <c r="A135" i="80"/>
  <c r="A134" i="80"/>
  <c r="A133" i="80"/>
  <c r="A132" i="80"/>
  <c r="A131" i="80"/>
  <c r="A130" i="80"/>
  <c r="A129" i="80"/>
  <c r="A128" i="80"/>
  <c r="A127" i="80"/>
  <c r="A126" i="80"/>
  <c r="A125" i="80"/>
  <c r="A124" i="80"/>
  <c r="A123" i="80"/>
  <c r="A122" i="80"/>
  <c r="A115" i="80"/>
  <c r="A121" i="80"/>
  <c r="A120" i="80"/>
  <c r="A119" i="80"/>
  <c r="A118" i="80"/>
  <c r="A117" i="80"/>
  <c r="A116" i="80"/>
  <c r="A114" i="80"/>
  <c r="A113" i="80"/>
  <c r="A112" i="80"/>
  <c r="A111" i="80"/>
  <c r="A110" i="80"/>
  <c r="A109" i="80"/>
  <c r="A108" i="80"/>
  <c r="A107" i="80"/>
  <c r="A106" i="80"/>
  <c r="A105" i="80"/>
  <c r="A104" i="80"/>
  <c r="A103" i="80"/>
  <c r="A102" i="80"/>
  <c r="A101" i="80"/>
  <c r="A100" i="80"/>
  <c r="A99" i="80"/>
  <c r="A98" i="80"/>
  <c r="A97" i="80"/>
  <c r="A96" i="80"/>
  <c r="A95" i="80"/>
  <c r="A94" i="80"/>
  <c r="A93" i="80"/>
  <c r="A92" i="80"/>
  <c r="A91" i="80"/>
  <c r="A90" i="80"/>
  <c r="A89" i="80"/>
  <c r="A88" i="80"/>
  <c r="A87" i="80"/>
  <c r="A86" i="80"/>
  <c r="A85" i="80"/>
  <c r="A84" i="80"/>
  <c r="A83" i="80"/>
  <c r="A82" i="80"/>
  <c r="A81" i="80"/>
  <c r="A80" i="80"/>
  <c r="A79" i="80"/>
  <c r="A78" i="80"/>
  <c r="A77" i="80"/>
  <c r="A76" i="80"/>
  <c r="A75" i="80"/>
  <c r="A74" i="80"/>
  <c r="A73" i="80"/>
  <c r="A72" i="80"/>
  <c r="A71" i="80"/>
  <c r="A70" i="80"/>
  <c r="A69" i="80"/>
  <c r="A68" i="80"/>
  <c r="A67" i="80"/>
  <c r="A66" i="80"/>
  <c r="A65" i="80"/>
  <c r="A64" i="80"/>
  <c r="A63" i="80"/>
  <c r="A62" i="80"/>
  <c r="A61" i="80"/>
  <c r="A60" i="80"/>
  <c r="A59" i="80"/>
  <c r="A58" i="80"/>
  <c r="A57" i="80"/>
  <c r="A56" i="80"/>
  <c r="A55" i="80"/>
  <c r="A54" i="80"/>
  <c r="A53" i="80"/>
  <c r="A52" i="80"/>
  <c r="A51" i="80"/>
  <c r="A50" i="80"/>
  <c r="A49" i="80"/>
  <c r="A48" i="80"/>
  <c r="A47" i="80"/>
  <c r="A46" i="80"/>
  <c r="A45" i="80"/>
  <c r="A44" i="80"/>
  <c r="A43" i="80"/>
  <c r="A42" i="80"/>
  <c r="A41" i="80"/>
  <c r="A40" i="80"/>
  <c r="A39" i="80"/>
  <c r="A38" i="80"/>
  <c r="A37" i="80"/>
  <c r="A36" i="80"/>
  <c r="A35" i="80"/>
  <c r="A34" i="80"/>
  <c r="A33" i="80"/>
  <c r="A32" i="80"/>
  <c r="A31" i="80"/>
  <c r="A30" i="80"/>
  <c r="A29" i="80"/>
  <c r="A28" i="80"/>
  <c r="A27" i="80"/>
  <c r="A26" i="80"/>
  <c r="A25" i="80"/>
  <c r="A24" i="80"/>
  <c r="A23" i="80"/>
  <c r="A22" i="80"/>
  <c r="A21" i="80"/>
  <c r="A20" i="80"/>
  <c r="A19" i="80"/>
  <c r="A18" i="80"/>
  <c r="A17" i="80"/>
  <c r="A16" i="80"/>
  <c r="A15" i="80"/>
  <c r="A14" i="80"/>
  <c r="A13" i="80"/>
  <c r="A12" i="80"/>
  <c r="A11" i="80"/>
  <c r="A10" i="80"/>
  <c r="A9" i="80"/>
  <c r="A8" i="80"/>
  <c r="A7" i="80"/>
  <c r="A6" i="80"/>
  <c r="A5" i="80"/>
  <c r="A4" i="80"/>
  <c r="H45" i="15" s="1"/>
  <c r="A3" i="80"/>
  <c r="H41" i="15" s="1"/>
  <c r="A2" i="80"/>
  <c r="I44" i="40" l="1"/>
  <c r="G45" i="15"/>
  <c r="G42" i="15"/>
  <c r="G41" i="15"/>
  <c r="G44" i="15"/>
  <c r="G43" i="15"/>
  <c r="G44" i="41"/>
  <c r="G49" i="26"/>
  <c r="G49" i="24"/>
  <c r="G47" i="42"/>
  <c r="G55" i="26"/>
  <c r="G47" i="24"/>
  <c r="G52" i="24"/>
  <c r="G51" i="26"/>
  <c r="G41" i="42"/>
  <c r="G51" i="41"/>
  <c r="G56" i="26"/>
  <c r="G48" i="26"/>
  <c r="G48" i="24"/>
  <c r="G46" i="42"/>
  <c r="G50" i="41"/>
  <c r="G47" i="26"/>
  <c r="G45" i="42"/>
  <c r="G52" i="26"/>
  <c r="G44" i="24"/>
  <c r="G51" i="24"/>
  <c r="G49" i="41"/>
  <c r="G54" i="26"/>
  <c r="G46" i="26"/>
  <c r="G46" i="24"/>
  <c r="G44" i="42"/>
  <c r="G48" i="41"/>
  <c r="G53" i="26"/>
  <c r="G53" i="24"/>
  <c r="G45" i="24"/>
  <c r="G43" i="42"/>
  <c r="G47" i="41"/>
  <c r="G42" i="42"/>
  <c r="G46" i="41"/>
  <c r="G43" i="24"/>
  <c r="G45" i="41"/>
  <c r="G50" i="26"/>
  <c r="G50" i="24"/>
  <c r="G48" i="42"/>
  <c r="H44" i="15"/>
  <c r="H42" i="15"/>
  <c r="H43" i="15"/>
  <c r="G49" i="40"/>
  <c r="H44" i="40"/>
  <c r="I47" i="21"/>
  <c r="G49" i="21"/>
  <c r="G48" i="21"/>
  <c r="H49" i="21"/>
  <c r="G47" i="21"/>
  <c r="I49" i="21"/>
  <c r="H48" i="21"/>
  <c r="G46" i="21"/>
  <c r="I48" i="21"/>
  <c r="H47" i="21"/>
  <c r="I61" i="22"/>
  <c r="H59" i="22"/>
  <c r="G58" i="22"/>
  <c r="I54" i="22"/>
  <c r="H55" i="22"/>
  <c r="G56" i="22"/>
  <c r="I51" i="22"/>
  <c r="H48" i="22"/>
  <c r="G47" i="22"/>
  <c r="H49" i="15"/>
  <c r="I47" i="15"/>
  <c r="I43" i="15"/>
  <c r="G49" i="15"/>
  <c r="H58" i="18"/>
  <c r="H54" i="18"/>
  <c r="H50" i="18"/>
  <c r="G58" i="18"/>
  <c r="G54" i="18"/>
  <c r="G50" i="18"/>
  <c r="I58" i="18"/>
  <c r="I54" i="18"/>
  <c r="I50" i="18"/>
  <c r="H56" i="35"/>
  <c r="H52" i="35"/>
  <c r="H48" i="35"/>
  <c r="G55" i="35"/>
  <c r="G51" i="35"/>
  <c r="I57" i="35"/>
  <c r="I54" i="35"/>
  <c r="I50" i="35"/>
  <c r="H48" i="31"/>
  <c r="H44" i="31"/>
  <c r="G47" i="31"/>
  <c r="G43" i="31"/>
  <c r="I46" i="31"/>
  <c r="I51" i="41"/>
  <c r="H50" i="41"/>
  <c r="I46" i="41"/>
  <c r="H46" i="41"/>
  <c r="H55" i="26"/>
  <c r="H52" i="26"/>
  <c r="I49" i="26"/>
  <c r="H48" i="26"/>
  <c r="H50" i="24"/>
  <c r="I51" i="24"/>
  <c r="I45" i="24"/>
  <c r="H51" i="24"/>
  <c r="H45" i="24"/>
  <c r="I46" i="42"/>
  <c r="I44" i="42"/>
  <c r="H44" i="42"/>
  <c r="I44" i="30"/>
  <c r="H43" i="30"/>
  <c r="G42" i="30"/>
  <c r="G46" i="30"/>
  <c r="I49" i="30"/>
  <c r="G49" i="37"/>
  <c r="H48" i="37"/>
  <c r="I47" i="37"/>
  <c r="I53" i="37"/>
  <c r="H52" i="37"/>
  <c r="G51" i="37"/>
  <c r="H51" i="20"/>
  <c r="H48" i="20"/>
  <c r="G49" i="20"/>
  <c r="I53" i="20"/>
  <c r="H47" i="20"/>
  <c r="H46" i="20"/>
  <c r="H44" i="20"/>
  <c r="I49" i="40"/>
  <c r="G47" i="40"/>
  <c r="H61" i="22"/>
  <c r="G59" i="22"/>
  <c r="I57" i="22"/>
  <c r="I53" i="22"/>
  <c r="H54" i="22"/>
  <c r="G55" i="22"/>
  <c r="H51" i="22"/>
  <c r="G48" i="22"/>
  <c r="I49" i="22"/>
  <c r="H48" i="15"/>
  <c r="H40" i="15"/>
  <c r="I46" i="15"/>
  <c r="I42" i="15"/>
  <c r="G48" i="15"/>
  <c r="G40" i="15"/>
  <c r="H57" i="18"/>
  <c r="H53" i="18"/>
  <c r="H49" i="18"/>
  <c r="G57" i="18"/>
  <c r="G53" i="18"/>
  <c r="G49" i="18"/>
  <c r="I57" i="18"/>
  <c r="I53" i="18"/>
  <c r="I49" i="18"/>
  <c r="H55" i="35"/>
  <c r="H51" i="35"/>
  <c r="G58" i="35"/>
  <c r="G54" i="35"/>
  <c r="G50" i="35"/>
  <c r="I56" i="35"/>
  <c r="I53" i="35"/>
  <c r="I49" i="35"/>
  <c r="H47" i="31"/>
  <c r="H43" i="31"/>
  <c r="G46" i="31"/>
  <c r="I49" i="31"/>
  <c r="I45" i="31"/>
  <c r="I50" i="41"/>
  <c r="H49" i="41"/>
  <c r="I44" i="41"/>
  <c r="I45" i="41"/>
  <c r="H45" i="41"/>
  <c r="I55" i="26"/>
  <c r="H54" i="26"/>
  <c r="I52" i="26"/>
  <c r="H51" i="26"/>
  <c r="I48" i="26"/>
  <c r="H47" i="26"/>
  <c r="I49" i="24"/>
  <c r="I48" i="24"/>
  <c r="I44" i="24"/>
  <c r="H48" i="24"/>
  <c r="H44" i="24"/>
  <c r="H48" i="42"/>
  <c r="I43" i="42"/>
  <c r="H43" i="42"/>
  <c r="I43" i="30"/>
  <c r="H42" i="30"/>
  <c r="G43" i="30"/>
  <c r="I47" i="30"/>
  <c r="H49" i="30"/>
  <c r="G48" i="37"/>
  <c r="H47" i="37"/>
  <c r="G47" i="37"/>
  <c r="I52" i="37"/>
  <c r="H51" i="37"/>
  <c r="I52" i="20"/>
  <c r="G51" i="20"/>
  <c r="G48" i="20"/>
  <c r="I50" i="20"/>
  <c r="H53" i="20"/>
  <c r="G47" i="20"/>
  <c r="H45" i="20"/>
  <c r="G44" i="20"/>
  <c r="H49" i="40"/>
  <c r="I46" i="40"/>
  <c r="G61" i="22"/>
  <c r="I58" i="22"/>
  <c r="I56" i="22"/>
  <c r="H57" i="22"/>
  <c r="H53" i="22"/>
  <c r="G54" i="22"/>
  <c r="G51" i="22"/>
  <c r="I47" i="22"/>
  <c r="H49" i="22"/>
  <c r="H47" i="15"/>
  <c r="I49" i="15"/>
  <c r="I45" i="15"/>
  <c r="I41" i="15"/>
  <c r="G47" i="15"/>
  <c r="H60" i="18"/>
  <c r="H56" i="18"/>
  <c r="H52" i="18"/>
  <c r="G60" i="18"/>
  <c r="G56" i="18"/>
  <c r="G52" i="18"/>
  <c r="I60" i="18"/>
  <c r="I56" i="18"/>
  <c r="I52" i="18"/>
  <c r="H58" i="35"/>
  <c r="H54" i="35"/>
  <c r="H50" i="35"/>
  <c r="G57" i="35"/>
  <c r="G53" i="35"/>
  <c r="G49" i="35"/>
  <c r="I58" i="35"/>
  <c r="I52" i="35"/>
  <c r="I48" i="35"/>
  <c r="H46" i="31"/>
  <c r="G49" i="31"/>
  <c r="G45" i="31"/>
  <c r="I48" i="31"/>
  <c r="I44" i="31"/>
  <c r="I49" i="41"/>
  <c r="I48" i="41"/>
  <c r="H48" i="41"/>
  <c r="H44" i="41"/>
  <c r="I56" i="26"/>
  <c r="I54" i="26"/>
  <c r="H53" i="26"/>
  <c r="I51" i="26"/>
  <c r="H50" i="26"/>
  <c r="I47" i="26"/>
  <c r="H49" i="24"/>
  <c r="I53" i="24"/>
  <c r="I47" i="24"/>
  <c r="H53" i="24"/>
  <c r="H47" i="24"/>
  <c r="H43" i="24"/>
  <c r="H47" i="42"/>
  <c r="I42" i="42"/>
  <c r="H42" i="42"/>
  <c r="I42" i="30"/>
  <c r="H41" i="30"/>
  <c r="I46" i="30"/>
  <c r="H47" i="30"/>
  <c r="G49" i="30"/>
  <c r="H50" i="37"/>
  <c r="I48" i="37"/>
  <c r="G46" i="37"/>
  <c r="I51" i="37"/>
  <c r="G53" i="37"/>
  <c r="I51" i="20"/>
  <c r="G52" i="20"/>
  <c r="I49" i="20"/>
  <c r="H50" i="20"/>
  <c r="G53" i="20"/>
  <c r="G46" i="20"/>
  <c r="I45" i="20"/>
  <c r="H50" i="40"/>
  <c r="I59" i="22"/>
  <c r="H58" i="22"/>
  <c r="I55" i="22"/>
  <c r="H56" i="22"/>
  <c r="G57" i="22"/>
  <c r="G53" i="22"/>
  <c r="I48" i="22"/>
  <c r="H47" i="22"/>
  <c r="G49" i="22"/>
  <c r="H46" i="15"/>
  <c r="I48" i="15"/>
  <c r="I44" i="15"/>
  <c r="I40" i="15"/>
  <c r="G46" i="15"/>
  <c r="H59" i="18"/>
  <c r="H55" i="18"/>
  <c r="H51" i="18"/>
  <c r="G59" i="18"/>
  <c r="G55" i="18"/>
  <c r="G51" i="18"/>
  <c r="I59" i="18"/>
  <c r="I55" i="18"/>
  <c r="I51" i="18"/>
  <c r="H57" i="35"/>
  <c r="H53" i="35"/>
  <c r="H49" i="35"/>
  <c r="G56" i="35"/>
  <c r="G52" i="35"/>
  <c r="G48" i="35"/>
  <c r="I55" i="35"/>
  <c r="I51" i="35"/>
  <c r="H49" i="31"/>
  <c r="H45" i="31"/>
  <c r="G48" i="31"/>
  <c r="G44" i="31"/>
  <c r="I47" i="31"/>
  <c r="I43" i="31"/>
  <c r="H51" i="41"/>
  <c r="I47" i="41"/>
  <c r="H47" i="41"/>
  <c r="H56" i="26"/>
  <c r="I53" i="26"/>
  <c r="I50" i="26"/>
  <c r="H49" i="26"/>
  <c r="I50" i="24"/>
  <c r="I52" i="24"/>
  <c r="I46" i="24"/>
  <c r="H52" i="24"/>
  <c r="H46" i="24"/>
  <c r="I48" i="42"/>
  <c r="H46" i="42"/>
  <c r="I45" i="42"/>
  <c r="H45" i="42"/>
  <c r="I41" i="30"/>
  <c r="G41" i="30"/>
  <c r="H46" i="30"/>
  <c r="G47" i="30"/>
  <c r="G50" i="37"/>
  <c r="H49" i="37"/>
  <c r="I49" i="37"/>
  <c r="I50" i="37"/>
  <c r="H53" i="37"/>
  <c r="G52" i="37"/>
  <c r="H52" i="20"/>
  <c r="I48" i="20"/>
  <c r="H49" i="20"/>
  <c r="G50" i="20"/>
  <c r="I47" i="20"/>
  <c r="I46" i="20"/>
  <c r="I44" i="20"/>
  <c r="I50" i="40"/>
  <c r="H48" i="40"/>
  <c r="H51" i="40"/>
  <c r="G50" i="40"/>
  <c r="G45" i="40"/>
  <c r="G46" i="40"/>
  <c r="I51" i="40"/>
  <c r="G51" i="40"/>
  <c r="H45" i="40"/>
  <c r="H46" i="40"/>
  <c r="G48" i="40"/>
  <c r="G44" i="40"/>
  <c r="I45" i="40"/>
  <c r="I48" i="40"/>
  <c r="D52" i="66"/>
  <c r="C52" i="66"/>
  <c r="G55" i="24" l="1"/>
  <c r="G58" i="26"/>
  <c r="G50" i="42"/>
  <c r="G53" i="41"/>
  <c r="G54" i="40"/>
  <c r="H51" i="31"/>
  <c r="H62" i="18"/>
  <c r="N119" i="117" s="1"/>
  <c r="H51" i="15"/>
  <c r="N130" i="117" s="1"/>
  <c r="H60" i="35"/>
  <c r="N106" i="117" s="1"/>
  <c r="G60" i="35"/>
  <c r="H55" i="24"/>
  <c r="N65" i="117" s="1"/>
  <c r="G62" i="18"/>
  <c r="G55" i="37"/>
  <c r="H55" i="20"/>
  <c r="N24" i="117" s="1"/>
  <c r="H53" i="41"/>
  <c r="N86" i="117" s="1"/>
  <c r="G51" i="15"/>
  <c r="G51" i="31"/>
  <c r="B47" i="109"/>
  <c r="B9" i="109"/>
  <c r="B18" i="109"/>
  <c r="B17" i="109"/>
  <c r="B16" i="109"/>
  <c r="B15" i="109"/>
  <c r="B14" i="109"/>
  <c r="B13" i="109"/>
  <c r="B12" i="109"/>
  <c r="B11" i="109"/>
  <c r="B10" i="109"/>
  <c r="O24" i="117"/>
  <c r="O106" i="117"/>
  <c r="O65" i="117"/>
  <c r="O119" i="117"/>
  <c r="O86" i="117"/>
  <c r="O130" i="117"/>
  <c r="B38" i="109" l="1"/>
  <c r="B37" i="109"/>
  <c r="B36" i="109"/>
  <c r="B35" i="109"/>
  <c r="B34" i="109"/>
  <c r="B33" i="109"/>
  <c r="B32" i="109"/>
  <c r="B31" i="109"/>
  <c r="B30" i="109"/>
  <c r="B29" i="109"/>
  <c r="B28" i="109"/>
  <c r="B27" i="109"/>
  <c r="B26" i="109"/>
  <c r="B25" i="109"/>
  <c r="B24" i="109"/>
  <c r="B23" i="109"/>
  <c r="B22" i="109"/>
  <c r="B21" i="109"/>
  <c r="B20" i="109"/>
  <c r="B19" i="109"/>
  <c r="B40" i="109" l="1"/>
  <c r="B42" i="106" l="1"/>
  <c r="B41" i="106"/>
  <c r="D41" i="106"/>
  <c r="D42" i="106" s="1"/>
  <c r="O100" i="1"/>
  <c r="O69" i="1"/>
  <c r="C42" i="106"/>
  <c r="H42" i="106"/>
  <c r="G42" i="106"/>
  <c r="F42" i="106"/>
  <c r="E42" i="106"/>
  <c r="T83" i="103"/>
  <c r="L99" i="1" l="1"/>
  <c r="O99" i="1" s="1"/>
  <c r="L109" i="1"/>
  <c r="O109" i="1" s="1"/>
  <c r="L108" i="1"/>
  <c r="O108" i="1" s="1"/>
  <c r="L107" i="1"/>
  <c r="O107" i="1" s="1"/>
  <c r="L106" i="1"/>
  <c r="O106" i="1" s="1"/>
  <c r="O105" i="1"/>
  <c r="L103" i="1"/>
  <c r="L102" i="1"/>
  <c r="L101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2" i="1"/>
  <c r="L81" i="1"/>
  <c r="L80" i="1"/>
  <c r="L79" i="1"/>
  <c r="O331" i="1"/>
  <c r="L719" i="1" l="1"/>
  <c r="O79" i="1"/>
  <c r="O80" i="1"/>
  <c r="O309" i="1" l="1"/>
  <c r="O228" i="1"/>
  <c r="O222" i="1"/>
  <c r="O223" i="1"/>
  <c r="O224" i="1"/>
  <c r="O225" i="1"/>
  <c r="O158" i="1"/>
  <c r="AA277" i="1"/>
  <c r="AA276" i="1"/>
  <c r="AA275" i="1"/>
  <c r="AA274" i="1"/>
  <c r="AA273" i="1"/>
  <c r="AA272" i="1"/>
  <c r="AA271" i="1"/>
  <c r="AA270" i="1"/>
  <c r="AA269" i="1"/>
  <c r="AA268" i="1"/>
  <c r="AA267" i="1"/>
  <c r="AA266" i="1"/>
  <c r="AA265" i="1"/>
  <c r="AA264" i="1"/>
  <c r="AA263" i="1"/>
  <c r="AA262" i="1"/>
  <c r="AA261" i="1"/>
  <c r="AA260" i="1"/>
  <c r="AA259" i="1"/>
  <c r="AA258" i="1"/>
  <c r="AA257" i="1"/>
  <c r="AA256" i="1"/>
  <c r="AA255" i="1"/>
  <c r="AA254" i="1"/>
  <c r="AA253" i="1"/>
  <c r="AA252" i="1"/>
  <c r="AA251" i="1"/>
  <c r="AA250" i="1"/>
  <c r="AA249" i="1"/>
  <c r="AA248" i="1"/>
  <c r="AA247" i="1"/>
  <c r="P42" i="106" l="1"/>
  <c r="O42" i="106"/>
  <c r="N42" i="106"/>
  <c r="M42" i="106"/>
  <c r="L42" i="106"/>
  <c r="I42" i="106"/>
  <c r="O699" i="1"/>
  <c r="O555" i="1"/>
  <c r="O529" i="1"/>
  <c r="O427" i="1"/>
  <c r="O426" i="1"/>
  <c r="O424" i="1"/>
  <c r="O425" i="1"/>
  <c r="O342" i="1"/>
  <c r="H331" i="1" l="1"/>
  <c r="N331" i="1" s="1"/>
  <c r="H701" i="1"/>
  <c r="N701" i="1" s="1"/>
  <c r="H699" i="1"/>
  <c r="N699" i="1" s="1"/>
  <c r="H529" i="1"/>
  <c r="N529" i="1" s="1"/>
  <c r="H424" i="1"/>
  <c r="N424" i="1" s="1"/>
  <c r="H425" i="1"/>
  <c r="N425" i="1" s="1"/>
  <c r="H309" i="1"/>
  <c r="N309" i="1" s="1"/>
  <c r="H295" i="1"/>
  <c r="N295" i="1" s="1"/>
  <c r="H222" i="1"/>
  <c r="N222" i="1" s="1"/>
  <c r="H223" i="1"/>
  <c r="N223" i="1" s="1"/>
  <c r="H224" i="1"/>
  <c r="N224" i="1" s="1"/>
  <c r="H225" i="1"/>
  <c r="N225" i="1" s="1"/>
  <c r="N145" i="1"/>
  <c r="N132" i="1"/>
  <c r="H37" i="1"/>
  <c r="N37" i="1" s="1"/>
  <c r="H6" i="1"/>
  <c r="N6" i="1" s="1"/>
  <c r="H714" i="1"/>
  <c r="N714" i="1" s="1"/>
  <c r="H713" i="1"/>
  <c r="N713" i="1" s="1"/>
  <c r="H712" i="1"/>
  <c r="N712" i="1" s="1"/>
  <c r="H711" i="1"/>
  <c r="N711" i="1" s="1"/>
  <c r="H710" i="1"/>
  <c r="N710" i="1" s="1"/>
  <c r="H709" i="1"/>
  <c r="N709" i="1" s="1"/>
  <c r="H708" i="1"/>
  <c r="N708" i="1" s="1"/>
  <c r="H707" i="1"/>
  <c r="N707" i="1" s="1"/>
  <c r="H706" i="1"/>
  <c r="N706" i="1" s="1"/>
  <c r="H705" i="1"/>
  <c r="N705" i="1" s="1"/>
  <c r="H704" i="1"/>
  <c r="N704" i="1" s="1"/>
  <c r="H572" i="1"/>
  <c r="N572" i="1" s="1"/>
  <c r="H571" i="1"/>
  <c r="N571" i="1" s="1"/>
  <c r="H570" i="1"/>
  <c r="N570" i="1" s="1"/>
  <c r="H569" i="1"/>
  <c r="N569" i="1" s="1"/>
  <c r="H568" i="1"/>
  <c r="N568" i="1" s="1"/>
  <c r="H567" i="1"/>
  <c r="N567" i="1" s="1"/>
  <c r="H566" i="1"/>
  <c r="N566" i="1" s="1"/>
  <c r="H565" i="1"/>
  <c r="N565" i="1" s="1"/>
  <c r="H564" i="1"/>
  <c r="N564" i="1" s="1"/>
  <c r="H563" i="1"/>
  <c r="N563" i="1" s="1"/>
  <c r="H562" i="1"/>
  <c r="N562" i="1" s="1"/>
  <c r="H716" i="1"/>
  <c r="N716" i="1" s="1"/>
  <c r="H715" i="1"/>
  <c r="N715" i="1" s="1"/>
  <c r="H703" i="1"/>
  <c r="N703" i="1" s="1"/>
  <c r="H665" i="1"/>
  <c r="N665" i="1" s="1"/>
  <c r="H664" i="1"/>
  <c r="N664" i="1" s="1"/>
  <c r="H663" i="1"/>
  <c r="N663" i="1" s="1"/>
  <c r="H662" i="1"/>
  <c r="N662" i="1" s="1"/>
  <c r="H661" i="1"/>
  <c r="N661" i="1" s="1"/>
  <c r="H660" i="1"/>
  <c r="N660" i="1" s="1"/>
  <c r="H659" i="1"/>
  <c r="N659" i="1" s="1"/>
  <c r="H658" i="1"/>
  <c r="N658" i="1" s="1"/>
  <c r="H657" i="1"/>
  <c r="N657" i="1" s="1"/>
  <c r="H656" i="1"/>
  <c r="N656" i="1" s="1"/>
  <c r="H655" i="1"/>
  <c r="N655" i="1" s="1"/>
  <c r="H654" i="1"/>
  <c r="N654" i="1" s="1"/>
  <c r="H653" i="1"/>
  <c r="N653" i="1" s="1"/>
  <c r="H652" i="1"/>
  <c r="N652" i="1" s="1"/>
  <c r="H651" i="1"/>
  <c r="N651" i="1" s="1"/>
  <c r="N648" i="1"/>
  <c r="N647" i="1"/>
  <c r="N643" i="1"/>
  <c r="N642" i="1"/>
  <c r="N639" i="1"/>
  <c r="N638" i="1"/>
  <c r="N593" i="1"/>
  <c r="H687" i="1"/>
  <c r="N687" i="1" s="1"/>
  <c r="H697" i="1"/>
  <c r="N697" i="1" s="1"/>
  <c r="H696" i="1"/>
  <c r="N696" i="1" s="1"/>
  <c r="H695" i="1"/>
  <c r="N695" i="1" s="1"/>
  <c r="H694" i="1"/>
  <c r="N694" i="1" s="1"/>
  <c r="H693" i="1"/>
  <c r="N693" i="1" s="1"/>
  <c r="H692" i="1"/>
  <c r="N692" i="1" s="1"/>
  <c r="H691" i="1"/>
  <c r="N691" i="1" s="1"/>
  <c r="H690" i="1"/>
  <c r="N690" i="1" s="1"/>
  <c r="H689" i="1"/>
  <c r="N689" i="1" s="1"/>
  <c r="H688" i="1"/>
  <c r="N688" i="1" s="1"/>
  <c r="H686" i="1"/>
  <c r="N686" i="1" s="1"/>
  <c r="H685" i="1"/>
  <c r="N685" i="1" s="1"/>
  <c r="H684" i="1"/>
  <c r="N684" i="1" s="1"/>
  <c r="H683" i="1"/>
  <c r="N683" i="1" s="1"/>
  <c r="H682" i="1"/>
  <c r="N682" i="1" s="1"/>
  <c r="H681" i="1"/>
  <c r="N681" i="1" s="1"/>
  <c r="H680" i="1"/>
  <c r="N680" i="1" s="1"/>
  <c r="H679" i="1"/>
  <c r="N679" i="1" s="1"/>
  <c r="H678" i="1"/>
  <c r="N678" i="1" s="1"/>
  <c r="H677" i="1"/>
  <c r="N677" i="1" s="1"/>
  <c r="H676" i="1"/>
  <c r="N676" i="1" s="1"/>
  <c r="H675" i="1"/>
  <c r="N675" i="1" s="1"/>
  <c r="H674" i="1"/>
  <c r="N674" i="1" s="1"/>
  <c r="H673" i="1"/>
  <c r="N673" i="1" s="1"/>
  <c r="H672" i="1"/>
  <c r="N672" i="1" s="1"/>
  <c r="H671" i="1"/>
  <c r="N671" i="1" s="1"/>
  <c r="H670" i="1"/>
  <c r="N670" i="1" s="1"/>
  <c r="H669" i="1"/>
  <c r="N669" i="1" s="1"/>
  <c r="H668" i="1"/>
  <c r="N668" i="1" s="1"/>
  <c r="H667" i="1"/>
  <c r="N667" i="1" s="1"/>
  <c r="H561" i="1"/>
  <c r="N561" i="1" s="1"/>
  <c r="H560" i="1"/>
  <c r="N560" i="1" s="1"/>
  <c r="H559" i="1"/>
  <c r="N559" i="1" s="1"/>
  <c r="H551" i="1"/>
  <c r="N551" i="1" s="1"/>
  <c r="H550" i="1"/>
  <c r="N550" i="1" s="1"/>
  <c r="H539" i="1"/>
  <c r="N539" i="1" s="1"/>
  <c r="H548" i="1"/>
  <c r="N548" i="1" s="1"/>
  <c r="H543" i="1"/>
  <c r="N543" i="1" s="1"/>
  <c r="H541" i="1"/>
  <c r="N541" i="1" s="1"/>
  <c r="H549" i="1"/>
  <c r="N549" i="1" s="1"/>
  <c r="H547" i="1"/>
  <c r="N547" i="1" s="1"/>
  <c r="H546" i="1"/>
  <c r="N546" i="1" s="1"/>
  <c r="H545" i="1"/>
  <c r="N545" i="1" s="1"/>
  <c r="H544" i="1"/>
  <c r="N544" i="1" s="1"/>
  <c r="H542" i="1"/>
  <c r="N542" i="1" s="1"/>
  <c r="H540" i="1"/>
  <c r="N540" i="1" s="1"/>
  <c r="H538" i="1"/>
  <c r="N538" i="1" s="1"/>
  <c r="H537" i="1"/>
  <c r="N537" i="1" s="1"/>
  <c r="H536" i="1"/>
  <c r="N536" i="1" s="1"/>
  <c r="H535" i="1"/>
  <c r="N535" i="1" s="1"/>
  <c r="H534" i="1"/>
  <c r="N534" i="1" s="1"/>
  <c r="H533" i="1"/>
  <c r="N533" i="1" s="1"/>
  <c r="H528" i="1"/>
  <c r="N528" i="1" s="1"/>
  <c r="H532" i="1"/>
  <c r="N532" i="1" s="1"/>
  <c r="H531" i="1"/>
  <c r="N531" i="1" s="1"/>
  <c r="H530" i="1"/>
  <c r="N530" i="1" s="1"/>
  <c r="H527" i="1"/>
  <c r="N527" i="1" s="1"/>
  <c r="H526" i="1"/>
  <c r="N526" i="1" s="1"/>
  <c r="H525" i="1"/>
  <c r="N525" i="1" s="1"/>
  <c r="H524" i="1"/>
  <c r="N524" i="1" s="1"/>
  <c r="H523" i="1"/>
  <c r="N523" i="1" s="1"/>
  <c r="H522" i="1"/>
  <c r="N522" i="1" s="1"/>
  <c r="H521" i="1"/>
  <c r="N521" i="1" s="1"/>
  <c r="H520" i="1"/>
  <c r="N520" i="1" s="1"/>
  <c r="H519" i="1"/>
  <c r="N519" i="1" s="1"/>
  <c r="H518" i="1"/>
  <c r="N518" i="1" s="1"/>
  <c r="H517" i="1"/>
  <c r="N517" i="1" s="1"/>
  <c r="H516" i="1"/>
  <c r="N516" i="1" s="1"/>
  <c r="H515" i="1"/>
  <c r="N515" i="1" s="1"/>
  <c r="H514" i="1"/>
  <c r="N514" i="1" s="1"/>
  <c r="H513" i="1"/>
  <c r="N513" i="1" s="1"/>
  <c r="H512" i="1"/>
  <c r="N512" i="1" s="1"/>
  <c r="H511" i="1"/>
  <c r="N511" i="1" s="1"/>
  <c r="H510" i="1"/>
  <c r="N510" i="1" s="1"/>
  <c r="H509" i="1"/>
  <c r="N509" i="1" s="1"/>
  <c r="H508" i="1"/>
  <c r="N508" i="1" s="1"/>
  <c r="H507" i="1"/>
  <c r="N507" i="1" s="1"/>
  <c r="H506" i="1"/>
  <c r="N506" i="1" s="1"/>
  <c r="H505" i="1"/>
  <c r="N505" i="1" s="1"/>
  <c r="H504" i="1"/>
  <c r="N504" i="1" s="1"/>
  <c r="H503" i="1"/>
  <c r="N503" i="1" s="1"/>
  <c r="H502" i="1"/>
  <c r="N502" i="1" s="1"/>
  <c r="H501" i="1"/>
  <c r="N501" i="1" s="1"/>
  <c r="H500" i="1"/>
  <c r="N500" i="1" s="1"/>
  <c r="H499" i="1"/>
  <c r="N499" i="1" s="1"/>
  <c r="H498" i="1"/>
  <c r="N498" i="1" s="1"/>
  <c r="H497" i="1"/>
  <c r="N497" i="1" s="1"/>
  <c r="H496" i="1"/>
  <c r="N496" i="1" s="1"/>
  <c r="H495" i="1"/>
  <c r="N495" i="1" s="1"/>
  <c r="H494" i="1"/>
  <c r="N494" i="1" s="1"/>
  <c r="H493" i="1"/>
  <c r="N493" i="1" s="1"/>
  <c r="H492" i="1"/>
  <c r="N492" i="1" s="1"/>
  <c r="H491" i="1"/>
  <c r="N491" i="1" s="1"/>
  <c r="H490" i="1"/>
  <c r="N490" i="1" s="1"/>
  <c r="H489" i="1"/>
  <c r="N489" i="1" s="1"/>
  <c r="H488" i="1"/>
  <c r="N488" i="1" s="1"/>
  <c r="H413" i="1"/>
  <c r="N413" i="1" s="1"/>
  <c r="H423" i="1"/>
  <c r="N423" i="1" s="1"/>
  <c r="H422" i="1"/>
  <c r="N422" i="1" s="1"/>
  <c r="H421" i="1"/>
  <c r="N421" i="1" s="1"/>
  <c r="H420" i="1"/>
  <c r="N420" i="1" s="1"/>
  <c r="H419" i="1"/>
  <c r="N419" i="1" s="1"/>
  <c r="H418" i="1"/>
  <c r="N418" i="1" s="1"/>
  <c r="H417" i="1"/>
  <c r="N417" i="1" s="1"/>
  <c r="H416" i="1"/>
  <c r="N416" i="1" s="1"/>
  <c r="H415" i="1"/>
  <c r="N415" i="1" s="1"/>
  <c r="H414" i="1"/>
  <c r="N414" i="1" s="1"/>
  <c r="H412" i="1"/>
  <c r="N412" i="1" s="1"/>
  <c r="H411" i="1"/>
  <c r="N411" i="1" s="1"/>
  <c r="H410" i="1"/>
  <c r="N410" i="1" s="1"/>
  <c r="H409" i="1"/>
  <c r="N409" i="1" s="1"/>
  <c r="H408" i="1"/>
  <c r="N408" i="1" s="1"/>
  <c r="H407" i="1"/>
  <c r="N407" i="1" s="1"/>
  <c r="H406" i="1"/>
  <c r="N406" i="1" s="1"/>
  <c r="H405" i="1"/>
  <c r="N405" i="1" s="1"/>
  <c r="H404" i="1"/>
  <c r="N404" i="1" s="1"/>
  <c r="H403" i="1"/>
  <c r="N403" i="1" s="1"/>
  <c r="H402" i="1"/>
  <c r="N402" i="1" s="1"/>
  <c r="H401" i="1"/>
  <c r="N401" i="1" s="1"/>
  <c r="H400" i="1"/>
  <c r="N400" i="1" s="1"/>
  <c r="H399" i="1"/>
  <c r="N399" i="1" s="1"/>
  <c r="H398" i="1"/>
  <c r="N398" i="1" s="1"/>
  <c r="H397" i="1"/>
  <c r="N397" i="1" s="1"/>
  <c r="H396" i="1"/>
  <c r="N396" i="1" s="1"/>
  <c r="H395" i="1"/>
  <c r="N395" i="1" s="1"/>
  <c r="H394" i="1"/>
  <c r="N394" i="1" s="1"/>
  <c r="H393" i="1"/>
  <c r="N393" i="1" s="1"/>
  <c r="H392" i="1"/>
  <c r="N392" i="1" s="1"/>
  <c r="H391" i="1"/>
  <c r="N391" i="1" s="1"/>
  <c r="H390" i="1"/>
  <c r="N390" i="1" s="1"/>
  <c r="H389" i="1"/>
  <c r="N389" i="1" s="1"/>
  <c r="H388" i="1"/>
  <c r="N388" i="1" s="1"/>
  <c r="H387" i="1"/>
  <c r="N387" i="1" s="1"/>
  <c r="H386" i="1"/>
  <c r="N386" i="1" s="1"/>
  <c r="H385" i="1"/>
  <c r="N385" i="1" s="1"/>
  <c r="H384" i="1"/>
  <c r="N384" i="1" s="1"/>
  <c r="H383" i="1"/>
  <c r="N383" i="1" s="1"/>
  <c r="H382" i="1"/>
  <c r="N382" i="1" s="1"/>
  <c r="H381" i="1"/>
  <c r="N381" i="1" s="1"/>
  <c r="H380" i="1"/>
  <c r="N380" i="1" s="1"/>
  <c r="H379" i="1"/>
  <c r="N379" i="1" s="1"/>
  <c r="H378" i="1"/>
  <c r="N378" i="1" s="1"/>
  <c r="H377" i="1"/>
  <c r="N377" i="1" s="1"/>
  <c r="H376" i="1"/>
  <c r="N376" i="1" s="1"/>
  <c r="H375" i="1"/>
  <c r="N375" i="1" s="1"/>
  <c r="H374" i="1"/>
  <c r="N374" i="1" s="1"/>
  <c r="H373" i="1"/>
  <c r="N373" i="1" s="1"/>
  <c r="H372" i="1"/>
  <c r="N372" i="1" s="1"/>
  <c r="H371" i="1"/>
  <c r="N371" i="1" s="1"/>
  <c r="H370" i="1"/>
  <c r="N370" i="1" s="1"/>
  <c r="H369" i="1"/>
  <c r="N369" i="1" s="1"/>
  <c r="H368" i="1"/>
  <c r="N368" i="1" s="1"/>
  <c r="H367" i="1"/>
  <c r="N367" i="1" s="1"/>
  <c r="H366" i="1"/>
  <c r="N366" i="1" s="1"/>
  <c r="H365" i="1"/>
  <c r="N365" i="1" s="1"/>
  <c r="H364" i="1"/>
  <c r="N364" i="1" s="1"/>
  <c r="H363" i="1"/>
  <c r="N363" i="1" s="1"/>
  <c r="H330" i="1"/>
  <c r="N330" i="1" s="1"/>
  <c r="H329" i="1"/>
  <c r="N329" i="1" s="1"/>
  <c r="H321" i="1"/>
  <c r="N321" i="1" s="1"/>
  <c r="H320" i="1"/>
  <c r="N320" i="1" s="1"/>
  <c r="H319" i="1"/>
  <c r="N319" i="1" s="1"/>
  <c r="H318" i="1"/>
  <c r="N318" i="1" s="1"/>
  <c r="H317" i="1"/>
  <c r="N317" i="1" s="1"/>
  <c r="H316" i="1"/>
  <c r="N316" i="1" s="1"/>
  <c r="H315" i="1"/>
  <c r="N315" i="1" s="1"/>
  <c r="H314" i="1"/>
  <c r="N314" i="1" s="1"/>
  <c r="H313" i="1"/>
  <c r="N313" i="1" s="1"/>
  <c r="H312" i="1"/>
  <c r="N312" i="1" s="1"/>
  <c r="H311" i="1"/>
  <c r="N311" i="1" s="1"/>
  <c r="H310" i="1"/>
  <c r="N310" i="1" s="1"/>
  <c r="H308" i="1"/>
  <c r="N308" i="1" s="1"/>
  <c r="H299" i="1"/>
  <c r="N299" i="1" s="1"/>
  <c r="H304" i="1"/>
  <c r="N304" i="1" s="1"/>
  <c r="N303" i="1"/>
  <c r="H301" i="1"/>
  <c r="N301" i="1" s="1"/>
  <c r="H300" i="1"/>
  <c r="N300" i="1" s="1"/>
  <c r="H298" i="1"/>
  <c r="N298" i="1" s="1"/>
  <c r="H297" i="1"/>
  <c r="N297" i="1" s="1"/>
  <c r="H296" i="1"/>
  <c r="N296" i="1" s="1"/>
  <c r="H294" i="1"/>
  <c r="N294" i="1" s="1"/>
  <c r="H293" i="1"/>
  <c r="N293" i="1" s="1"/>
  <c r="H292" i="1"/>
  <c r="N292" i="1" s="1"/>
  <c r="H280" i="1"/>
  <c r="N280" i="1" s="1"/>
  <c r="H290" i="1"/>
  <c r="N290" i="1" s="1"/>
  <c r="H289" i="1"/>
  <c r="N289" i="1" s="1"/>
  <c r="H288" i="1"/>
  <c r="N288" i="1" s="1"/>
  <c r="H287" i="1"/>
  <c r="N287" i="1" s="1"/>
  <c r="H286" i="1"/>
  <c r="N286" i="1" s="1"/>
  <c r="H285" i="1"/>
  <c r="N285" i="1" s="1"/>
  <c r="H284" i="1"/>
  <c r="N284" i="1" s="1"/>
  <c r="H283" i="1"/>
  <c r="N283" i="1" s="1"/>
  <c r="H282" i="1"/>
  <c r="N282" i="1" s="1"/>
  <c r="H281" i="1"/>
  <c r="N281" i="1" s="1"/>
  <c r="H279" i="1"/>
  <c r="N279" i="1" s="1"/>
  <c r="H278" i="1"/>
  <c r="N278" i="1" s="1"/>
  <c r="H277" i="1"/>
  <c r="N277" i="1" s="1"/>
  <c r="H276" i="1"/>
  <c r="N276" i="1" s="1"/>
  <c r="H275" i="1"/>
  <c r="N275" i="1" s="1"/>
  <c r="H274" i="1"/>
  <c r="N274" i="1" s="1"/>
  <c r="H273" i="1"/>
  <c r="N273" i="1" s="1"/>
  <c r="H272" i="1"/>
  <c r="N272" i="1" s="1"/>
  <c r="H271" i="1"/>
  <c r="N271" i="1" s="1"/>
  <c r="H270" i="1"/>
  <c r="N270" i="1" s="1"/>
  <c r="H269" i="1"/>
  <c r="N269" i="1" s="1"/>
  <c r="H268" i="1"/>
  <c r="N268" i="1" s="1"/>
  <c r="H267" i="1"/>
  <c r="N267" i="1" s="1"/>
  <c r="H266" i="1"/>
  <c r="N266" i="1" s="1"/>
  <c r="H265" i="1"/>
  <c r="N265" i="1" s="1"/>
  <c r="H264" i="1"/>
  <c r="N264" i="1" s="1"/>
  <c r="H263" i="1"/>
  <c r="N263" i="1" s="1"/>
  <c r="H262" i="1"/>
  <c r="N262" i="1" s="1"/>
  <c r="H261" i="1"/>
  <c r="N261" i="1" s="1"/>
  <c r="H260" i="1"/>
  <c r="N260" i="1" s="1"/>
  <c r="H220" i="1"/>
  <c r="N220" i="1" s="1"/>
  <c r="H219" i="1"/>
  <c r="N219" i="1" s="1"/>
  <c r="H218" i="1"/>
  <c r="N218" i="1" s="1"/>
  <c r="H217" i="1"/>
  <c r="N217" i="1" s="1"/>
  <c r="H216" i="1"/>
  <c r="N216" i="1" s="1"/>
  <c r="H213" i="1"/>
  <c r="N213" i="1" s="1"/>
  <c r="H215" i="1"/>
  <c r="N215" i="1" s="1"/>
  <c r="H214" i="1"/>
  <c r="N214" i="1" s="1"/>
  <c r="H212" i="1"/>
  <c r="N212" i="1" s="1"/>
  <c r="H211" i="1"/>
  <c r="N211" i="1" s="1"/>
  <c r="H210" i="1"/>
  <c r="N210" i="1" s="1"/>
  <c r="H209" i="1"/>
  <c r="N209" i="1" s="1"/>
  <c r="H208" i="1"/>
  <c r="N208" i="1" s="1"/>
  <c r="H207" i="1"/>
  <c r="N207" i="1" s="1"/>
  <c r="H206" i="1"/>
  <c r="N206" i="1" s="1"/>
  <c r="H205" i="1"/>
  <c r="N205" i="1" s="1"/>
  <c r="H204" i="1"/>
  <c r="N204" i="1" s="1"/>
  <c r="H202" i="1"/>
  <c r="N202" i="1" s="1"/>
  <c r="H203" i="1"/>
  <c r="N203" i="1" s="1"/>
  <c r="H201" i="1"/>
  <c r="N201" i="1" s="1"/>
  <c r="H200" i="1"/>
  <c r="N200" i="1" s="1"/>
  <c r="H199" i="1"/>
  <c r="N199" i="1" s="1"/>
  <c r="H198" i="1"/>
  <c r="N198" i="1" s="1"/>
  <c r="H197" i="1"/>
  <c r="N197" i="1" s="1"/>
  <c r="H196" i="1"/>
  <c r="N196" i="1" s="1"/>
  <c r="H195" i="1"/>
  <c r="N195" i="1" s="1"/>
  <c r="H194" i="1"/>
  <c r="N194" i="1" s="1"/>
  <c r="H193" i="1"/>
  <c r="N193" i="1" s="1"/>
  <c r="H192" i="1"/>
  <c r="N192" i="1" s="1"/>
  <c r="H191" i="1"/>
  <c r="N191" i="1" s="1"/>
  <c r="H190" i="1"/>
  <c r="N190" i="1" s="1"/>
  <c r="H189" i="1"/>
  <c r="N189" i="1" s="1"/>
  <c r="H249" i="1"/>
  <c r="N249" i="1" s="1"/>
  <c r="H255" i="1"/>
  <c r="N255" i="1" s="1"/>
  <c r="H259" i="1"/>
  <c r="N259" i="1" s="1"/>
  <c r="H258" i="1"/>
  <c r="N258" i="1" s="1"/>
  <c r="H257" i="1"/>
  <c r="N257" i="1" s="1"/>
  <c r="H256" i="1"/>
  <c r="N256" i="1" s="1"/>
  <c r="H254" i="1"/>
  <c r="N254" i="1" s="1"/>
  <c r="H253" i="1"/>
  <c r="N253" i="1" s="1"/>
  <c r="H252" i="1"/>
  <c r="N252" i="1" s="1"/>
  <c r="H251" i="1"/>
  <c r="N251" i="1" s="1"/>
  <c r="H250" i="1"/>
  <c r="N250" i="1" s="1"/>
  <c r="H245" i="1"/>
  <c r="N245" i="1" s="1"/>
  <c r="H248" i="1"/>
  <c r="N248" i="1" s="1"/>
  <c r="H247" i="1"/>
  <c r="N247" i="1" s="1"/>
  <c r="H246" i="1"/>
  <c r="N246" i="1" s="1"/>
  <c r="H244" i="1"/>
  <c r="N244" i="1" s="1"/>
  <c r="H243" i="1"/>
  <c r="N243" i="1" s="1"/>
  <c r="H242" i="1"/>
  <c r="N242" i="1" s="1"/>
  <c r="H241" i="1"/>
  <c r="N241" i="1" s="1"/>
  <c r="H240" i="1"/>
  <c r="N240" i="1" s="1"/>
  <c r="H239" i="1"/>
  <c r="N239" i="1" s="1"/>
  <c r="H238" i="1"/>
  <c r="N238" i="1" s="1"/>
  <c r="H237" i="1"/>
  <c r="N237" i="1" s="1"/>
  <c r="H236" i="1"/>
  <c r="N236" i="1" s="1"/>
  <c r="H235" i="1"/>
  <c r="N235" i="1" s="1"/>
  <c r="H234" i="1"/>
  <c r="N234" i="1" s="1"/>
  <c r="H233" i="1"/>
  <c r="N233" i="1" s="1"/>
  <c r="H232" i="1"/>
  <c r="N232" i="1" s="1"/>
  <c r="H231" i="1"/>
  <c r="N231" i="1" s="1"/>
  <c r="H230" i="1"/>
  <c r="N230" i="1" s="1"/>
  <c r="H229" i="1"/>
  <c r="N229" i="1" s="1"/>
  <c r="H188" i="1"/>
  <c r="N188" i="1" s="1"/>
  <c r="H187" i="1"/>
  <c r="N187" i="1" s="1"/>
  <c r="H186" i="1"/>
  <c r="N186" i="1" s="1"/>
  <c r="H185" i="1"/>
  <c r="N185" i="1" s="1"/>
  <c r="H184" i="1"/>
  <c r="N184" i="1" s="1"/>
  <c r="H183" i="1"/>
  <c r="N183" i="1" s="1"/>
  <c r="H182" i="1"/>
  <c r="N182" i="1" s="1"/>
  <c r="H181" i="1"/>
  <c r="N181" i="1" s="1"/>
  <c r="H180" i="1"/>
  <c r="N180" i="1" s="1"/>
  <c r="H179" i="1"/>
  <c r="N179" i="1" s="1"/>
  <c r="H178" i="1"/>
  <c r="N178" i="1" s="1"/>
  <c r="H177" i="1"/>
  <c r="N177" i="1" s="1"/>
  <c r="H176" i="1"/>
  <c r="N176" i="1" s="1"/>
  <c r="H173" i="1"/>
  <c r="N173" i="1" s="1"/>
  <c r="H175" i="1"/>
  <c r="N175" i="1" s="1"/>
  <c r="H174" i="1"/>
  <c r="N174" i="1" s="1"/>
  <c r="H172" i="1"/>
  <c r="N172" i="1" s="1"/>
  <c r="H171" i="1"/>
  <c r="N171" i="1" s="1"/>
  <c r="H170" i="1"/>
  <c r="N170" i="1" s="1"/>
  <c r="H169" i="1"/>
  <c r="N169" i="1" s="1"/>
  <c r="H168" i="1"/>
  <c r="N168" i="1" s="1"/>
  <c r="H167" i="1"/>
  <c r="N167" i="1" s="1"/>
  <c r="H166" i="1"/>
  <c r="N166" i="1" s="1"/>
  <c r="H165" i="1"/>
  <c r="N165" i="1" s="1"/>
  <c r="H164" i="1"/>
  <c r="N164" i="1" s="1"/>
  <c r="H163" i="1"/>
  <c r="N163" i="1" s="1"/>
  <c r="H162" i="1"/>
  <c r="N162" i="1" s="1"/>
  <c r="H161" i="1"/>
  <c r="N161" i="1" s="1"/>
  <c r="H160" i="1"/>
  <c r="N160" i="1" s="1"/>
  <c r="H159" i="1"/>
  <c r="N159" i="1" s="1"/>
  <c r="H156" i="1"/>
  <c r="N156" i="1" s="1"/>
  <c r="H155" i="1"/>
  <c r="N155" i="1" s="1"/>
  <c r="H154" i="1"/>
  <c r="N154" i="1" s="1"/>
  <c r="H153" i="1"/>
  <c r="N153" i="1" s="1"/>
  <c r="H152" i="1"/>
  <c r="N152" i="1" s="1"/>
  <c r="H151" i="1"/>
  <c r="N151" i="1" s="1"/>
  <c r="H150" i="1"/>
  <c r="N150" i="1" s="1"/>
  <c r="H149" i="1"/>
  <c r="N149" i="1" s="1"/>
  <c r="H148" i="1"/>
  <c r="N148" i="1" s="1"/>
  <c r="H147" i="1"/>
  <c r="N147" i="1" s="1"/>
  <c r="H135" i="1"/>
  <c r="N135" i="1" s="1"/>
  <c r="H143" i="1"/>
  <c r="N143" i="1" s="1"/>
  <c r="H142" i="1"/>
  <c r="N142" i="1" s="1"/>
  <c r="H141" i="1"/>
  <c r="N141" i="1" s="1"/>
  <c r="H140" i="1"/>
  <c r="N140" i="1" s="1"/>
  <c r="H139" i="1"/>
  <c r="N139" i="1" s="1"/>
  <c r="H138" i="1"/>
  <c r="N138" i="1" s="1"/>
  <c r="H137" i="1"/>
  <c r="N137" i="1" s="1"/>
  <c r="H129" i="1"/>
  <c r="N129" i="1" s="1"/>
  <c r="N649" i="1"/>
  <c r="N645" i="1"/>
  <c r="N644" i="1"/>
  <c r="N641" i="1"/>
  <c r="N640" i="1"/>
  <c r="N594" i="1"/>
  <c r="H99" i="1"/>
  <c r="N99" i="1" s="1"/>
  <c r="H109" i="1"/>
  <c r="N109" i="1" s="1"/>
  <c r="H108" i="1"/>
  <c r="N108" i="1" s="1"/>
  <c r="H107" i="1"/>
  <c r="N107" i="1" s="1"/>
  <c r="H106" i="1"/>
  <c r="N106" i="1" s="1"/>
  <c r="H105" i="1"/>
  <c r="N105" i="1" s="1"/>
  <c r="H104" i="1"/>
  <c r="N104" i="1" s="1"/>
  <c r="H103" i="1"/>
  <c r="N103" i="1" s="1"/>
  <c r="H102" i="1"/>
  <c r="N102" i="1" s="1"/>
  <c r="H101" i="1"/>
  <c r="N101" i="1" s="1"/>
  <c r="H100" i="1"/>
  <c r="N100" i="1" s="1"/>
  <c r="H98" i="1"/>
  <c r="N98" i="1" s="1"/>
  <c r="H97" i="1"/>
  <c r="N97" i="1" s="1"/>
  <c r="H96" i="1"/>
  <c r="N96" i="1" s="1"/>
  <c r="H95" i="1"/>
  <c r="N95" i="1" s="1"/>
  <c r="H94" i="1"/>
  <c r="N94" i="1" s="1"/>
  <c r="H93" i="1"/>
  <c r="N93" i="1" s="1"/>
  <c r="H92" i="1"/>
  <c r="N92" i="1" s="1"/>
  <c r="H91" i="1"/>
  <c r="N91" i="1" s="1"/>
  <c r="H90" i="1"/>
  <c r="N90" i="1" s="1"/>
  <c r="H89" i="1"/>
  <c r="N89" i="1" s="1"/>
  <c r="H88" i="1"/>
  <c r="N88" i="1" s="1"/>
  <c r="H87" i="1"/>
  <c r="N87" i="1" s="1"/>
  <c r="H86" i="1"/>
  <c r="N86" i="1" s="1"/>
  <c r="H85" i="1"/>
  <c r="N85" i="1" s="1"/>
  <c r="H84" i="1"/>
  <c r="N84" i="1" s="1"/>
  <c r="H83" i="1"/>
  <c r="N83" i="1" s="1"/>
  <c r="H82" i="1"/>
  <c r="N82" i="1" s="1"/>
  <c r="H81" i="1"/>
  <c r="N81" i="1" s="1"/>
  <c r="H80" i="1"/>
  <c r="N80" i="1" s="1"/>
  <c r="H79" i="1"/>
  <c r="N79" i="1" s="1"/>
  <c r="H144" i="1"/>
  <c r="N144" i="1" s="1"/>
  <c r="H42" i="1"/>
  <c r="N42" i="1" s="1"/>
  <c r="H41" i="1"/>
  <c r="N41" i="1" s="1"/>
  <c r="H40" i="1"/>
  <c r="N40" i="1" s="1"/>
  <c r="H39" i="1"/>
  <c r="N39" i="1" s="1"/>
  <c r="H38" i="1"/>
  <c r="N38" i="1" s="1"/>
  <c r="H36" i="1"/>
  <c r="N36" i="1" s="1"/>
  <c r="H35" i="1"/>
  <c r="N35" i="1" s="1"/>
  <c r="H34" i="1"/>
  <c r="N34" i="1" s="1"/>
  <c r="H33" i="1"/>
  <c r="N33" i="1" s="1"/>
  <c r="H32" i="1"/>
  <c r="N32" i="1" s="1"/>
  <c r="H31" i="1"/>
  <c r="N31" i="1" s="1"/>
  <c r="H30" i="1"/>
  <c r="N30" i="1" s="1"/>
  <c r="H29" i="1"/>
  <c r="N29" i="1" s="1"/>
  <c r="H28" i="1"/>
  <c r="N28" i="1" s="1"/>
  <c r="H27" i="1"/>
  <c r="N27" i="1" s="1"/>
  <c r="H26" i="1"/>
  <c r="N26" i="1" s="1"/>
  <c r="H25" i="1"/>
  <c r="N25" i="1" s="1"/>
  <c r="H24" i="1"/>
  <c r="N24" i="1" s="1"/>
  <c r="H23" i="1"/>
  <c r="N23" i="1" s="1"/>
  <c r="H22" i="1"/>
  <c r="N22" i="1" s="1"/>
  <c r="H21" i="1"/>
  <c r="N21" i="1" s="1"/>
  <c r="H19" i="1"/>
  <c r="N19" i="1" s="1"/>
  <c r="H18" i="1"/>
  <c r="N18" i="1" s="1"/>
  <c r="H17" i="1"/>
  <c r="N17" i="1" s="1"/>
  <c r="H16" i="1"/>
  <c r="N16" i="1" s="1"/>
  <c r="H15" i="1"/>
  <c r="N15" i="1" s="1"/>
  <c r="H14" i="1"/>
  <c r="N14" i="1" s="1"/>
  <c r="H13" i="1"/>
  <c r="N13" i="1" s="1"/>
  <c r="H9" i="1"/>
  <c r="N9" i="1" s="1"/>
  <c r="H8" i="1"/>
  <c r="N8" i="1" s="1"/>
  <c r="H12" i="1"/>
  <c r="N12" i="1" s="1"/>
  <c r="H11" i="1"/>
  <c r="N11" i="1" s="1"/>
  <c r="H10" i="1"/>
  <c r="N10" i="1" s="1"/>
  <c r="H7" i="1"/>
  <c r="N7" i="1" s="1"/>
  <c r="H5" i="1"/>
  <c r="N5" i="1" s="1"/>
  <c r="H4" i="1"/>
  <c r="N4" i="1" s="1"/>
  <c r="H3" i="1"/>
  <c r="N3" i="1" s="1"/>
  <c r="H2" i="1"/>
  <c r="N2" i="1" s="1"/>
  <c r="K42" i="106" l="1"/>
  <c r="O687" i="1" l="1"/>
  <c r="O145" i="1" l="1"/>
  <c r="O132" i="1"/>
  <c r="A99" i="1"/>
  <c r="A249" i="1"/>
  <c r="A280" i="1"/>
  <c r="A299" i="1"/>
  <c r="A305" i="1"/>
  <c r="F145" i="1"/>
  <c r="I145" i="1" s="1"/>
  <c r="A260" i="1" l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1" i="1"/>
  <c r="A282" i="1"/>
  <c r="A283" i="1"/>
  <c r="A284" i="1"/>
  <c r="A285" i="1"/>
  <c r="A286" i="1"/>
  <c r="A287" i="1"/>
  <c r="A288" i="1"/>
  <c r="A289" i="1"/>
  <c r="A290" i="1"/>
  <c r="A158" i="1"/>
  <c r="G5" i="45" l="1"/>
  <c r="E10" i="43"/>
  <c r="C10" i="43"/>
  <c r="G5" i="43"/>
  <c r="G5" i="28"/>
  <c r="G5" i="33"/>
  <c r="G5" i="27"/>
  <c r="G5" i="32"/>
  <c r="G5" i="34"/>
  <c r="G5" i="29"/>
  <c r="G5" i="36"/>
  <c r="G5" i="17"/>
  <c r="G5" i="19"/>
  <c r="G5" i="14"/>
  <c r="G5" i="39"/>
  <c r="G37" i="23"/>
  <c r="G5" i="23"/>
  <c r="G5" i="8"/>
  <c r="G5" i="16"/>
  <c r="G5" i="25"/>
  <c r="G5" i="38"/>
  <c r="G5" i="21"/>
  <c r="G5" i="22"/>
  <c r="G5" i="15"/>
  <c r="G5" i="18"/>
  <c r="G5" i="35"/>
  <c r="G5" i="31"/>
  <c r="G5" i="41"/>
  <c r="G5" i="26"/>
  <c r="I43" i="24"/>
  <c r="G5" i="24"/>
  <c r="I41" i="42"/>
  <c r="H41" i="42"/>
  <c r="H50" i="42" s="1"/>
  <c r="N53" i="117" s="1"/>
  <c r="G5" i="42"/>
  <c r="H48" i="30"/>
  <c r="G48" i="30"/>
  <c r="I45" i="30"/>
  <c r="H45" i="30"/>
  <c r="G45" i="30"/>
  <c r="H44" i="30"/>
  <c r="G44" i="30"/>
  <c r="I40" i="30"/>
  <c r="H40" i="30"/>
  <c r="G40" i="30"/>
  <c r="G5" i="30"/>
  <c r="I46" i="37"/>
  <c r="H46" i="37"/>
  <c r="H55" i="37" s="1"/>
  <c r="G5" i="37"/>
  <c r="G45" i="20"/>
  <c r="G55" i="20" s="1"/>
  <c r="G5" i="20"/>
  <c r="I47" i="40"/>
  <c r="H47" i="40"/>
  <c r="H54" i="40" s="1"/>
  <c r="N13" i="117" s="1"/>
  <c r="G5" i="40"/>
  <c r="M48" i="4"/>
  <c r="O48" i="4" s="1"/>
  <c r="I48" i="4"/>
  <c r="O41" i="4"/>
  <c r="H41" i="4"/>
  <c r="F41" i="4"/>
  <c r="I41" i="4" s="1"/>
  <c r="B42" i="112" s="1"/>
  <c r="O40" i="4"/>
  <c r="E10" i="45" s="1"/>
  <c r="E38" i="112" s="1"/>
  <c r="I40" i="4"/>
  <c r="N39" i="4"/>
  <c r="N42" i="4" s="1"/>
  <c r="N46" i="4" s="1"/>
  <c r="M39" i="4"/>
  <c r="M42" i="4" s="1"/>
  <c r="L39" i="4"/>
  <c r="E39" i="4"/>
  <c r="E42" i="4" s="1"/>
  <c r="E46" i="4" s="1"/>
  <c r="O38" i="4"/>
  <c r="E10" i="28" s="1"/>
  <c r="E34" i="112" s="1"/>
  <c r="I38" i="4"/>
  <c r="C10" i="28" s="1"/>
  <c r="C34" i="112" s="1"/>
  <c r="O37" i="4"/>
  <c r="D33" i="112" s="1"/>
  <c r="D37" i="4"/>
  <c r="I37" i="4" s="1"/>
  <c r="O36" i="4"/>
  <c r="E10" i="27" s="1"/>
  <c r="E32" i="112" s="1"/>
  <c r="I36" i="4"/>
  <c r="C10" i="27" s="1"/>
  <c r="C32" i="112" s="1"/>
  <c r="O35" i="4"/>
  <c r="E10" i="32" s="1"/>
  <c r="E31" i="112" s="1"/>
  <c r="I35" i="4"/>
  <c r="C10" i="32" s="1"/>
  <c r="C31" i="112" s="1"/>
  <c r="O34" i="4"/>
  <c r="E10" i="34" s="1"/>
  <c r="E30" i="112" s="1"/>
  <c r="I34" i="4"/>
  <c r="K33" i="4"/>
  <c r="O33" i="4" s="1"/>
  <c r="I33" i="4"/>
  <c r="C10" i="29" s="1"/>
  <c r="C29" i="112" s="1"/>
  <c r="O32" i="4"/>
  <c r="E10" i="36" s="1"/>
  <c r="E28" i="112" s="1"/>
  <c r="I32" i="4"/>
  <c r="B28" i="112" s="1"/>
  <c r="O31" i="4"/>
  <c r="D27" i="112" s="1"/>
  <c r="D31" i="4"/>
  <c r="I31" i="4" s="1"/>
  <c r="O30" i="4"/>
  <c r="I30" i="4"/>
  <c r="C10" i="19" s="1"/>
  <c r="C26" i="112" s="1"/>
  <c r="K29" i="4"/>
  <c r="O29" i="4" s="1"/>
  <c r="F29" i="4"/>
  <c r="I29" i="4" s="1"/>
  <c r="C10" i="14" s="1"/>
  <c r="C25" i="112" s="1"/>
  <c r="K28" i="4"/>
  <c r="O28" i="4" s="1"/>
  <c r="F28" i="4"/>
  <c r="I28" i="4" s="1"/>
  <c r="B24" i="112" s="1"/>
  <c r="O27" i="4"/>
  <c r="E10" i="23" s="1"/>
  <c r="E23" i="112" s="1"/>
  <c r="H27" i="4"/>
  <c r="I27" i="4" s="1"/>
  <c r="O26" i="4"/>
  <c r="E10" i="8" s="1"/>
  <c r="E22" i="112" s="1"/>
  <c r="I26" i="4"/>
  <c r="C10" i="8" s="1"/>
  <c r="C22" i="112" s="1"/>
  <c r="O25" i="4"/>
  <c r="E10" i="16" s="1"/>
  <c r="E21" i="112" s="1"/>
  <c r="H25" i="4"/>
  <c r="I25" i="4" s="1"/>
  <c r="O24" i="4"/>
  <c r="E10" i="25" s="1"/>
  <c r="E20" i="112" s="1"/>
  <c r="I24" i="4"/>
  <c r="C10" i="25" s="1"/>
  <c r="C20" i="112" s="1"/>
  <c r="O23" i="4"/>
  <c r="E10" i="38" s="1"/>
  <c r="E19" i="112" s="1"/>
  <c r="I23" i="4"/>
  <c r="C10" i="38" s="1"/>
  <c r="C19" i="112" s="1"/>
  <c r="O22" i="4"/>
  <c r="E10" i="21" s="1"/>
  <c r="E18" i="112" s="1"/>
  <c r="I22" i="4"/>
  <c r="C10" i="21" s="1"/>
  <c r="C18" i="112" s="1"/>
  <c r="O21" i="4"/>
  <c r="E10" i="22" s="1"/>
  <c r="E17" i="112" s="1"/>
  <c r="I21" i="4"/>
  <c r="B17" i="112" s="1"/>
  <c r="O20" i="4"/>
  <c r="E10" i="15" s="1"/>
  <c r="E16" i="112" s="1"/>
  <c r="I20" i="4"/>
  <c r="C10" i="15" s="1"/>
  <c r="C16" i="112" s="1"/>
  <c r="K19" i="4"/>
  <c r="O19" i="4" s="1"/>
  <c r="H19" i="4"/>
  <c r="F19" i="4"/>
  <c r="I19" i="4" s="1"/>
  <c r="B15" i="112" s="1"/>
  <c r="O18" i="4"/>
  <c r="H18" i="4"/>
  <c r="I18" i="4" s="1"/>
  <c r="B14" i="112" s="1"/>
  <c r="O17" i="4"/>
  <c r="E10" i="31" s="1"/>
  <c r="E13" i="112" s="1"/>
  <c r="I17" i="4"/>
  <c r="C10" i="31" s="1"/>
  <c r="C13" i="112" s="1"/>
  <c r="O16" i="4"/>
  <c r="E10" i="41" s="1"/>
  <c r="E12" i="112" s="1"/>
  <c r="I16" i="4"/>
  <c r="C10" i="41" s="1"/>
  <c r="C12" i="112" s="1"/>
  <c r="O15" i="4"/>
  <c r="E10" i="26" s="1"/>
  <c r="E11" i="112" s="1"/>
  <c r="H15" i="4"/>
  <c r="I15" i="4" s="1"/>
  <c r="O14" i="4"/>
  <c r="E10" i="24" s="1"/>
  <c r="E10" i="112" s="1"/>
  <c r="I14" i="4"/>
  <c r="C10" i="24" s="1"/>
  <c r="C10" i="112" s="1"/>
  <c r="O13" i="4"/>
  <c r="I13" i="4"/>
  <c r="C10" i="42" s="1"/>
  <c r="C9" i="112" s="1"/>
  <c r="O12" i="4"/>
  <c r="D8" i="112" s="1"/>
  <c r="I12" i="4"/>
  <c r="C10" i="30" s="1"/>
  <c r="C8" i="112" s="1"/>
  <c r="O11" i="4"/>
  <c r="E10" i="37" s="1"/>
  <c r="E7" i="112" s="1"/>
  <c r="D11" i="4"/>
  <c r="I11" i="4" s="1"/>
  <c r="B7" i="112" s="1"/>
  <c r="O10" i="4"/>
  <c r="E10" i="20" s="1"/>
  <c r="E6" i="112" s="1"/>
  <c r="I10" i="4"/>
  <c r="C10" i="20" s="1"/>
  <c r="C6" i="112" s="1"/>
  <c r="K9" i="4"/>
  <c r="O9" i="4" s="1"/>
  <c r="E10" i="40" s="1"/>
  <c r="F9" i="4"/>
  <c r="I9" i="4" s="1"/>
  <c r="B43" i="109"/>
  <c r="B42" i="109"/>
  <c r="E52" i="66"/>
  <c r="F331" i="1"/>
  <c r="I331" i="1" s="1"/>
  <c r="A594" i="1"/>
  <c r="A551" i="1"/>
  <c r="O701" i="1"/>
  <c r="F701" i="1"/>
  <c r="I701" i="1" s="1"/>
  <c r="A353" i="1"/>
  <c r="F699" i="1"/>
  <c r="I699" i="1" s="1"/>
  <c r="A326" i="1"/>
  <c r="F646" i="1"/>
  <c r="I646" i="1" s="1"/>
  <c r="A135" i="1"/>
  <c r="H555" i="1"/>
  <c r="N555" i="1" s="1"/>
  <c r="G555" i="1"/>
  <c r="F555" i="1"/>
  <c r="A9" i="1"/>
  <c r="F529" i="1"/>
  <c r="I529" i="1" s="1"/>
  <c r="A2" i="1"/>
  <c r="H427" i="1"/>
  <c r="N427" i="1" s="1"/>
  <c r="G427" i="1"/>
  <c r="F427" i="1"/>
  <c r="A700" i="1"/>
  <c r="H426" i="1"/>
  <c r="N426" i="1" s="1"/>
  <c r="G426" i="1"/>
  <c r="F426" i="1"/>
  <c r="A703" i="1"/>
  <c r="F424" i="1"/>
  <c r="I424" i="1" s="1"/>
  <c r="A593" i="1"/>
  <c r="F425" i="1"/>
  <c r="I425" i="1" s="1"/>
  <c r="A687" i="1"/>
  <c r="H342" i="1"/>
  <c r="N342" i="1" s="1"/>
  <c r="G342" i="1"/>
  <c r="F342" i="1"/>
  <c r="A702" i="1"/>
  <c r="F309" i="1"/>
  <c r="I309" i="1" s="1"/>
  <c r="A550" i="1"/>
  <c r="F295" i="1"/>
  <c r="I295" i="1" s="1"/>
  <c r="A539" i="1"/>
  <c r="H228" i="1"/>
  <c r="N228" i="1" s="1"/>
  <c r="G228" i="1"/>
  <c r="F228" i="1"/>
  <c r="A413" i="1"/>
  <c r="F222" i="1"/>
  <c r="I222" i="1" s="1"/>
  <c r="A352" i="1"/>
  <c r="F223" i="1"/>
  <c r="I223" i="1" s="1"/>
  <c r="A330" i="1"/>
  <c r="F224" i="1"/>
  <c r="I224" i="1" s="1"/>
  <c r="F225" i="1"/>
  <c r="I225" i="1" s="1"/>
  <c r="H158" i="1"/>
  <c r="N158" i="1" s="1"/>
  <c r="G158" i="1"/>
  <c r="F158" i="1"/>
  <c r="F132" i="1"/>
  <c r="I132" i="1" s="1"/>
  <c r="O133" i="1"/>
  <c r="N133" i="1"/>
  <c r="F133" i="1"/>
  <c r="A8" i="1"/>
  <c r="O45" i="1"/>
  <c r="H45" i="1"/>
  <c r="G45" i="1"/>
  <c r="F45" i="1"/>
  <c r="A331" i="1"/>
  <c r="O37" i="1"/>
  <c r="F37" i="1"/>
  <c r="I37" i="1" s="1"/>
  <c r="O20" i="1"/>
  <c r="F20" i="1"/>
  <c r="I20" i="1" s="1"/>
  <c r="A701" i="1"/>
  <c r="F6" i="1"/>
  <c r="I6" i="1" s="1"/>
  <c r="A699" i="1"/>
  <c r="O714" i="1"/>
  <c r="F714" i="1"/>
  <c r="I714" i="1" s="1"/>
  <c r="A714" i="1"/>
  <c r="O713" i="1"/>
  <c r="F713" i="1"/>
  <c r="I713" i="1" s="1"/>
  <c r="A713" i="1"/>
  <c r="O712" i="1"/>
  <c r="F712" i="1"/>
  <c r="I712" i="1" s="1"/>
  <c r="A712" i="1"/>
  <c r="O711" i="1"/>
  <c r="F711" i="1"/>
  <c r="I711" i="1" s="1"/>
  <c r="A711" i="1"/>
  <c r="O710" i="1"/>
  <c r="F710" i="1"/>
  <c r="I710" i="1" s="1"/>
  <c r="A710" i="1"/>
  <c r="O709" i="1"/>
  <c r="F709" i="1"/>
  <c r="I709" i="1" s="1"/>
  <c r="A709" i="1"/>
  <c r="O708" i="1"/>
  <c r="F708" i="1"/>
  <c r="I708" i="1" s="1"/>
  <c r="A708" i="1"/>
  <c r="O707" i="1"/>
  <c r="F707" i="1"/>
  <c r="I707" i="1" s="1"/>
  <c r="A707" i="1"/>
  <c r="O706" i="1"/>
  <c r="F706" i="1"/>
  <c r="I706" i="1" s="1"/>
  <c r="A706" i="1"/>
  <c r="O705" i="1"/>
  <c r="F705" i="1"/>
  <c r="I705" i="1" s="1"/>
  <c r="A705" i="1"/>
  <c r="O704" i="1"/>
  <c r="F704" i="1"/>
  <c r="I704" i="1" s="1"/>
  <c r="A704" i="1"/>
  <c r="F572" i="1"/>
  <c r="I572" i="1" s="1"/>
  <c r="A572" i="1"/>
  <c r="F571" i="1"/>
  <c r="I571" i="1" s="1"/>
  <c r="A571" i="1"/>
  <c r="F570" i="1"/>
  <c r="I570" i="1" s="1"/>
  <c r="A570" i="1"/>
  <c r="F569" i="1"/>
  <c r="I569" i="1" s="1"/>
  <c r="A569" i="1"/>
  <c r="F568" i="1"/>
  <c r="I568" i="1" s="1"/>
  <c r="A568" i="1"/>
  <c r="F567" i="1"/>
  <c r="I567" i="1" s="1"/>
  <c r="A567" i="1"/>
  <c r="F566" i="1"/>
  <c r="I566" i="1" s="1"/>
  <c r="A566" i="1"/>
  <c r="F565" i="1"/>
  <c r="I565" i="1" s="1"/>
  <c r="A565" i="1"/>
  <c r="F564" i="1"/>
  <c r="I564" i="1" s="1"/>
  <c r="A564" i="1"/>
  <c r="F563" i="1"/>
  <c r="I563" i="1" s="1"/>
  <c r="A563" i="1"/>
  <c r="F562" i="1"/>
  <c r="I562" i="1" s="1"/>
  <c r="A562" i="1"/>
  <c r="F716" i="1"/>
  <c r="I716" i="1" s="1"/>
  <c r="A716" i="1"/>
  <c r="F715" i="1"/>
  <c r="I715" i="1" s="1"/>
  <c r="A715" i="1"/>
  <c r="F703" i="1"/>
  <c r="I703" i="1" s="1"/>
  <c r="A666" i="1"/>
  <c r="O665" i="1"/>
  <c r="F665" i="1"/>
  <c r="I665" i="1" s="1"/>
  <c r="A665" i="1"/>
  <c r="O664" i="1"/>
  <c r="F664" i="1"/>
  <c r="I664" i="1" s="1"/>
  <c r="A664" i="1"/>
  <c r="O663" i="1"/>
  <c r="F663" i="1"/>
  <c r="I663" i="1" s="1"/>
  <c r="A663" i="1"/>
  <c r="O662" i="1"/>
  <c r="F662" i="1"/>
  <c r="I662" i="1" s="1"/>
  <c r="A662" i="1"/>
  <c r="O661" i="1"/>
  <c r="F661" i="1"/>
  <c r="I661" i="1" s="1"/>
  <c r="A661" i="1"/>
  <c r="O660" i="1"/>
  <c r="F660" i="1"/>
  <c r="I660" i="1" s="1"/>
  <c r="A660" i="1"/>
  <c r="O659" i="1"/>
  <c r="F659" i="1"/>
  <c r="I659" i="1" s="1"/>
  <c r="A659" i="1"/>
  <c r="O658" i="1"/>
  <c r="F658" i="1"/>
  <c r="I658" i="1" s="1"/>
  <c r="A658" i="1"/>
  <c r="O657" i="1"/>
  <c r="F657" i="1"/>
  <c r="I657" i="1" s="1"/>
  <c r="A657" i="1"/>
  <c r="O656" i="1"/>
  <c r="F656" i="1"/>
  <c r="I656" i="1" s="1"/>
  <c r="A656" i="1"/>
  <c r="O655" i="1"/>
  <c r="F655" i="1"/>
  <c r="I655" i="1" s="1"/>
  <c r="A655" i="1"/>
  <c r="O654" i="1"/>
  <c r="F654" i="1"/>
  <c r="I654" i="1" s="1"/>
  <c r="A654" i="1"/>
  <c r="O653" i="1"/>
  <c r="F653" i="1"/>
  <c r="I653" i="1" s="1"/>
  <c r="A653" i="1"/>
  <c r="O652" i="1"/>
  <c r="F652" i="1"/>
  <c r="I652" i="1" s="1"/>
  <c r="A652" i="1"/>
  <c r="O651" i="1"/>
  <c r="F651" i="1"/>
  <c r="I651" i="1" s="1"/>
  <c r="A651" i="1"/>
  <c r="O649" i="1"/>
  <c r="A649" i="1"/>
  <c r="O648" i="1"/>
  <c r="A648" i="1"/>
  <c r="O647" i="1"/>
  <c r="A647" i="1"/>
  <c r="O645" i="1"/>
  <c r="A645" i="1"/>
  <c r="O644" i="1"/>
  <c r="A644" i="1"/>
  <c r="O643" i="1"/>
  <c r="A643" i="1"/>
  <c r="O642" i="1"/>
  <c r="A642" i="1"/>
  <c r="O641" i="1"/>
  <c r="A641" i="1"/>
  <c r="O640" i="1"/>
  <c r="A640" i="1"/>
  <c r="O639" i="1"/>
  <c r="A639" i="1"/>
  <c r="O638" i="1"/>
  <c r="A638" i="1"/>
  <c r="A637" i="1"/>
  <c r="O594" i="1"/>
  <c r="O593" i="1"/>
  <c r="H634" i="1"/>
  <c r="N634" i="1" s="1"/>
  <c r="G634" i="1"/>
  <c r="F634" i="1"/>
  <c r="A634" i="1"/>
  <c r="O633" i="1"/>
  <c r="H633" i="1"/>
  <c r="N633" i="1" s="1"/>
  <c r="G633" i="1"/>
  <c r="F633" i="1"/>
  <c r="A633" i="1"/>
  <c r="O632" i="1"/>
  <c r="H632" i="1"/>
  <c r="N632" i="1" s="1"/>
  <c r="G632" i="1"/>
  <c r="F632" i="1"/>
  <c r="A632" i="1"/>
  <c r="O631" i="1"/>
  <c r="H631" i="1"/>
  <c r="N631" i="1" s="1"/>
  <c r="G631" i="1"/>
  <c r="F631" i="1"/>
  <c r="A631" i="1"/>
  <c r="O630" i="1"/>
  <c r="H630" i="1"/>
  <c r="N630" i="1" s="1"/>
  <c r="G630" i="1"/>
  <c r="F630" i="1"/>
  <c r="A630" i="1"/>
  <c r="O629" i="1"/>
  <c r="H629" i="1"/>
  <c r="N629" i="1" s="1"/>
  <c r="G629" i="1"/>
  <c r="F629" i="1"/>
  <c r="A629" i="1"/>
  <c r="O628" i="1"/>
  <c r="H628" i="1"/>
  <c r="N628" i="1" s="1"/>
  <c r="G628" i="1"/>
  <c r="F628" i="1"/>
  <c r="A628" i="1"/>
  <c r="O627" i="1"/>
  <c r="H627" i="1"/>
  <c r="N627" i="1" s="1"/>
  <c r="G627" i="1"/>
  <c r="F627" i="1"/>
  <c r="A627" i="1"/>
  <c r="O626" i="1"/>
  <c r="H626" i="1"/>
  <c r="N626" i="1" s="1"/>
  <c r="G626" i="1"/>
  <c r="F626" i="1"/>
  <c r="A626" i="1"/>
  <c r="O625" i="1"/>
  <c r="H625" i="1"/>
  <c r="N625" i="1" s="1"/>
  <c r="G625" i="1"/>
  <c r="F625" i="1"/>
  <c r="A625" i="1"/>
  <c r="O624" i="1"/>
  <c r="H624" i="1"/>
  <c r="N624" i="1" s="1"/>
  <c r="G624" i="1"/>
  <c r="F624" i="1"/>
  <c r="A624" i="1"/>
  <c r="O623" i="1"/>
  <c r="H623" i="1"/>
  <c r="N623" i="1" s="1"/>
  <c r="G623" i="1"/>
  <c r="F623" i="1"/>
  <c r="A623" i="1"/>
  <c r="O622" i="1"/>
  <c r="H622" i="1"/>
  <c r="N622" i="1" s="1"/>
  <c r="G622" i="1"/>
  <c r="F622" i="1"/>
  <c r="A622" i="1"/>
  <c r="O621" i="1"/>
  <c r="H621" i="1"/>
  <c r="N621" i="1" s="1"/>
  <c r="G621" i="1"/>
  <c r="F621" i="1"/>
  <c r="A621" i="1"/>
  <c r="O620" i="1"/>
  <c r="H620" i="1"/>
  <c r="N620" i="1" s="1"/>
  <c r="G620" i="1"/>
  <c r="F620" i="1"/>
  <c r="A620" i="1"/>
  <c r="O619" i="1"/>
  <c r="H619" i="1"/>
  <c r="N619" i="1" s="1"/>
  <c r="G619" i="1"/>
  <c r="F619" i="1"/>
  <c r="A619" i="1"/>
  <c r="O618" i="1"/>
  <c r="H618" i="1"/>
  <c r="N618" i="1" s="1"/>
  <c r="G618" i="1"/>
  <c r="F618" i="1"/>
  <c r="A618" i="1"/>
  <c r="O617" i="1"/>
  <c r="H617" i="1"/>
  <c r="N617" i="1" s="1"/>
  <c r="G617" i="1"/>
  <c r="F617" i="1"/>
  <c r="A617" i="1"/>
  <c r="O616" i="1"/>
  <c r="H616" i="1"/>
  <c r="N616" i="1" s="1"/>
  <c r="G616" i="1"/>
  <c r="F616" i="1"/>
  <c r="A616" i="1"/>
  <c r="O615" i="1"/>
  <c r="H615" i="1"/>
  <c r="N615" i="1" s="1"/>
  <c r="G615" i="1"/>
  <c r="F615" i="1"/>
  <c r="A615" i="1"/>
  <c r="O614" i="1"/>
  <c r="H614" i="1"/>
  <c r="N614" i="1" s="1"/>
  <c r="G614" i="1"/>
  <c r="F614" i="1"/>
  <c r="A614" i="1"/>
  <c r="O613" i="1"/>
  <c r="H613" i="1"/>
  <c r="N613" i="1" s="1"/>
  <c r="G613" i="1"/>
  <c r="F613" i="1"/>
  <c r="A613" i="1"/>
  <c r="O612" i="1"/>
  <c r="H612" i="1"/>
  <c r="N612" i="1" s="1"/>
  <c r="G612" i="1"/>
  <c r="F612" i="1"/>
  <c r="A612" i="1"/>
  <c r="O611" i="1"/>
  <c r="H611" i="1"/>
  <c r="N611" i="1" s="1"/>
  <c r="G611" i="1"/>
  <c r="F611" i="1"/>
  <c r="A611" i="1"/>
  <c r="O610" i="1"/>
  <c r="H610" i="1"/>
  <c r="N610" i="1" s="1"/>
  <c r="G610" i="1"/>
  <c r="F610" i="1"/>
  <c r="A610" i="1"/>
  <c r="O609" i="1"/>
  <c r="H609" i="1"/>
  <c r="N609" i="1" s="1"/>
  <c r="G609" i="1"/>
  <c r="F609" i="1"/>
  <c r="A609" i="1"/>
  <c r="O608" i="1"/>
  <c r="H608" i="1"/>
  <c r="N608" i="1" s="1"/>
  <c r="G608" i="1"/>
  <c r="F608" i="1"/>
  <c r="A608" i="1"/>
  <c r="O607" i="1"/>
  <c r="H607" i="1"/>
  <c r="N607" i="1" s="1"/>
  <c r="G607" i="1"/>
  <c r="F607" i="1"/>
  <c r="A607" i="1"/>
  <c r="O606" i="1"/>
  <c r="H606" i="1"/>
  <c r="N606" i="1" s="1"/>
  <c r="G606" i="1"/>
  <c r="F606" i="1"/>
  <c r="A606" i="1"/>
  <c r="O605" i="1"/>
  <c r="H605" i="1"/>
  <c r="N605" i="1" s="1"/>
  <c r="G605" i="1"/>
  <c r="F605" i="1"/>
  <c r="A605" i="1"/>
  <c r="F687" i="1"/>
  <c r="I687" i="1" s="1"/>
  <c r="A529" i="1"/>
  <c r="O697" i="1"/>
  <c r="F697" i="1"/>
  <c r="I697" i="1" s="1"/>
  <c r="A697" i="1"/>
  <c r="O696" i="1"/>
  <c r="F696" i="1"/>
  <c r="I696" i="1" s="1"/>
  <c r="A696" i="1"/>
  <c r="O695" i="1"/>
  <c r="F695" i="1"/>
  <c r="I695" i="1" s="1"/>
  <c r="A695" i="1"/>
  <c r="O694" i="1"/>
  <c r="F694" i="1"/>
  <c r="I694" i="1" s="1"/>
  <c r="A694" i="1"/>
  <c r="O693" i="1"/>
  <c r="F693" i="1"/>
  <c r="I693" i="1" s="1"/>
  <c r="A693" i="1"/>
  <c r="O692" i="1"/>
  <c r="F692" i="1"/>
  <c r="I692" i="1" s="1"/>
  <c r="A692" i="1"/>
  <c r="O691" i="1"/>
  <c r="F691" i="1"/>
  <c r="I691" i="1" s="1"/>
  <c r="A691" i="1"/>
  <c r="O690" i="1"/>
  <c r="F690" i="1"/>
  <c r="I690" i="1" s="1"/>
  <c r="A690" i="1"/>
  <c r="O689" i="1"/>
  <c r="F689" i="1"/>
  <c r="I689" i="1" s="1"/>
  <c r="A689" i="1"/>
  <c r="O688" i="1"/>
  <c r="F688" i="1"/>
  <c r="I688" i="1" s="1"/>
  <c r="A688" i="1"/>
  <c r="O686" i="1"/>
  <c r="F686" i="1"/>
  <c r="I686" i="1" s="1"/>
  <c r="A686" i="1"/>
  <c r="O685" i="1"/>
  <c r="F685" i="1"/>
  <c r="I685" i="1" s="1"/>
  <c r="A685" i="1"/>
  <c r="O684" i="1"/>
  <c r="F684" i="1"/>
  <c r="I684" i="1" s="1"/>
  <c r="A684" i="1"/>
  <c r="O683" i="1"/>
  <c r="F683" i="1"/>
  <c r="I683" i="1" s="1"/>
  <c r="A683" i="1"/>
  <c r="O682" i="1"/>
  <c r="F682" i="1"/>
  <c r="I682" i="1" s="1"/>
  <c r="A682" i="1"/>
  <c r="O681" i="1"/>
  <c r="F681" i="1"/>
  <c r="I681" i="1" s="1"/>
  <c r="A681" i="1"/>
  <c r="O680" i="1"/>
  <c r="F680" i="1"/>
  <c r="I680" i="1" s="1"/>
  <c r="A680" i="1"/>
  <c r="O679" i="1"/>
  <c r="F679" i="1"/>
  <c r="I679" i="1" s="1"/>
  <c r="A679" i="1"/>
  <c r="O678" i="1"/>
  <c r="F678" i="1"/>
  <c r="I678" i="1" s="1"/>
  <c r="A678" i="1"/>
  <c r="O677" i="1"/>
  <c r="F677" i="1"/>
  <c r="I677" i="1" s="1"/>
  <c r="A677" i="1"/>
  <c r="O676" i="1"/>
  <c r="F676" i="1"/>
  <c r="I676" i="1" s="1"/>
  <c r="A676" i="1"/>
  <c r="O675" i="1"/>
  <c r="F675" i="1"/>
  <c r="I675" i="1" s="1"/>
  <c r="A675" i="1"/>
  <c r="O674" i="1"/>
  <c r="F674" i="1"/>
  <c r="I674" i="1" s="1"/>
  <c r="A674" i="1"/>
  <c r="O673" i="1"/>
  <c r="F673" i="1"/>
  <c r="I673" i="1" s="1"/>
  <c r="A673" i="1"/>
  <c r="O672" i="1"/>
  <c r="F672" i="1"/>
  <c r="I672" i="1" s="1"/>
  <c r="A672" i="1"/>
  <c r="O671" i="1"/>
  <c r="F671" i="1"/>
  <c r="I671" i="1" s="1"/>
  <c r="A671" i="1"/>
  <c r="O670" i="1"/>
  <c r="F670" i="1"/>
  <c r="I670" i="1" s="1"/>
  <c r="A670" i="1"/>
  <c r="O669" i="1"/>
  <c r="F669" i="1"/>
  <c r="I669" i="1" s="1"/>
  <c r="A669" i="1"/>
  <c r="O668" i="1"/>
  <c r="F668" i="1"/>
  <c r="I668" i="1" s="1"/>
  <c r="A668" i="1"/>
  <c r="O667" i="1"/>
  <c r="F667" i="1"/>
  <c r="I667" i="1" s="1"/>
  <c r="A667" i="1"/>
  <c r="O561" i="1"/>
  <c r="F561" i="1"/>
  <c r="I561" i="1" s="1"/>
  <c r="A561" i="1"/>
  <c r="O560" i="1"/>
  <c r="F560" i="1"/>
  <c r="I560" i="1" s="1"/>
  <c r="A560" i="1"/>
  <c r="O559" i="1"/>
  <c r="F559" i="1"/>
  <c r="I559" i="1" s="1"/>
  <c r="A559" i="1"/>
  <c r="O558" i="1"/>
  <c r="H558" i="1"/>
  <c r="N558" i="1" s="1"/>
  <c r="G558" i="1"/>
  <c r="F558" i="1"/>
  <c r="A558" i="1"/>
  <c r="O557" i="1"/>
  <c r="H557" i="1"/>
  <c r="N557" i="1" s="1"/>
  <c r="G557" i="1"/>
  <c r="F557" i="1"/>
  <c r="A557" i="1"/>
  <c r="O556" i="1"/>
  <c r="H556" i="1"/>
  <c r="N556" i="1" s="1"/>
  <c r="G556" i="1"/>
  <c r="F556" i="1"/>
  <c r="A556" i="1"/>
  <c r="O554" i="1"/>
  <c r="H554" i="1"/>
  <c r="N554" i="1" s="1"/>
  <c r="G554" i="1"/>
  <c r="F554" i="1"/>
  <c r="A554" i="1"/>
  <c r="O553" i="1"/>
  <c r="H553" i="1"/>
  <c r="N553" i="1" s="1"/>
  <c r="G553" i="1"/>
  <c r="F553" i="1"/>
  <c r="A553" i="1"/>
  <c r="O552" i="1"/>
  <c r="H552" i="1"/>
  <c r="N552" i="1" s="1"/>
  <c r="G552" i="1"/>
  <c r="F552" i="1"/>
  <c r="A552" i="1"/>
  <c r="O551" i="1"/>
  <c r="F551" i="1"/>
  <c r="I551" i="1" s="1"/>
  <c r="O550" i="1"/>
  <c r="F550" i="1"/>
  <c r="I550" i="1" s="1"/>
  <c r="O539" i="1"/>
  <c r="F539" i="1"/>
  <c r="I539" i="1" s="1"/>
  <c r="O549" i="1"/>
  <c r="F549" i="1"/>
  <c r="I549" i="1" s="1"/>
  <c r="A549" i="1"/>
  <c r="O548" i="1"/>
  <c r="F548" i="1"/>
  <c r="I548" i="1" s="1"/>
  <c r="A548" i="1"/>
  <c r="O547" i="1"/>
  <c r="F547" i="1"/>
  <c r="I547" i="1" s="1"/>
  <c r="A547" i="1"/>
  <c r="O546" i="1"/>
  <c r="F546" i="1"/>
  <c r="I546" i="1" s="1"/>
  <c r="A546" i="1"/>
  <c r="O545" i="1"/>
  <c r="F545" i="1"/>
  <c r="I545" i="1" s="1"/>
  <c r="A545" i="1"/>
  <c r="O544" i="1"/>
  <c r="F544" i="1"/>
  <c r="I544" i="1" s="1"/>
  <c r="A544" i="1"/>
  <c r="O543" i="1"/>
  <c r="F543" i="1"/>
  <c r="I543" i="1" s="1"/>
  <c r="A543" i="1"/>
  <c r="O542" i="1"/>
  <c r="F542" i="1"/>
  <c r="I542" i="1" s="1"/>
  <c r="A542" i="1"/>
  <c r="O541" i="1"/>
  <c r="F541" i="1"/>
  <c r="I541" i="1" s="1"/>
  <c r="A541" i="1"/>
  <c r="O540" i="1"/>
  <c r="F540" i="1"/>
  <c r="I540" i="1" s="1"/>
  <c r="A540" i="1"/>
  <c r="O538" i="1"/>
  <c r="F538" i="1"/>
  <c r="I538" i="1" s="1"/>
  <c r="A538" i="1"/>
  <c r="O537" i="1"/>
  <c r="F537" i="1"/>
  <c r="I537" i="1" s="1"/>
  <c r="A537" i="1"/>
  <c r="O536" i="1"/>
  <c r="F536" i="1"/>
  <c r="I536" i="1" s="1"/>
  <c r="A536" i="1"/>
  <c r="O535" i="1"/>
  <c r="F535" i="1"/>
  <c r="I535" i="1" s="1"/>
  <c r="A535" i="1"/>
  <c r="O534" i="1"/>
  <c r="F534" i="1"/>
  <c r="I534" i="1" s="1"/>
  <c r="A534" i="1"/>
  <c r="O533" i="1"/>
  <c r="F533" i="1"/>
  <c r="I533" i="1" s="1"/>
  <c r="A533" i="1"/>
  <c r="O532" i="1"/>
  <c r="F532" i="1"/>
  <c r="I532" i="1" s="1"/>
  <c r="A532" i="1"/>
  <c r="O531" i="1"/>
  <c r="F531" i="1"/>
  <c r="I531" i="1" s="1"/>
  <c r="A531" i="1"/>
  <c r="O530" i="1"/>
  <c r="F530" i="1"/>
  <c r="I530" i="1" s="1"/>
  <c r="A530" i="1"/>
  <c r="O528" i="1"/>
  <c r="F528" i="1"/>
  <c r="I528" i="1" s="1"/>
  <c r="A528" i="1"/>
  <c r="O527" i="1"/>
  <c r="F527" i="1"/>
  <c r="I527" i="1" s="1"/>
  <c r="A527" i="1"/>
  <c r="O526" i="1"/>
  <c r="F526" i="1"/>
  <c r="I526" i="1" s="1"/>
  <c r="A526" i="1"/>
  <c r="O525" i="1"/>
  <c r="F525" i="1"/>
  <c r="I525" i="1" s="1"/>
  <c r="A525" i="1"/>
  <c r="O524" i="1"/>
  <c r="F524" i="1"/>
  <c r="I524" i="1" s="1"/>
  <c r="A524" i="1"/>
  <c r="O523" i="1"/>
  <c r="F523" i="1"/>
  <c r="I523" i="1" s="1"/>
  <c r="A523" i="1"/>
  <c r="O522" i="1"/>
  <c r="F522" i="1"/>
  <c r="I522" i="1" s="1"/>
  <c r="A522" i="1"/>
  <c r="O521" i="1"/>
  <c r="F521" i="1"/>
  <c r="I521" i="1" s="1"/>
  <c r="A521" i="1"/>
  <c r="O520" i="1"/>
  <c r="F520" i="1"/>
  <c r="I520" i="1" s="1"/>
  <c r="A520" i="1"/>
  <c r="O519" i="1"/>
  <c r="F519" i="1"/>
  <c r="I519" i="1" s="1"/>
  <c r="A519" i="1"/>
  <c r="AB497" i="1"/>
  <c r="AA497" i="1"/>
  <c r="Y497" i="1"/>
  <c r="O518" i="1"/>
  <c r="F518" i="1"/>
  <c r="I518" i="1" s="1"/>
  <c r="A518" i="1"/>
  <c r="AC496" i="1"/>
  <c r="AD496" i="1" s="1"/>
  <c r="O517" i="1"/>
  <c r="F517" i="1"/>
  <c r="I517" i="1" s="1"/>
  <c r="A517" i="1"/>
  <c r="AC495" i="1"/>
  <c r="AD495" i="1" s="1"/>
  <c r="O516" i="1"/>
  <c r="F516" i="1"/>
  <c r="I516" i="1" s="1"/>
  <c r="A516" i="1"/>
  <c r="AC494" i="1"/>
  <c r="AD494" i="1" s="1"/>
  <c r="O515" i="1"/>
  <c r="F515" i="1"/>
  <c r="I515" i="1" s="1"/>
  <c r="A515" i="1"/>
  <c r="AC493" i="1"/>
  <c r="AD493" i="1" s="1"/>
  <c r="O514" i="1"/>
  <c r="F514" i="1"/>
  <c r="I514" i="1" s="1"/>
  <c r="A514" i="1"/>
  <c r="AC492" i="1"/>
  <c r="AD492" i="1" s="1"/>
  <c r="O513" i="1"/>
  <c r="F513" i="1"/>
  <c r="I513" i="1" s="1"/>
  <c r="A513" i="1"/>
  <c r="AC491" i="1"/>
  <c r="AD491" i="1" s="1"/>
  <c r="O512" i="1"/>
  <c r="F512" i="1"/>
  <c r="I512" i="1" s="1"/>
  <c r="A512" i="1"/>
  <c r="AC490" i="1"/>
  <c r="AD490" i="1" s="1"/>
  <c r="O511" i="1"/>
  <c r="F511" i="1"/>
  <c r="I511" i="1" s="1"/>
  <c r="A511" i="1"/>
  <c r="AC489" i="1"/>
  <c r="AD489" i="1" s="1"/>
  <c r="O510" i="1"/>
  <c r="F510" i="1"/>
  <c r="I510" i="1" s="1"/>
  <c r="A510" i="1"/>
  <c r="AC488" i="1"/>
  <c r="AD488" i="1" s="1"/>
  <c r="O509" i="1"/>
  <c r="F509" i="1"/>
  <c r="I509" i="1" s="1"/>
  <c r="A509" i="1"/>
  <c r="AC487" i="1"/>
  <c r="AD487" i="1" s="1"/>
  <c r="O508" i="1"/>
  <c r="F508" i="1"/>
  <c r="I508" i="1" s="1"/>
  <c r="A508" i="1"/>
  <c r="AC486" i="1"/>
  <c r="AD486" i="1" s="1"/>
  <c r="O507" i="1"/>
  <c r="F507" i="1"/>
  <c r="I507" i="1" s="1"/>
  <c r="A507" i="1"/>
  <c r="AC485" i="1"/>
  <c r="AD485" i="1" s="1"/>
  <c r="O506" i="1"/>
  <c r="F506" i="1"/>
  <c r="I506" i="1" s="1"/>
  <c r="A506" i="1"/>
  <c r="AC484" i="1"/>
  <c r="AD484" i="1" s="1"/>
  <c r="O505" i="1"/>
  <c r="F505" i="1"/>
  <c r="I505" i="1" s="1"/>
  <c r="A505" i="1"/>
  <c r="AC483" i="1"/>
  <c r="AD483" i="1" s="1"/>
  <c r="O504" i="1"/>
  <c r="F504" i="1"/>
  <c r="I504" i="1" s="1"/>
  <c r="A504" i="1"/>
  <c r="AC482" i="1"/>
  <c r="AD482" i="1" s="1"/>
  <c r="O503" i="1"/>
  <c r="F503" i="1"/>
  <c r="I503" i="1" s="1"/>
  <c r="A503" i="1"/>
  <c r="AC481" i="1"/>
  <c r="AD481" i="1" s="1"/>
  <c r="O502" i="1"/>
  <c r="F502" i="1"/>
  <c r="I502" i="1" s="1"/>
  <c r="A502" i="1"/>
  <c r="AC480" i="1"/>
  <c r="AD480" i="1" s="1"/>
  <c r="O501" i="1"/>
  <c r="F501" i="1"/>
  <c r="I501" i="1" s="1"/>
  <c r="A501" i="1"/>
  <c r="AC479" i="1"/>
  <c r="AD479" i="1" s="1"/>
  <c r="O500" i="1"/>
  <c r="F500" i="1"/>
  <c r="I500" i="1" s="1"/>
  <c r="A500" i="1"/>
  <c r="AC478" i="1"/>
  <c r="AD478" i="1" s="1"/>
  <c r="O499" i="1"/>
  <c r="F499" i="1"/>
  <c r="I499" i="1" s="1"/>
  <c r="A499" i="1"/>
  <c r="AC477" i="1"/>
  <c r="AD477" i="1" s="1"/>
  <c r="O498" i="1"/>
  <c r="F498" i="1"/>
  <c r="I498" i="1" s="1"/>
  <c r="A498" i="1"/>
  <c r="AC476" i="1"/>
  <c r="AD476" i="1" s="1"/>
  <c r="O497" i="1"/>
  <c r="F497" i="1"/>
  <c r="I497" i="1" s="1"/>
  <c r="A497" i="1"/>
  <c r="AC475" i="1"/>
  <c r="AD475" i="1" s="1"/>
  <c r="O496" i="1"/>
  <c r="F496" i="1"/>
  <c r="I496" i="1" s="1"/>
  <c r="A496" i="1"/>
  <c r="AC474" i="1"/>
  <c r="AD474" i="1" s="1"/>
  <c r="O495" i="1"/>
  <c r="F495" i="1"/>
  <c r="I495" i="1" s="1"/>
  <c r="A495" i="1"/>
  <c r="AC473" i="1"/>
  <c r="AD473" i="1" s="1"/>
  <c r="O494" i="1"/>
  <c r="F494" i="1"/>
  <c r="I494" i="1" s="1"/>
  <c r="A494" i="1"/>
  <c r="AC472" i="1"/>
  <c r="AD472" i="1" s="1"/>
  <c r="O493" i="1"/>
  <c r="F493" i="1"/>
  <c r="I493" i="1" s="1"/>
  <c r="A493" i="1"/>
  <c r="AC471" i="1"/>
  <c r="AD471" i="1" s="1"/>
  <c r="O492" i="1"/>
  <c r="F492" i="1"/>
  <c r="I492" i="1" s="1"/>
  <c r="A492" i="1"/>
  <c r="AC470" i="1"/>
  <c r="AD470" i="1" s="1"/>
  <c r="O491" i="1"/>
  <c r="F491" i="1"/>
  <c r="I491" i="1" s="1"/>
  <c r="A491" i="1"/>
  <c r="AC469" i="1"/>
  <c r="AD469" i="1" s="1"/>
  <c r="O490" i="1"/>
  <c r="F490" i="1"/>
  <c r="I490" i="1" s="1"/>
  <c r="A490" i="1"/>
  <c r="AC468" i="1"/>
  <c r="AD468" i="1" s="1"/>
  <c r="O489" i="1"/>
  <c r="F489" i="1"/>
  <c r="I489" i="1" s="1"/>
  <c r="A489" i="1"/>
  <c r="AC467" i="1"/>
  <c r="AD467" i="1" s="1"/>
  <c r="O488" i="1"/>
  <c r="F488" i="1"/>
  <c r="I488" i="1" s="1"/>
  <c r="A488" i="1"/>
  <c r="O486" i="1"/>
  <c r="H486" i="1"/>
  <c r="N486" i="1" s="1"/>
  <c r="G486" i="1"/>
  <c r="F486" i="1"/>
  <c r="A486" i="1"/>
  <c r="O485" i="1"/>
  <c r="H485" i="1"/>
  <c r="N485" i="1" s="1"/>
  <c r="G485" i="1"/>
  <c r="F485" i="1"/>
  <c r="A485" i="1"/>
  <c r="O484" i="1"/>
  <c r="H484" i="1"/>
  <c r="N484" i="1" s="1"/>
  <c r="G484" i="1"/>
  <c r="F484" i="1"/>
  <c r="A484" i="1"/>
  <c r="O483" i="1"/>
  <c r="H483" i="1"/>
  <c r="N483" i="1" s="1"/>
  <c r="G483" i="1"/>
  <c r="F483" i="1"/>
  <c r="A483" i="1"/>
  <c r="O482" i="1"/>
  <c r="H482" i="1"/>
  <c r="N482" i="1" s="1"/>
  <c r="G482" i="1"/>
  <c r="F482" i="1"/>
  <c r="A482" i="1"/>
  <c r="O481" i="1"/>
  <c r="H481" i="1"/>
  <c r="N481" i="1" s="1"/>
  <c r="G481" i="1"/>
  <c r="F481" i="1"/>
  <c r="A481" i="1"/>
  <c r="O480" i="1"/>
  <c r="H480" i="1"/>
  <c r="N480" i="1" s="1"/>
  <c r="G480" i="1"/>
  <c r="F480" i="1"/>
  <c r="A480" i="1"/>
  <c r="O479" i="1"/>
  <c r="H479" i="1"/>
  <c r="N479" i="1" s="1"/>
  <c r="G479" i="1"/>
  <c r="F479" i="1"/>
  <c r="A479" i="1"/>
  <c r="O478" i="1"/>
  <c r="H478" i="1"/>
  <c r="N478" i="1" s="1"/>
  <c r="G478" i="1"/>
  <c r="F478" i="1"/>
  <c r="A478" i="1"/>
  <c r="O487" i="1"/>
  <c r="H487" i="1"/>
  <c r="N487" i="1" s="1"/>
  <c r="G487" i="1"/>
  <c r="F487" i="1"/>
  <c r="A487" i="1"/>
  <c r="O477" i="1"/>
  <c r="H477" i="1"/>
  <c r="N477" i="1" s="1"/>
  <c r="G477" i="1"/>
  <c r="F477" i="1"/>
  <c r="A477" i="1"/>
  <c r="O476" i="1"/>
  <c r="H476" i="1"/>
  <c r="N476" i="1" s="1"/>
  <c r="G476" i="1"/>
  <c r="F476" i="1"/>
  <c r="A476" i="1"/>
  <c r="O475" i="1"/>
  <c r="H475" i="1"/>
  <c r="N475" i="1" s="1"/>
  <c r="G475" i="1"/>
  <c r="F475" i="1"/>
  <c r="A475" i="1"/>
  <c r="O474" i="1"/>
  <c r="H474" i="1"/>
  <c r="N474" i="1" s="1"/>
  <c r="G474" i="1"/>
  <c r="F474" i="1"/>
  <c r="A474" i="1"/>
  <c r="O473" i="1"/>
  <c r="H473" i="1"/>
  <c r="N473" i="1" s="1"/>
  <c r="G473" i="1"/>
  <c r="F473" i="1"/>
  <c r="A473" i="1"/>
  <c r="O472" i="1"/>
  <c r="H472" i="1"/>
  <c r="N472" i="1" s="1"/>
  <c r="G472" i="1"/>
  <c r="F472" i="1"/>
  <c r="A472" i="1"/>
  <c r="O471" i="1"/>
  <c r="H471" i="1"/>
  <c r="N471" i="1" s="1"/>
  <c r="G471" i="1"/>
  <c r="F471" i="1"/>
  <c r="A471" i="1"/>
  <c r="O470" i="1"/>
  <c r="H470" i="1"/>
  <c r="N470" i="1" s="1"/>
  <c r="G470" i="1"/>
  <c r="F470" i="1"/>
  <c r="A470" i="1"/>
  <c r="O469" i="1"/>
  <c r="H469" i="1"/>
  <c r="N469" i="1" s="1"/>
  <c r="G469" i="1"/>
  <c r="F469" i="1"/>
  <c r="A469" i="1"/>
  <c r="O468" i="1"/>
  <c r="H468" i="1"/>
  <c r="N468" i="1" s="1"/>
  <c r="G468" i="1"/>
  <c r="F468" i="1"/>
  <c r="A468" i="1"/>
  <c r="O467" i="1"/>
  <c r="H467" i="1"/>
  <c r="N467" i="1" s="1"/>
  <c r="G467" i="1"/>
  <c r="F467" i="1"/>
  <c r="A467" i="1"/>
  <c r="O466" i="1"/>
  <c r="H466" i="1"/>
  <c r="N466" i="1" s="1"/>
  <c r="G466" i="1"/>
  <c r="F466" i="1"/>
  <c r="A466" i="1"/>
  <c r="O465" i="1"/>
  <c r="H465" i="1"/>
  <c r="N465" i="1" s="1"/>
  <c r="G465" i="1"/>
  <c r="F465" i="1"/>
  <c r="A465" i="1"/>
  <c r="O464" i="1"/>
  <c r="H464" i="1"/>
  <c r="N464" i="1" s="1"/>
  <c r="G464" i="1"/>
  <c r="F464" i="1"/>
  <c r="A464" i="1"/>
  <c r="O463" i="1"/>
  <c r="H463" i="1"/>
  <c r="N463" i="1" s="1"/>
  <c r="G463" i="1"/>
  <c r="F463" i="1"/>
  <c r="A463" i="1"/>
  <c r="O462" i="1"/>
  <c r="H462" i="1"/>
  <c r="N462" i="1" s="1"/>
  <c r="G462" i="1"/>
  <c r="F462" i="1"/>
  <c r="A462" i="1"/>
  <c r="O461" i="1"/>
  <c r="H461" i="1"/>
  <c r="N461" i="1" s="1"/>
  <c r="G461" i="1"/>
  <c r="F461" i="1"/>
  <c r="A461" i="1"/>
  <c r="O460" i="1"/>
  <c r="H460" i="1"/>
  <c r="N460" i="1" s="1"/>
  <c r="G460" i="1"/>
  <c r="F460" i="1"/>
  <c r="A460" i="1"/>
  <c r="O459" i="1"/>
  <c r="H459" i="1"/>
  <c r="N459" i="1" s="1"/>
  <c r="G459" i="1"/>
  <c r="F459" i="1"/>
  <c r="A459" i="1"/>
  <c r="O458" i="1"/>
  <c r="H458" i="1"/>
  <c r="N458" i="1" s="1"/>
  <c r="G458" i="1"/>
  <c r="F458" i="1"/>
  <c r="A458" i="1"/>
  <c r="O457" i="1"/>
  <c r="H457" i="1"/>
  <c r="N457" i="1" s="1"/>
  <c r="G457" i="1"/>
  <c r="F457" i="1"/>
  <c r="A457" i="1"/>
  <c r="O456" i="1"/>
  <c r="H456" i="1"/>
  <c r="N456" i="1" s="1"/>
  <c r="G456" i="1"/>
  <c r="F456" i="1"/>
  <c r="A456" i="1"/>
  <c r="O455" i="1"/>
  <c r="H455" i="1"/>
  <c r="N455" i="1" s="1"/>
  <c r="G455" i="1"/>
  <c r="F455" i="1"/>
  <c r="A455" i="1"/>
  <c r="O454" i="1"/>
  <c r="H454" i="1"/>
  <c r="N454" i="1" s="1"/>
  <c r="G454" i="1"/>
  <c r="F454" i="1"/>
  <c r="A454" i="1"/>
  <c r="O453" i="1"/>
  <c r="H453" i="1"/>
  <c r="N453" i="1" s="1"/>
  <c r="G453" i="1"/>
  <c r="F453" i="1"/>
  <c r="A453" i="1"/>
  <c r="O452" i="1"/>
  <c r="H452" i="1"/>
  <c r="N452" i="1" s="1"/>
  <c r="G452" i="1"/>
  <c r="F452" i="1"/>
  <c r="A452" i="1"/>
  <c r="O451" i="1"/>
  <c r="H451" i="1"/>
  <c r="N451" i="1" s="1"/>
  <c r="G451" i="1"/>
  <c r="F451" i="1"/>
  <c r="A451" i="1"/>
  <c r="O450" i="1"/>
  <c r="H450" i="1"/>
  <c r="N450" i="1" s="1"/>
  <c r="G450" i="1"/>
  <c r="F450" i="1"/>
  <c r="A450" i="1"/>
  <c r="O449" i="1"/>
  <c r="H449" i="1"/>
  <c r="N449" i="1" s="1"/>
  <c r="G449" i="1"/>
  <c r="F449" i="1"/>
  <c r="A449" i="1"/>
  <c r="O448" i="1"/>
  <c r="H448" i="1"/>
  <c r="N448" i="1" s="1"/>
  <c r="G448" i="1"/>
  <c r="F448" i="1"/>
  <c r="A448" i="1"/>
  <c r="O447" i="1"/>
  <c r="H447" i="1"/>
  <c r="N447" i="1" s="1"/>
  <c r="G447" i="1"/>
  <c r="F447" i="1"/>
  <c r="A447" i="1"/>
  <c r="O446" i="1"/>
  <c r="H446" i="1"/>
  <c r="N446" i="1" s="1"/>
  <c r="G446" i="1"/>
  <c r="F446" i="1"/>
  <c r="A446" i="1"/>
  <c r="O445" i="1"/>
  <c r="H445" i="1"/>
  <c r="N445" i="1" s="1"/>
  <c r="G445" i="1"/>
  <c r="F445" i="1"/>
  <c r="A445" i="1"/>
  <c r="O444" i="1"/>
  <c r="H444" i="1"/>
  <c r="N444" i="1" s="1"/>
  <c r="G444" i="1"/>
  <c r="F444" i="1"/>
  <c r="A444" i="1"/>
  <c r="O443" i="1"/>
  <c r="H443" i="1"/>
  <c r="N443" i="1" s="1"/>
  <c r="G443" i="1"/>
  <c r="F443" i="1"/>
  <c r="A443" i="1"/>
  <c r="O442" i="1"/>
  <c r="H442" i="1"/>
  <c r="N442" i="1" s="1"/>
  <c r="G442" i="1"/>
  <c r="F442" i="1"/>
  <c r="A442" i="1"/>
  <c r="O441" i="1"/>
  <c r="H441" i="1"/>
  <c r="N441" i="1" s="1"/>
  <c r="G441" i="1"/>
  <c r="F441" i="1"/>
  <c r="A441" i="1"/>
  <c r="O440" i="1"/>
  <c r="H440" i="1"/>
  <c r="N440" i="1" s="1"/>
  <c r="G440" i="1"/>
  <c r="F440" i="1"/>
  <c r="A440" i="1"/>
  <c r="O439" i="1"/>
  <c r="H439" i="1"/>
  <c r="N439" i="1" s="1"/>
  <c r="G439" i="1"/>
  <c r="F439" i="1"/>
  <c r="A439" i="1"/>
  <c r="O438" i="1"/>
  <c r="H438" i="1"/>
  <c r="N438" i="1" s="1"/>
  <c r="G438" i="1"/>
  <c r="F438" i="1"/>
  <c r="A438" i="1"/>
  <c r="O437" i="1"/>
  <c r="H437" i="1"/>
  <c r="N437" i="1" s="1"/>
  <c r="G437" i="1"/>
  <c r="F437" i="1"/>
  <c r="A437" i="1"/>
  <c r="O436" i="1"/>
  <c r="H436" i="1"/>
  <c r="N436" i="1" s="1"/>
  <c r="G436" i="1"/>
  <c r="F436" i="1"/>
  <c r="A436" i="1"/>
  <c r="O435" i="1"/>
  <c r="H435" i="1"/>
  <c r="N435" i="1" s="1"/>
  <c r="G435" i="1"/>
  <c r="F435" i="1"/>
  <c r="A435" i="1"/>
  <c r="O434" i="1"/>
  <c r="H434" i="1"/>
  <c r="N434" i="1" s="1"/>
  <c r="G434" i="1"/>
  <c r="F434" i="1"/>
  <c r="A434" i="1"/>
  <c r="O433" i="1"/>
  <c r="H433" i="1"/>
  <c r="N433" i="1" s="1"/>
  <c r="G433" i="1"/>
  <c r="F433" i="1"/>
  <c r="A433" i="1"/>
  <c r="O432" i="1"/>
  <c r="H432" i="1"/>
  <c r="N432" i="1" s="1"/>
  <c r="G432" i="1"/>
  <c r="F432" i="1"/>
  <c r="A432" i="1"/>
  <c r="O431" i="1"/>
  <c r="H431" i="1"/>
  <c r="N431" i="1" s="1"/>
  <c r="G431" i="1"/>
  <c r="F431" i="1"/>
  <c r="A431" i="1"/>
  <c r="O430" i="1"/>
  <c r="H430" i="1"/>
  <c r="N430" i="1" s="1"/>
  <c r="G430" i="1"/>
  <c r="F430" i="1"/>
  <c r="A430" i="1"/>
  <c r="O429" i="1"/>
  <c r="H429" i="1"/>
  <c r="N429" i="1" s="1"/>
  <c r="G429" i="1"/>
  <c r="F429" i="1"/>
  <c r="A429" i="1"/>
  <c r="O428" i="1"/>
  <c r="H428" i="1"/>
  <c r="N428" i="1" s="1"/>
  <c r="G428" i="1"/>
  <c r="F428" i="1"/>
  <c r="A428" i="1"/>
  <c r="O413" i="1"/>
  <c r="F413" i="1"/>
  <c r="I413" i="1" s="1"/>
  <c r="A342" i="1"/>
  <c r="O423" i="1"/>
  <c r="F423" i="1"/>
  <c r="I423" i="1" s="1"/>
  <c r="A423" i="1"/>
  <c r="O422" i="1"/>
  <c r="F422" i="1"/>
  <c r="I422" i="1" s="1"/>
  <c r="A422" i="1"/>
  <c r="O421" i="1"/>
  <c r="F421" i="1"/>
  <c r="I421" i="1" s="1"/>
  <c r="A421" i="1"/>
  <c r="O420" i="1"/>
  <c r="F420" i="1"/>
  <c r="I420" i="1" s="1"/>
  <c r="A420" i="1"/>
  <c r="O419" i="1"/>
  <c r="F419" i="1"/>
  <c r="I419" i="1" s="1"/>
  <c r="A419" i="1"/>
  <c r="O418" i="1"/>
  <c r="F418" i="1"/>
  <c r="I418" i="1" s="1"/>
  <c r="A418" i="1"/>
  <c r="O417" i="1"/>
  <c r="F417" i="1"/>
  <c r="I417" i="1" s="1"/>
  <c r="A417" i="1"/>
  <c r="O416" i="1"/>
  <c r="F416" i="1"/>
  <c r="I416" i="1" s="1"/>
  <c r="A416" i="1"/>
  <c r="O415" i="1"/>
  <c r="F415" i="1"/>
  <c r="I415" i="1" s="1"/>
  <c r="A415" i="1"/>
  <c r="O414" i="1"/>
  <c r="F414" i="1"/>
  <c r="I414" i="1" s="1"/>
  <c r="A414" i="1"/>
  <c r="O412" i="1"/>
  <c r="F412" i="1"/>
  <c r="I412" i="1" s="1"/>
  <c r="A412" i="1"/>
  <c r="O411" i="1"/>
  <c r="F411" i="1"/>
  <c r="I411" i="1" s="1"/>
  <c r="A411" i="1"/>
  <c r="O410" i="1"/>
  <c r="F410" i="1"/>
  <c r="I410" i="1" s="1"/>
  <c r="A410" i="1"/>
  <c r="O409" i="1"/>
  <c r="F409" i="1"/>
  <c r="I409" i="1" s="1"/>
  <c r="A409" i="1"/>
  <c r="O408" i="1"/>
  <c r="F408" i="1"/>
  <c r="I408" i="1" s="1"/>
  <c r="A408" i="1"/>
  <c r="O407" i="1"/>
  <c r="F407" i="1"/>
  <c r="I407" i="1" s="1"/>
  <c r="A407" i="1"/>
  <c r="O406" i="1"/>
  <c r="F406" i="1"/>
  <c r="I406" i="1" s="1"/>
  <c r="A406" i="1"/>
  <c r="O405" i="1"/>
  <c r="F405" i="1"/>
  <c r="I405" i="1" s="1"/>
  <c r="A405" i="1"/>
  <c r="O404" i="1"/>
  <c r="F404" i="1"/>
  <c r="I404" i="1" s="1"/>
  <c r="A404" i="1"/>
  <c r="O403" i="1"/>
  <c r="F403" i="1"/>
  <c r="I403" i="1" s="1"/>
  <c r="A403" i="1"/>
  <c r="O402" i="1"/>
  <c r="F402" i="1"/>
  <c r="I402" i="1" s="1"/>
  <c r="A402" i="1"/>
  <c r="O401" i="1"/>
  <c r="F401" i="1"/>
  <c r="I401" i="1" s="1"/>
  <c r="A401" i="1"/>
  <c r="O400" i="1"/>
  <c r="F400" i="1"/>
  <c r="I400" i="1" s="1"/>
  <c r="A400" i="1"/>
  <c r="O399" i="1"/>
  <c r="F399" i="1"/>
  <c r="I399" i="1" s="1"/>
  <c r="A399" i="1"/>
  <c r="O398" i="1"/>
  <c r="F398" i="1"/>
  <c r="I398" i="1" s="1"/>
  <c r="A398" i="1"/>
  <c r="O397" i="1"/>
  <c r="F397" i="1"/>
  <c r="I397" i="1" s="1"/>
  <c r="A397" i="1"/>
  <c r="O396" i="1"/>
  <c r="F396" i="1"/>
  <c r="I396" i="1" s="1"/>
  <c r="A396" i="1"/>
  <c r="O395" i="1"/>
  <c r="F395" i="1"/>
  <c r="I395" i="1" s="1"/>
  <c r="A395" i="1"/>
  <c r="O394" i="1"/>
  <c r="F394" i="1"/>
  <c r="I394" i="1" s="1"/>
  <c r="A394" i="1"/>
  <c r="O393" i="1"/>
  <c r="F393" i="1"/>
  <c r="I393" i="1" s="1"/>
  <c r="A393" i="1"/>
  <c r="O392" i="1"/>
  <c r="F392" i="1"/>
  <c r="I392" i="1" s="1"/>
  <c r="A392" i="1"/>
  <c r="O391" i="1"/>
  <c r="F391" i="1"/>
  <c r="I391" i="1" s="1"/>
  <c r="A391" i="1"/>
  <c r="O390" i="1"/>
  <c r="F390" i="1"/>
  <c r="I390" i="1" s="1"/>
  <c r="A390" i="1"/>
  <c r="O389" i="1"/>
  <c r="F389" i="1"/>
  <c r="I389" i="1" s="1"/>
  <c r="A389" i="1"/>
  <c r="O388" i="1"/>
  <c r="F388" i="1"/>
  <c r="I388" i="1" s="1"/>
  <c r="A388" i="1"/>
  <c r="O387" i="1"/>
  <c r="F387" i="1"/>
  <c r="I387" i="1" s="1"/>
  <c r="A387" i="1"/>
  <c r="O386" i="1"/>
  <c r="F386" i="1"/>
  <c r="I386" i="1" s="1"/>
  <c r="A386" i="1"/>
  <c r="O385" i="1"/>
  <c r="F385" i="1"/>
  <c r="I385" i="1" s="1"/>
  <c r="A385" i="1"/>
  <c r="O384" i="1"/>
  <c r="F384" i="1"/>
  <c r="I384" i="1" s="1"/>
  <c r="A384" i="1"/>
  <c r="O383" i="1"/>
  <c r="F383" i="1"/>
  <c r="I383" i="1" s="1"/>
  <c r="A383" i="1"/>
  <c r="O382" i="1"/>
  <c r="F382" i="1"/>
  <c r="I382" i="1" s="1"/>
  <c r="A382" i="1"/>
  <c r="O381" i="1"/>
  <c r="F381" i="1"/>
  <c r="I381" i="1" s="1"/>
  <c r="A381" i="1"/>
  <c r="O380" i="1"/>
  <c r="F380" i="1"/>
  <c r="I380" i="1" s="1"/>
  <c r="A380" i="1"/>
  <c r="O379" i="1"/>
  <c r="F379" i="1"/>
  <c r="I379" i="1" s="1"/>
  <c r="A379" i="1"/>
  <c r="O378" i="1"/>
  <c r="F378" i="1"/>
  <c r="I378" i="1" s="1"/>
  <c r="A378" i="1"/>
  <c r="O377" i="1"/>
  <c r="F377" i="1"/>
  <c r="I377" i="1" s="1"/>
  <c r="A377" i="1"/>
  <c r="O376" i="1"/>
  <c r="F376" i="1"/>
  <c r="I376" i="1" s="1"/>
  <c r="A376" i="1"/>
  <c r="O375" i="1"/>
  <c r="F375" i="1"/>
  <c r="I375" i="1" s="1"/>
  <c r="A375" i="1"/>
  <c r="O374" i="1"/>
  <c r="F374" i="1"/>
  <c r="I374" i="1" s="1"/>
  <c r="A374" i="1"/>
  <c r="O373" i="1"/>
  <c r="F373" i="1"/>
  <c r="I373" i="1" s="1"/>
  <c r="A373" i="1"/>
  <c r="O372" i="1"/>
  <c r="F372" i="1"/>
  <c r="I372" i="1" s="1"/>
  <c r="A372" i="1"/>
  <c r="O371" i="1"/>
  <c r="F371" i="1"/>
  <c r="I371" i="1" s="1"/>
  <c r="A371" i="1"/>
  <c r="O370" i="1"/>
  <c r="F370" i="1"/>
  <c r="I370" i="1" s="1"/>
  <c r="A370" i="1"/>
  <c r="O369" i="1"/>
  <c r="F369" i="1"/>
  <c r="I369" i="1" s="1"/>
  <c r="A369" i="1"/>
  <c r="O368" i="1"/>
  <c r="F368" i="1"/>
  <c r="I368" i="1" s="1"/>
  <c r="A368" i="1"/>
  <c r="O367" i="1"/>
  <c r="F367" i="1"/>
  <c r="I367" i="1" s="1"/>
  <c r="A367" i="1"/>
  <c r="O366" i="1"/>
  <c r="F366" i="1"/>
  <c r="I366" i="1" s="1"/>
  <c r="A366" i="1"/>
  <c r="O365" i="1"/>
  <c r="F365" i="1"/>
  <c r="I365" i="1" s="1"/>
  <c r="A365" i="1"/>
  <c r="O364" i="1"/>
  <c r="F364" i="1"/>
  <c r="I364" i="1" s="1"/>
  <c r="A364" i="1"/>
  <c r="O363" i="1"/>
  <c r="F363" i="1"/>
  <c r="I363" i="1" s="1"/>
  <c r="A363" i="1"/>
  <c r="O353" i="1"/>
  <c r="H353" i="1"/>
  <c r="N353" i="1" s="1"/>
  <c r="G353" i="1"/>
  <c r="F353" i="1"/>
  <c r="A309" i="1"/>
  <c r="O352" i="1"/>
  <c r="H352" i="1"/>
  <c r="N352" i="1" s="1"/>
  <c r="G352" i="1"/>
  <c r="F352" i="1"/>
  <c r="A295" i="1"/>
  <c r="O362" i="1"/>
  <c r="H362" i="1"/>
  <c r="N362" i="1" s="1"/>
  <c r="G362" i="1"/>
  <c r="F362" i="1"/>
  <c r="A362" i="1"/>
  <c r="O361" i="1"/>
  <c r="H361" i="1"/>
  <c r="N361" i="1" s="1"/>
  <c r="G361" i="1"/>
  <c r="F361" i="1"/>
  <c r="A361" i="1"/>
  <c r="O360" i="1"/>
  <c r="H360" i="1"/>
  <c r="N360" i="1" s="1"/>
  <c r="G360" i="1"/>
  <c r="F360" i="1"/>
  <c r="A360" i="1"/>
  <c r="O359" i="1"/>
  <c r="H359" i="1"/>
  <c r="N359" i="1" s="1"/>
  <c r="G359" i="1"/>
  <c r="F359" i="1"/>
  <c r="A359" i="1"/>
  <c r="O358" i="1"/>
  <c r="H358" i="1"/>
  <c r="N358" i="1" s="1"/>
  <c r="G358" i="1"/>
  <c r="F358" i="1"/>
  <c r="A358" i="1"/>
  <c r="O357" i="1"/>
  <c r="H357" i="1"/>
  <c r="N357" i="1" s="1"/>
  <c r="G357" i="1"/>
  <c r="F357" i="1"/>
  <c r="A357" i="1"/>
  <c r="O356" i="1"/>
  <c r="H356" i="1"/>
  <c r="N356" i="1" s="1"/>
  <c r="G356" i="1"/>
  <c r="F356" i="1"/>
  <c r="A356" i="1"/>
  <c r="O355" i="1"/>
  <c r="H355" i="1"/>
  <c r="N355" i="1" s="1"/>
  <c r="G355" i="1"/>
  <c r="F355" i="1"/>
  <c r="A355" i="1"/>
  <c r="O354" i="1"/>
  <c r="H354" i="1"/>
  <c r="N354" i="1" s="1"/>
  <c r="G354" i="1"/>
  <c r="F354" i="1"/>
  <c r="A354" i="1"/>
  <c r="O351" i="1"/>
  <c r="H351" i="1"/>
  <c r="N351" i="1" s="1"/>
  <c r="G351" i="1"/>
  <c r="F351" i="1"/>
  <c r="A351" i="1"/>
  <c r="O350" i="1"/>
  <c r="H350" i="1"/>
  <c r="N350" i="1" s="1"/>
  <c r="G350" i="1"/>
  <c r="F350" i="1"/>
  <c r="A350" i="1"/>
  <c r="O349" i="1"/>
  <c r="H349" i="1"/>
  <c r="N349" i="1" s="1"/>
  <c r="G349" i="1"/>
  <c r="F349" i="1"/>
  <c r="A349" i="1"/>
  <c r="O348" i="1"/>
  <c r="H348" i="1"/>
  <c r="N348" i="1" s="1"/>
  <c r="G348" i="1"/>
  <c r="F348" i="1"/>
  <c r="A348" i="1"/>
  <c r="O347" i="1"/>
  <c r="H347" i="1"/>
  <c r="N347" i="1" s="1"/>
  <c r="G347" i="1"/>
  <c r="F347" i="1"/>
  <c r="A347" i="1"/>
  <c r="O346" i="1"/>
  <c r="H346" i="1"/>
  <c r="N346" i="1" s="1"/>
  <c r="G346" i="1"/>
  <c r="F346" i="1"/>
  <c r="A346" i="1"/>
  <c r="O345" i="1"/>
  <c r="H345" i="1"/>
  <c r="N345" i="1" s="1"/>
  <c r="G345" i="1"/>
  <c r="F345" i="1"/>
  <c r="A345" i="1"/>
  <c r="O344" i="1"/>
  <c r="H344" i="1"/>
  <c r="N344" i="1" s="1"/>
  <c r="G344" i="1"/>
  <c r="F344" i="1"/>
  <c r="A344" i="1"/>
  <c r="O343" i="1"/>
  <c r="H343" i="1"/>
  <c r="N343" i="1" s="1"/>
  <c r="G343" i="1"/>
  <c r="F343" i="1"/>
  <c r="A343" i="1"/>
  <c r="O341" i="1"/>
  <c r="H341" i="1"/>
  <c r="N341" i="1" s="1"/>
  <c r="G341" i="1"/>
  <c r="F341" i="1"/>
  <c r="A341" i="1"/>
  <c r="O340" i="1"/>
  <c r="H340" i="1"/>
  <c r="N340" i="1" s="1"/>
  <c r="G340" i="1"/>
  <c r="F340" i="1"/>
  <c r="A340" i="1"/>
  <c r="O339" i="1"/>
  <c r="H339" i="1"/>
  <c r="N339" i="1" s="1"/>
  <c r="G339" i="1"/>
  <c r="F339" i="1"/>
  <c r="A339" i="1"/>
  <c r="O338" i="1"/>
  <c r="H338" i="1"/>
  <c r="N338" i="1" s="1"/>
  <c r="G338" i="1"/>
  <c r="F338" i="1"/>
  <c r="A338" i="1"/>
  <c r="O337" i="1"/>
  <c r="H337" i="1"/>
  <c r="N337" i="1" s="1"/>
  <c r="G337" i="1"/>
  <c r="F337" i="1"/>
  <c r="A337" i="1"/>
  <c r="O336" i="1"/>
  <c r="H336" i="1"/>
  <c r="N336" i="1" s="1"/>
  <c r="G336" i="1"/>
  <c r="F336" i="1"/>
  <c r="A336" i="1"/>
  <c r="O335" i="1"/>
  <c r="H335" i="1"/>
  <c r="N335" i="1" s="1"/>
  <c r="G335" i="1"/>
  <c r="F335" i="1"/>
  <c r="A335" i="1"/>
  <c r="O334" i="1"/>
  <c r="H334" i="1"/>
  <c r="N334" i="1" s="1"/>
  <c r="G334" i="1"/>
  <c r="F334" i="1"/>
  <c r="A334" i="1"/>
  <c r="O333" i="1"/>
  <c r="H333" i="1"/>
  <c r="N333" i="1" s="1"/>
  <c r="G333" i="1"/>
  <c r="F333" i="1"/>
  <c r="A333" i="1"/>
  <c r="O332" i="1"/>
  <c r="H332" i="1"/>
  <c r="N332" i="1" s="1"/>
  <c r="G332" i="1"/>
  <c r="F332" i="1"/>
  <c r="A332" i="1"/>
  <c r="F330" i="1"/>
  <c r="I330" i="1" s="1"/>
  <c r="A228" i="1"/>
  <c r="F329" i="1"/>
  <c r="I329" i="1" s="1"/>
  <c r="A329" i="1"/>
  <c r="O326" i="1"/>
  <c r="H326" i="1"/>
  <c r="N326" i="1" s="1"/>
  <c r="F326" i="1"/>
  <c r="A222" i="1"/>
  <c r="O328" i="1"/>
  <c r="H328" i="1"/>
  <c r="N328" i="1" s="1"/>
  <c r="G328" i="1"/>
  <c r="F328" i="1"/>
  <c r="A328" i="1"/>
  <c r="O327" i="1"/>
  <c r="H327" i="1"/>
  <c r="N327" i="1" s="1"/>
  <c r="G327" i="1"/>
  <c r="F327" i="1"/>
  <c r="A327" i="1"/>
  <c r="O325" i="1"/>
  <c r="H325" i="1"/>
  <c r="N325" i="1" s="1"/>
  <c r="G325" i="1"/>
  <c r="F325" i="1"/>
  <c r="A325" i="1"/>
  <c r="O324" i="1"/>
  <c r="H324" i="1"/>
  <c r="N324" i="1" s="1"/>
  <c r="G324" i="1"/>
  <c r="F324" i="1"/>
  <c r="A324" i="1"/>
  <c r="O323" i="1"/>
  <c r="H323" i="1"/>
  <c r="N323" i="1" s="1"/>
  <c r="G323" i="1"/>
  <c r="F323" i="1"/>
  <c r="A323" i="1"/>
  <c r="O322" i="1"/>
  <c r="H322" i="1"/>
  <c r="N322" i="1" s="1"/>
  <c r="G322" i="1"/>
  <c r="F322" i="1"/>
  <c r="A322" i="1"/>
  <c r="O321" i="1"/>
  <c r="F321" i="1"/>
  <c r="I321" i="1" s="1"/>
  <c r="A321" i="1"/>
  <c r="O320" i="1"/>
  <c r="F320" i="1"/>
  <c r="I320" i="1" s="1"/>
  <c r="A320" i="1"/>
  <c r="O319" i="1"/>
  <c r="F319" i="1"/>
  <c r="I319" i="1" s="1"/>
  <c r="A319" i="1"/>
  <c r="O318" i="1"/>
  <c r="F318" i="1"/>
  <c r="I318" i="1" s="1"/>
  <c r="A318" i="1"/>
  <c r="O317" i="1"/>
  <c r="F317" i="1"/>
  <c r="I317" i="1" s="1"/>
  <c r="A317" i="1"/>
  <c r="O316" i="1"/>
  <c r="F316" i="1"/>
  <c r="I316" i="1" s="1"/>
  <c r="A316" i="1"/>
  <c r="O315" i="1"/>
  <c r="F315" i="1"/>
  <c r="I315" i="1" s="1"/>
  <c r="A315" i="1"/>
  <c r="O314" i="1"/>
  <c r="F314" i="1"/>
  <c r="I314" i="1" s="1"/>
  <c r="A314" i="1"/>
  <c r="O313" i="1"/>
  <c r="F313" i="1"/>
  <c r="I313" i="1" s="1"/>
  <c r="A313" i="1"/>
  <c r="O312" i="1"/>
  <c r="F312" i="1"/>
  <c r="I312" i="1" s="1"/>
  <c r="A312" i="1"/>
  <c r="O311" i="1"/>
  <c r="F311" i="1"/>
  <c r="I311" i="1" s="1"/>
  <c r="A311" i="1"/>
  <c r="O310" i="1"/>
  <c r="F310" i="1"/>
  <c r="I310" i="1" s="1"/>
  <c r="A310" i="1"/>
  <c r="O308" i="1"/>
  <c r="F308" i="1"/>
  <c r="I308" i="1" s="1"/>
  <c r="O307" i="1"/>
  <c r="H307" i="1"/>
  <c r="N307" i="1" s="1"/>
  <c r="G307" i="1"/>
  <c r="F307" i="1"/>
  <c r="O306" i="1"/>
  <c r="H306" i="1"/>
  <c r="N306" i="1" s="1"/>
  <c r="G306" i="1"/>
  <c r="F306" i="1"/>
  <c r="O305" i="1"/>
  <c r="H305" i="1"/>
  <c r="N305" i="1" s="1"/>
  <c r="G305" i="1"/>
  <c r="F305" i="1"/>
  <c r="O299" i="1"/>
  <c r="F299" i="1"/>
  <c r="I299" i="1" s="1"/>
  <c r="O304" i="1"/>
  <c r="F304" i="1"/>
  <c r="I304" i="1" s="1"/>
  <c r="O303" i="1"/>
  <c r="O301" i="1"/>
  <c r="F301" i="1"/>
  <c r="I301" i="1" s="1"/>
  <c r="O300" i="1"/>
  <c r="F300" i="1"/>
  <c r="I300" i="1" s="1"/>
  <c r="O298" i="1"/>
  <c r="F298" i="1"/>
  <c r="I298" i="1" s="1"/>
  <c r="A298" i="1"/>
  <c r="O297" i="1"/>
  <c r="F297" i="1"/>
  <c r="I297" i="1" s="1"/>
  <c r="A297" i="1"/>
  <c r="O296" i="1"/>
  <c r="F296" i="1"/>
  <c r="I296" i="1" s="1"/>
  <c r="A296" i="1"/>
  <c r="O294" i="1"/>
  <c r="F294" i="1"/>
  <c r="I294" i="1" s="1"/>
  <c r="O293" i="1"/>
  <c r="F293" i="1"/>
  <c r="I293" i="1" s="1"/>
  <c r="O292" i="1"/>
  <c r="F292" i="1"/>
  <c r="I292" i="1" s="1"/>
  <c r="O280" i="1"/>
  <c r="F280" i="1"/>
  <c r="I280" i="1" s="1"/>
  <c r="O290" i="1"/>
  <c r="F290" i="1"/>
  <c r="I290" i="1" s="1"/>
  <c r="O289" i="1"/>
  <c r="F289" i="1"/>
  <c r="I289" i="1" s="1"/>
  <c r="O288" i="1"/>
  <c r="F288" i="1"/>
  <c r="I288" i="1" s="1"/>
  <c r="O287" i="1"/>
  <c r="F287" i="1"/>
  <c r="I287" i="1" s="1"/>
  <c r="O286" i="1"/>
  <c r="F286" i="1"/>
  <c r="I286" i="1" s="1"/>
  <c r="O285" i="1"/>
  <c r="F285" i="1"/>
  <c r="I285" i="1" s="1"/>
  <c r="O284" i="1"/>
  <c r="F284" i="1"/>
  <c r="I284" i="1" s="1"/>
  <c r="O283" i="1"/>
  <c r="F283" i="1"/>
  <c r="I283" i="1" s="1"/>
  <c r="O282" i="1"/>
  <c r="F282" i="1"/>
  <c r="I282" i="1" s="1"/>
  <c r="O281" i="1"/>
  <c r="F281" i="1"/>
  <c r="I281" i="1" s="1"/>
  <c r="O279" i="1"/>
  <c r="F279" i="1"/>
  <c r="I279" i="1" s="1"/>
  <c r="O278" i="1"/>
  <c r="F278" i="1"/>
  <c r="I278" i="1" s="1"/>
  <c r="O277" i="1"/>
  <c r="F277" i="1"/>
  <c r="I277" i="1" s="1"/>
  <c r="O276" i="1"/>
  <c r="F276" i="1"/>
  <c r="I276" i="1" s="1"/>
  <c r="O275" i="1"/>
  <c r="F275" i="1"/>
  <c r="I275" i="1" s="1"/>
  <c r="O274" i="1"/>
  <c r="F274" i="1"/>
  <c r="I274" i="1" s="1"/>
  <c r="O273" i="1"/>
  <c r="F273" i="1"/>
  <c r="I273" i="1" s="1"/>
  <c r="O272" i="1"/>
  <c r="F272" i="1"/>
  <c r="I272" i="1" s="1"/>
  <c r="O271" i="1"/>
  <c r="F271" i="1"/>
  <c r="I271" i="1" s="1"/>
  <c r="O270" i="1"/>
  <c r="F270" i="1"/>
  <c r="I270" i="1" s="1"/>
  <c r="O269" i="1"/>
  <c r="F269" i="1"/>
  <c r="I269" i="1" s="1"/>
  <c r="O268" i="1"/>
  <c r="F268" i="1"/>
  <c r="I268" i="1" s="1"/>
  <c r="O267" i="1"/>
  <c r="F267" i="1"/>
  <c r="I267" i="1" s="1"/>
  <c r="O266" i="1"/>
  <c r="F266" i="1"/>
  <c r="I266" i="1" s="1"/>
  <c r="O265" i="1"/>
  <c r="F265" i="1"/>
  <c r="I265" i="1" s="1"/>
  <c r="O264" i="1"/>
  <c r="F264" i="1"/>
  <c r="I264" i="1" s="1"/>
  <c r="O263" i="1"/>
  <c r="F263" i="1"/>
  <c r="I263" i="1" s="1"/>
  <c r="O262" i="1"/>
  <c r="F262" i="1"/>
  <c r="I262" i="1" s="1"/>
  <c r="O261" i="1"/>
  <c r="F261" i="1"/>
  <c r="I261" i="1" s="1"/>
  <c r="O260" i="1"/>
  <c r="F260" i="1"/>
  <c r="I260" i="1" s="1"/>
  <c r="H221" i="1"/>
  <c r="N221" i="1" s="1"/>
  <c r="G221" i="1"/>
  <c r="F221" i="1"/>
  <c r="A221" i="1"/>
  <c r="O220" i="1"/>
  <c r="F220" i="1"/>
  <c r="I220" i="1" s="1"/>
  <c r="A220" i="1"/>
  <c r="AB242" i="1"/>
  <c r="Y242" i="1"/>
  <c r="O219" i="1"/>
  <c r="F219" i="1"/>
  <c r="I219" i="1" s="1"/>
  <c r="A145" i="1"/>
  <c r="AC241" i="1"/>
  <c r="O218" i="1"/>
  <c r="F218" i="1"/>
  <c r="I218" i="1" s="1"/>
  <c r="A218" i="1"/>
  <c r="AC240" i="1"/>
  <c r="O217" i="1"/>
  <c r="F217" i="1"/>
  <c r="I217" i="1" s="1"/>
  <c r="A217" i="1"/>
  <c r="AC239" i="1"/>
  <c r="O216" i="1"/>
  <c r="F216" i="1"/>
  <c r="I216" i="1" s="1"/>
  <c r="A216" i="1"/>
  <c r="AC238" i="1"/>
  <c r="O215" i="1"/>
  <c r="F215" i="1"/>
  <c r="I215" i="1" s="1"/>
  <c r="A215" i="1"/>
  <c r="AC237" i="1"/>
  <c r="O214" i="1"/>
  <c r="F214" i="1"/>
  <c r="I214" i="1" s="1"/>
  <c r="A214" i="1"/>
  <c r="AC236" i="1"/>
  <c r="O213" i="1"/>
  <c r="F213" i="1"/>
  <c r="I213" i="1" s="1"/>
  <c r="A213" i="1"/>
  <c r="AC235" i="1"/>
  <c r="O212" i="1"/>
  <c r="F212" i="1"/>
  <c r="I212" i="1" s="1"/>
  <c r="A212" i="1"/>
  <c r="AC234" i="1"/>
  <c r="O211" i="1"/>
  <c r="F211" i="1"/>
  <c r="I211" i="1" s="1"/>
  <c r="A211" i="1"/>
  <c r="AC233" i="1"/>
  <c r="O210" i="1"/>
  <c r="F210" i="1"/>
  <c r="I210" i="1" s="1"/>
  <c r="A210" i="1"/>
  <c r="AC232" i="1"/>
  <c r="O209" i="1"/>
  <c r="F209" i="1"/>
  <c r="I209" i="1" s="1"/>
  <c r="A209" i="1"/>
  <c r="AC231" i="1"/>
  <c r="O208" i="1"/>
  <c r="F208" i="1"/>
  <c r="I208" i="1" s="1"/>
  <c r="A208" i="1"/>
  <c r="AC230" i="1"/>
  <c r="O207" i="1"/>
  <c r="F207" i="1"/>
  <c r="I207" i="1" s="1"/>
  <c r="A207" i="1"/>
  <c r="AC229" i="1"/>
  <c r="O206" i="1"/>
  <c r="F206" i="1"/>
  <c r="I206" i="1" s="1"/>
  <c r="A206" i="1"/>
  <c r="AC228" i="1"/>
  <c r="O205" i="1"/>
  <c r="F205" i="1"/>
  <c r="I205" i="1" s="1"/>
  <c r="A205" i="1"/>
  <c r="AC227" i="1"/>
  <c r="O204" i="1"/>
  <c r="F204" i="1"/>
  <c r="I204" i="1" s="1"/>
  <c r="A204" i="1"/>
  <c r="AC226" i="1"/>
  <c r="O203" i="1"/>
  <c r="F203" i="1"/>
  <c r="I203" i="1" s="1"/>
  <c r="A203" i="1"/>
  <c r="AC225" i="1"/>
  <c r="O202" i="1"/>
  <c r="F202" i="1"/>
  <c r="I202" i="1" s="1"/>
  <c r="A202" i="1"/>
  <c r="AC224" i="1"/>
  <c r="O201" i="1"/>
  <c r="F201" i="1"/>
  <c r="I201" i="1" s="1"/>
  <c r="A201" i="1"/>
  <c r="AC223" i="1"/>
  <c r="O200" i="1"/>
  <c r="F200" i="1"/>
  <c r="I200" i="1" s="1"/>
  <c r="A200" i="1"/>
  <c r="AC222" i="1"/>
  <c r="O199" i="1"/>
  <c r="F199" i="1"/>
  <c r="I199" i="1" s="1"/>
  <c r="A199" i="1"/>
  <c r="AC221" i="1"/>
  <c r="O198" i="1"/>
  <c r="F198" i="1"/>
  <c r="I198" i="1" s="1"/>
  <c r="A198" i="1"/>
  <c r="AC220" i="1"/>
  <c r="O197" i="1"/>
  <c r="F197" i="1"/>
  <c r="I197" i="1" s="1"/>
  <c r="A197" i="1"/>
  <c r="AC219" i="1"/>
  <c r="O196" i="1"/>
  <c r="F196" i="1"/>
  <c r="I196" i="1" s="1"/>
  <c r="A196" i="1"/>
  <c r="AC218" i="1"/>
  <c r="O195" i="1"/>
  <c r="F195" i="1"/>
  <c r="I195" i="1" s="1"/>
  <c r="A195" i="1"/>
  <c r="AC217" i="1"/>
  <c r="O194" i="1"/>
  <c r="F194" i="1"/>
  <c r="I194" i="1" s="1"/>
  <c r="A194" i="1"/>
  <c r="AC216" i="1"/>
  <c r="O193" i="1"/>
  <c r="F193" i="1"/>
  <c r="I193" i="1" s="1"/>
  <c r="A193" i="1"/>
  <c r="AC215" i="1"/>
  <c r="O192" i="1"/>
  <c r="F192" i="1"/>
  <c r="I192" i="1" s="1"/>
  <c r="A192" i="1"/>
  <c r="AC214" i="1"/>
  <c r="O191" i="1"/>
  <c r="F191" i="1"/>
  <c r="I191" i="1" s="1"/>
  <c r="A191" i="1"/>
  <c r="AC213" i="1"/>
  <c r="O190" i="1"/>
  <c r="F190" i="1"/>
  <c r="I190" i="1" s="1"/>
  <c r="A190" i="1"/>
  <c r="AC212" i="1"/>
  <c r="O189" i="1"/>
  <c r="F189" i="1"/>
  <c r="I189" i="1" s="1"/>
  <c r="A189" i="1"/>
  <c r="O249" i="1"/>
  <c r="F249" i="1"/>
  <c r="I249" i="1" s="1"/>
  <c r="A132" i="1"/>
  <c r="O259" i="1"/>
  <c r="F259" i="1"/>
  <c r="I259" i="1" s="1"/>
  <c r="A259" i="1"/>
  <c r="O258" i="1"/>
  <c r="F258" i="1"/>
  <c r="I258" i="1" s="1"/>
  <c r="A258" i="1"/>
  <c r="O257" i="1"/>
  <c r="F257" i="1"/>
  <c r="I257" i="1" s="1"/>
  <c r="A257" i="1"/>
  <c r="O256" i="1"/>
  <c r="F256" i="1"/>
  <c r="I256" i="1" s="1"/>
  <c r="A256" i="1"/>
  <c r="O255" i="1"/>
  <c r="F255" i="1"/>
  <c r="I255" i="1" s="1"/>
  <c r="A255" i="1"/>
  <c r="O254" i="1"/>
  <c r="F254" i="1"/>
  <c r="I254" i="1" s="1"/>
  <c r="A254" i="1"/>
  <c r="O253" i="1"/>
  <c r="F253" i="1"/>
  <c r="I253" i="1" s="1"/>
  <c r="A253" i="1"/>
  <c r="O252" i="1"/>
  <c r="F252" i="1"/>
  <c r="I252" i="1" s="1"/>
  <c r="A252" i="1"/>
  <c r="O251" i="1"/>
  <c r="F251" i="1"/>
  <c r="I251" i="1" s="1"/>
  <c r="A251" i="1"/>
  <c r="O250" i="1"/>
  <c r="F250" i="1"/>
  <c r="I250" i="1" s="1"/>
  <c r="A250" i="1"/>
  <c r="O248" i="1"/>
  <c r="F248" i="1"/>
  <c r="I248" i="1" s="1"/>
  <c r="A248" i="1"/>
  <c r="O247" i="1"/>
  <c r="F247" i="1"/>
  <c r="I247" i="1" s="1"/>
  <c r="A247" i="1"/>
  <c r="O246" i="1"/>
  <c r="F246" i="1"/>
  <c r="I246" i="1" s="1"/>
  <c r="A246" i="1"/>
  <c r="O245" i="1"/>
  <c r="F245" i="1"/>
  <c r="I245" i="1" s="1"/>
  <c r="A245" i="1"/>
  <c r="O244" i="1"/>
  <c r="F244" i="1"/>
  <c r="I244" i="1" s="1"/>
  <c r="A244" i="1"/>
  <c r="O243" i="1"/>
  <c r="F243" i="1"/>
  <c r="I243" i="1" s="1"/>
  <c r="A243" i="1"/>
  <c r="O242" i="1"/>
  <c r="F242" i="1"/>
  <c r="I242" i="1" s="1"/>
  <c r="A242" i="1"/>
  <c r="O241" i="1"/>
  <c r="F241" i="1"/>
  <c r="I241" i="1" s="1"/>
  <c r="A241" i="1"/>
  <c r="O240" i="1"/>
  <c r="F240" i="1"/>
  <c r="I240" i="1" s="1"/>
  <c r="A240" i="1"/>
  <c r="O239" i="1"/>
  <c r="F239" i="1"/>
  <c r="I239" i="1" s="1"/>
  <c r="A239" i="1"/>
  <c r="O238" i="1"/>
  <c r="F238" i="1"/>
  <c r="I238" i="1" s="1"/>
  <c r="A238" i="1"/>
  <c r="O237" i="1"/>
  <c r="F237" i="1"/>
  <c r="I237" i="1" s="1"/>
  <c r="A237" i="1"/>
  <c r="O236" i="1"/>
  <c r="F236" i="1"/>
  <c r="I236" i="1" s="1"/>
  <c r="A236" i="1"/>
  <c r="O235" i="1"/>
  <c r="F235" i="1"/>
  <c r="I235" i="1" s="1"/>
  <c r="A235" i="1"/>
  <c r="O234" i="1"/>
  <c r="F234" i="1"/>
  <c r="I234" i="1" s="1"/>
  <c r="A234" i="1"/>
  <c r="O233" i="1"/>
  <c r="F233" i="1"/>
  <c r="I233" i="1" s="1"/>
  <c r="A233" i="1"/>
  <c r="O232" i="1"/>
  <c r="F232" i="1"/>
  <c r="I232" i="1" s="1"/>
  <c r="A232" i="1"/>
  <c r="O231" i="1"/>
  <c r="F231" i="1"/>
  <c r="I231" i="1" s="1"/>
  <c r="A231" i="1"/>
  <c r="O230" i="1"/>
  <c r="F230" i="1"/>
  <c r="I230" i="1" s="1"/>
  <c r="A230" i="1"/>
  <c r="O229" i="1"/>
  <c r="F229" i="1"/>
  <c r="I229" i="1" s="1"/>
  <c r="A229" i="1"/>
  <c r="O188" i="1"/>
  <c r="F188" i="1"/>
  <c r="I188" i="1" s="1"/>
  <c r="A188" i="1"/>
  <c r="O187" i="1"/>
  <c r="F187" i="1"/>
  <c r="I187" i="1" s="1"/>
  <c r="A187" i="1"/>
  <c r="O186" i="1"/>
  <c r="F186" i="1"/>
  <c r="I186" i="1" s="1"/>
  <c r="A186" i="1"/>
  <c r="O185" i="1"/>
  <c r="F185" i="1"/>
  <c r="I185" i="1" s="1"/>
  <c r="A185" i="1"/>
  <c r="O184" i="1"/>
  <c r="F184" i="1"/>
  <c r="I184" i="1" s="1"/>
  <c r="A184" i="1"/>
  <c r="O183" i="1"/>
  <c r="F183" i="1"/>
  <c r="I183" i="1" s="1"/>
  <c r="A183" i="1"/>
  <c r="O182" i="1"/>
  <c r="F182" i="1"/>
  <c r="I182" i="1" s="1"/>
  <c r="A182" i="1"/>
  <c r="O181" i="1"/>
  <c r="F181" i="1"/>
  <c r="I181" i="1" s="1"/>
  <c r="A181" i="1"/>
  <c r="O180" i="1"/>
  <c r="F180" i="1"/>
  <c r="I180" i="1" s="1"/>
  <c r="A180" i="1"/>
  <c r="O179" i="1"/>
  <c r="F179" i="1"/>
  <c r="I179" i="1" s="1"/>
  <c r="A179" i="1"/>
  <c r="O178" i="1"/>
  <c r="F178" i="1"/>
  <c r="I178" i="1" s="1"/>
  <c r="A178" i="1"/>
  <c r="O177" i="1"/>
  <c r="F177" i="1"/>
  <c r="I177" i="1" s="1"/>
  <c r="A177" i="1"/>
  <c r="O176" i="1"/>
  <c r="F176" i="1"/>
  <c r="I176" i="1" s="1"/>
  <c r="A176" i="1"/>
  <c r="O175" i="1"/>
  <c r="F175" i="1"/>
  <c r="I175" i="1" s="1"/>
  <c r="A175" i="1"/>
  <c r="O174" i="1"/>
  <c r="F174" i="1"/>
  <c r="I174" i="1" s="1"/>
  <c r="A174" i="1"/>
  <c r="O173" i="1"/>
  <c r="F173" i="1"/>
  <c r="I173" i="1" s="1"/>
  <c r="A173" i="1"/>
  <c r="O172" i="1"/>
  <c r="F172" i="1"/>
  <c r="I172" i="1" s="1"/>
  <c r="A172" i="1"/>
  <c r="O171" i="1"/>
  <c r="F171" i="1"/>
  <c r="I171" i="1" s="1"/>
  <c r="A171" i="1"/>
  <c r="O170" i="1"/>
  <c r="F170" i="1"/>
  <c r="I170" i="1" s="1"/>
  <c r="A170" i="1"/>
  <c r="O169" i="1"/>
  <c r="F169" i="1"/>
  <c r="I169" i="1" s="1"/>
  <c r="A169" i="1"/>
  <c r="O168" i="1"/>
  <c r="F168" i="1"/>
  <c r="I168" i="1" s="1"/>
  <c r="A168" i="1"/>
  <c r="O167" i="1"/>
  <c r="F167" i="1"/>
  <c r="I167" i="1" s="1"/>
  <c r="A167" i="1"/>
  <c r="O166" i="1"/>
  <c r="F166" i="1"/>
  <c r="I166" i="1" s="1"/>
  <c r="A166" i="1"/>
  <c r="O165" i="1"/>
  <c r="F165" i="1"/>
  <c r="I165" i="1" s="1"/>
  <c r="A165" i="1"/>
  <c r="O164" i="1"/>
  <c r="F164" i="1"/>
  <c r="I164" i="1" s="1"/>
  <c r="A164" i="1"/>
  <c r="O163" i="1"/>
  <c r="F163" i="1"/>
  <c r="I163" i="1" s="1"/>
  <c r="A163" i="1"/>
  <c r="O162" i="1"/>
  <c r="F162" i="1"/>
  <c r="I162" i="1" s="1"/>
  <c r="A162" i="1"/>
  <c r="O161" i="1"/>
  <c r="F161" i="1"/>
  <c r="I161" i="1" s="1"/>
  <c r="A161" i="1"/>
  <c r="O160" i="1"/>
  <c r="F160" i="1"/>
  <c r="I160" i="1" s="1"/>
  <c r="A160" i="1"/>
  <c r="O159" i="1"/>
  <c r="F159" i="1"/>
  <c r="I159" i="1" s="1"/>
  <c r="A159" i="1"/>
  <c r="O157" i="1"/>
  <c r="H157" i="1"/>
  <c r="N157" i="1" s="1"/>
  <c r="G157" i="1"/>
  <c r="F157" i="1"/>
  <c r="A157" i="1"/>
  <c r="O156" i="1"/>
  <c r="F156" i="1"/>
  <c r="I156" i="1" s="1"/>
  <c r="A156" i="1"/>
  <c r="O155" i="1"/>
  <c r="F155" i="1"/>
  <c r="I155" i="1" s="1"/>
  <c r="A155" i="1"/>
  <c r="O154" i="1"/>
  <c r="F154" i="1"/>
  <c r="I154" i="1" s="1"/>
  <c r="A154" i="1"/>
  <c r="O153" i="1"/>
  <c r="F153" i="1"/>
  <c r="I153" i="1" s="1"/>
  <c r="A153" i="1"/>
  <c r="O152" i="1"/>
  <c r="F152" i="1"/>
  <c r="I152" i="1" s="1"/>
  <c r="A152" i="1"/>
  <c r="O151" i="1"/>
  <c r="F151" i="1"/>
  <c r="I151" i="1" s="1"/>
  <c r="A151" i="1"/>
  <c r="O150" i="1"/>
  <c r="F150" i="1"/>
  <c r="I150" i="1" s="1"/>
  <c r="A150" i="1"/>
  <c r="O149" i="1"/>
  <c r="F149" i="1"/>
  <c r="I149" i="1" s="1"/>
  <c r="A149" i="1"/>
  <c r="O148" i="1"/>
  <c r="F148" i="1"/>
  <c r="I148" i="1" s="1"/>
  <c r="A148" i="1"/>
  <c r="O147" i="1"/>
  <c r="F147" i="1"/>
  <c r="I147" i="1" s="1"/>
  <c r="A147" i="1"/>
  <c r="O146" i="1"/>
  <c r="H146" i="1"/>
  <c r="G146" i="1"/>
  <c r="F146" i="1"/>
  <c r="A146" i="1"/>
  <c r="O135" i="1"/>
  <c r="F135" i="1"/>
  <c r="I135" i="1" s="1"/>
  <c r="A133" i="1"/>
  <c r="O143" i="1"/>
  <c r="F143" i="1"/>
  <c r="I143" i="1" s="1"/>
  <c r="A143" i="1"/>
  <c r="O142" i="1"/>
  <c r="F142" i="1"/>
  <c r="I142" i="1" s="1"/>
  <c r="A142" i="1"/>
  <c r="O141" i="1"/>
  <c r="F141" i="1"/>
  <c r="I141" i="1" s="1"/>
  <c r="A141" i="1"/>
  <c r="O140" i="1"/>
  <c r="F140" i="1"/>
  <c r="I140" i="1" s="1"/>
  <c r="A140" i="1"/>
  <c r="O139" i="1"/>
  <c r="F139" i="1"/>
  <c r="I139" i="1" s="1"/>
  <c r="A139" i="1"/>
  <c r="O138" i="1"/>
  <c r="F138" i="1"/>
  <c r="I138" i="1" s="1"/>
  <c r="A138" i="1"/>
  <c r="O131" i="1"/>
  <c r="H131" i="1"/>
  <c r="N131" i="1" s="1"/>
  <c r="G131" i="1"/>
  <c r="F131" i="1"/>
  <c r="A131" i="1"/>
  <c r="O130" i="1"/>
  <c r="H130" i="1"/>
  <c r="N130" i="1" s="1"/>
  <c r="G130" i="1"/>
  <c r="F130" i="1"/>
  <c r="A130" i="1"/>
  <c r="O137" i="1"/>
  <c r="F137" i="1"/>
  <c r="I137" i="1" s="1"/>
  <c r="A137" i="1"/>
  <c r="O129" i="1"/>
  <c r="F129" i="1"/>
  <c r="I129" i="1" s="1"/>
  <c r="A129" i="1"/>
  <c r="O136" i="1"/>
  <c r="H136" i="1"/>
  <c r="N136" i="1" s="1"/>
  <c r="G136" i="1"/>
  <c r="F136" i="1"/>
  <c r="A136" i="1"/>
  <c r="O128" i="1"/>
  <c r="H128" i="1"/>
  <c r="N128" i="1" s="1"/>
  <c r="G128" i="1"/>
  <c r="F128" i="1"/>
  <c r="A128" i="1"/>
  <c r="O127" i="1"/>
  <c r="H127" i="1"/>
  <c r="N127" i="1" s="1"/>
  <c r="G127" i="1"/>
  <c r="F127" i="1"/>
  <c r="A127" i="1"/>
  <c r="O126" i="1"/>
  <c r="H126" i="1"/>
  <c r="N126" i="1" s="1"/>
  <c r="G126" i="1"/>
  <c r="F126" i="1"/>
  <c r="A126" i="1"/>
  <c r="O125" i="1"/>
  <c r="H125" i="1"/>
  <c r="N125" i="1" s="1"/>
  <c r="G125" i="1"/>
  <c r="F125" i="1"/>
  <c r="A125" i="1"/>
  <c r="O134" i="1"/>
  <c r="H134" i="1"/>
  <c r="N134" i="1" s="1"/>
  <c r="G134" i="1"/>
  <c r="F134" i="1"/>
  <c r="A134" i="1"/>
  <c r="O124" i="1"/>
  <c r="H124" i="1"/>
  <c r="N124" i="1" s="1"/>
  <c r="G124" i="1"/>
  <c r="F124" i="1"/>
  <c r="A124" i="1"/>
  <c r="O123" i="1"/>
  <c r="H123" i="1"/>
  <c r="N123" i="1" s="1"/>
  <c r="G123" i="1"/>
  <c r="F123" i="1"/>
  <c r="A123" i="1"/>
  <c r="O122" i="1"/>
  <c r="H122" i="1"/>
  <c r="N122" i="1" s="1"/>
  <c r="G122" i="1"/>
  <c r="F122" i="1"/>
  <c r="A122" i="1"/>
  <c r="O121" i="1"/>
  <c r="H121" i="1"/>
  <c r="N121" i="1" s="1"/>
  <c r="G121" i="1"/>
  <c r="F121" i="1"/>
  <c r="A121" i="1"/>
  <c r="O120" i="1"/>
  <c r="H120" i="1"/>
  <c r="N120" i="1" s="1"/>
  <c r="G120" i="1"/>
  <c r="F120" i="1"/>
  <c r="A120" i="1"/>
  <c r="O119" i="1"/>
  <c r="H119" i="1"/>
  <c r="N119" i="1" s="1"/>
  <c r="G119" i="1"/>
  <c r="F119" i="1"/>
  <c r="A119" i="1"/>
  <c r="O118" i="1"/>
  <c r="H118" i="1"/>
  <c r="N118" i="1" s="1"/>
  <c r="G118" i="1"/>
  <c r="F118" i="1"/>
  <c r="A118" i="1"/>
  <c r="O117" i="1"/>
  <c r="H117" i="1"/>
  <c r="N117" i="1" s="1"/>
  <c r="G117" i="1"/>
  <c r="F117" i="1"/>
  <c r="A117" i="1"/>
  <c r="O116" i="1"/>
  <c r="H116" i="1"/>
  <c r="N116" i="1" s="1"/>
  <c r="G116" i="1"/>
  <c r="F116" i="1"/>
  <c r="A116" i="1"/>
  <c r="O115" i="1"/>
  <c r="H115" i="1"/>
  <c r="N115" i="1" s="1"/>
  <c r="G115" i="1"/>
  <c r="F115" i="1"/>
  <c r="A115" i="1"/>
  <c r="O114" i="1"/>
  <c r="H114" i="1"/>
  <c r="N114" i="1" s="1"/>
  <c r="G114" i="1"/>
  <c r="F114" i="1"/>
  <c r="A114" i="1"/>
  <c r="O113" i="1"/>
  <c r="H113" i="1"/>
  <c r="N113" i="1" s="1"/>
  <c r="G113" i="1"/>
  <c r="F113" i="1"/>
  <c r="A113" i="1"/>
  <c r="O112" i="1"/>
  <c r="H112" i="1"/>
  <c r="N112" i="1" s="1"/>
  <c r="G112" i="1"/>
  <c r="F112" i="1"/>
  <c r="A112" i="1"/>
  <c r="O111" i="1"/>
  <c r="H111" i="1"/>
  <c r="N111" i="1" s="1"/>
  <c r="G111" i="1"/>
  <c r="F111" i="1"/>
  <c r="A111" i="1"/>
  <c r="O110" i="1"/>
  <c r="H110" i="1"/>
  <c r="N110" i="1" s="1"/>
  <c r="G110" i="1"/>
  <c r="F110" i="1"/>
  <c r="A110" i="1"/>
  <c r="O78" i="1"/>
  <c r="H78" i="1"/>
  <c r="N78" i="1" s="1"/>
  <c r="G78" i="1"/>
  <c r="F78" i="1"/>
  <c r="A78" i="1"/>
  <c r="O77" i="1"/>
  <c r="H77" i="1"/>
  <c r="N77" i="1" s="1"/>
  <c r="G77" i="1"/>
  <c r="F77" i="1"/>
  <c r="A77" i="1"/>
  <c r="O76" i="1"/>
  <c r="H76" i="1"/>
  <c r="N76" i="1" s="1"/>
  <c r="G76" i="1"/>
  <c r="F76" i="1"/>
  <c r="A76" i="1"/>
  <c r="O75" i="1"/>
  <c r="H75" i="1"/>
  <c r="N75" i="1" s="1"/>
  <c r="G75" i="1"/>
  <c r="F75" i="1"/>
  <c r="A75" i="1"/>
  <c r="O74" i="1"/>
  <c r="H74" i="1"/>
  <c r="N74" i="1" s="1"/>
  <c r="G74" i="1"/>
  <c r="F74" i="1"/>
  <c r="A74" i="1"/>
  <c r="O73" i="1"/>
  <c r="H73" i="1"/>
  <c r="N73" i="1" s="1"/>
  <c r="G73" i="1"/>
  <c r="F73" i="1"/>
  <c r="A73" i="1"/>
  <c r="O72" i="1"/>
  <c r="H72" i="1"/>
  <c r="N72" i="1" s="1"/>
  <c r="G72" i="1"/>
  <c r="F72" i="1"/>
  <c r="A72" i="1"/>
  <c r="O71" i="1"/>
  <c r="H71" i="1"/>
  <c r="N71" i="1" s="1"/>
  <c r="G71" i="1"/>
  <c r="F71" i="1"/>
  <c r="A71" i="1"/>
  <c r="O70" i="1"/>
  <c r="H70" i="1"/>
  <c r="N70" i="1" s="1"/>
  <c r="G70" i="1"/>
  <c r="F70" i="1"/>
  <c r="A70" i="1"/>
  <c r="H69" i="1"/>
  <c r="N69" i="1" s="1"/>
  <c r="G69" i="1"/>
  <c r="F69" i="1"/>
  <c r="A69" i="1"/>
  <c r="O68" i="1"/>
  <c r="H68" i="1"/>
  <c r="N68" i="1" s="1"/>
  <c r="G68" i="1"/>
  <c r="F68" i="1"/>
  <c r="A68" i="1"/>
  <c r="O67" i="1"/>
  <c r="H67" i="1"/>
  <c r="N67" i="1" s="1"/>
  <c r="G67" i="1"/>
  <c r="F67" i="1"/>
  <c r="A67" i="1"/>
  <c r="O66" i="1"/>
  <c r="H66" i="1"/>
  <c r="N66" i="1" s="1"/>
  <c r="G66" i="1"/>
  <c r="F66" i="1"/>
  <c r="A66" i="1"/>
  <c r="O65" i="1"/>
  <c r="H65" i="1"/>
  <c r="N65" i="1" s="1"/>
  <c r="G65" i="1"/>
  <c r="F65" i="1"/>
  <c r="A65" i="1"/>
  <c r="O64" i="1"/>
  <c r="H64" i="1"/>
  <c r="N64" i="1" s="1"/>
  <c r="G64" i="1"/>
  <c r="F64" i="1"/>
  <c r="A64" i="1"/>
  <c r="O63" i="1"/>
  <c r="H63" i="1"/>
  <c r="N63" i="1" s="1"/>
  <c r="G63" i="1"/>
  <c r="F63" i="1"/>
  <c r="A63" i="1"/>
  <c r="O62" i="1"/>
  <c r="H62" i="1"/>
  <c r="N62" i="1" s="1"/>
  <c r="G62" i="1"/>
  <c r="F62" i="1"/>
  <c r="A62" i="1"/>
  <c r="O61" i="1"/>
  <c r="H61" i="1"/>
  <c r="N61" i="1" s="1"/>
  <c r="G61" i="1"/>
  <c r="F61" i="1"/>
  <c r="A61" i="1"/>
  <c r="O60" i="1"/>
  <c r="H60" i="1"/>
  <c r="N60" i="1" s="1"/>
  <c r="G60" i="1"/>
  <c r="F60" i="1"/>
  <c r="A60" i="1"/>
  <c r="O59" i="1"/>
  <c r="H59" i="1"/>
  <c r="N59" i="1" s="1"/>
  <c r="G59" i="1"/>
  <c r="F59" i="1"/>
  <c r="A59" i="1"/>
  <c r="O58" i="1"/>
  <c r="H58" i="1"/>
  <c r="N58" i="1" s="1"/>
  <c r="G58" i="1"/>
  <c r="F58" i="1"/>
  <c r="A58" i="1"/>
  <c r="O57" i="1"/>
  <c r="H57" i="1"/>
  <c r="N57" i="1" s="1"/>
  <c r="G57" i="1"/>
  <c r="F57" i="1"/>
  <c r="A57" i="1"/>
  <c r="O56" i="1"/>
  <c r="H56" i="1"/>
  <c r="N56" i="1" s="1"/>
  <c r="G56" i="1"/>
  <c r="F56" i="1"/>
  <c r="A56" i="1"/>
  <c r="O55" i="1"/>
  <c r="H55" i="1"/>
  <c r="N55" i="1" s="1"/>
  <c r="G55" i="1"/>
  <c r="F55" i="1"/>
  <c r="A55" i="1"/>
  <c r="O54" i="1"/>
  <c r="H54" i="1"/>
  <c r="N54" i="1" s="1"/>
  <c r="G54" i="1"/>
  <c r="F54" i="1"/>
  <c r="A54" i="1"/>
  <c r="O53" i="1"/>
  <c r="H53" i="1"/>
  <c r="N53" i="1" s="1"/>
  <c r="G53" i="1"/>
  <c r="F53" i="1"/>
  <c r="A53" i="1"/>
  <c r="O52" i="1"/>
  <c r="H52" i="1"/>
  <c r="N52" i="1" s="1"/>
  <c r="G52" i="1"/>
  <c r="F52" i="1"/>
  <c r="A52" i="1"/>
  <c r="O51" i="1"/>
  <c r="H51" i="1"/>
  <c r="N51" i="1" s="1"/>
  <c r="G51" i="1"/>
  <c r="F51" i="1"/>
  <c r="A51" i="1"/>
  <c r="O50" i="1"/>
  <c r="H50" i="1"/>
  <c r="N50" i="1" s="1"/>
  <c r="G50" i="1"/>
  <c r="F50" i="1"/>
  <c r="A50" i="1"/>
  <c r="H49" i="1"/>
  <c r="N49" i="1" s="1"/>
  <c r="G49" i="1"/>
  <c r="F49" i="1"/>
  <c r="A49" i="1"/>
  <c r="F99" i="1"/>
  <c r="I99" i="1" s="1"/>
  <c r="A45" i="1"/>
  <c r="F109" i="1"/>
  <c r="I109" i="1" s="1"/>
  <c r="A109" i="1"/>
  <c r="F108" i="1"/>
  <c r="I108" i="1" s="1"/>
  <c r="A108" i="1"/>
  <c r="F107" i="1"/>
  <c r="I107" i="1" s="1"/>
  <c r="A107" i="1"/>
  <c r="F106" i="1"/>
  <c r="I106" i="1" s="1"/>
  <c r="A106" i="1"/>
  <c r="F105" i="1"/>
  <c r="I105" i="1" s="1"/>
  <c r="A105" i="1"/>
  <c r="F104" i="1"/>
  <c r="I104" i="1" s="1"/>
  <c r="A104" i="1"/>
  <c r="O103" i="1"/>
  <c r="F103" i="1"/>
  <c r="I103" i="1" s="1"/>
  <c r="A103" i="1"/>
  <c r="O102" i="1"/>
  <c r="F102" i="1"/>
  <c r="I102" i="1" s="1"/>
  <c r="A102" i="1"/>
  <c r="O101" i="1"/>
  <c r="F101" i="1"/>
  <c r="I101" i="1" s="1"/>
  <c r="A101" i="1"/>
  <c r="F100" i="1"/>
  <c r="I100" i="1" s="1"/>
  <c r="A100" i="1"/>
  <c r="O98" i="1"/>
  <c r="F98" i="1"/>
  <c r="I98" i="1" s="1"/>
  <c r="A98" i="1"/>
  <c r="O97" i="1"/>
  <c r="F97" i="1"/>
  <c r="I97" i="1" s="1"/>
  <c r="A97" i="1"/>
  <c r="O96" i="1"/>
  <c r="F96" i="1"/>
  <c r="I96" i="1" s="1"/>
  <c r="A96" i="1"/>
  <c r="O95" i="1"/>
  <c r="F95" i="1"/>
  <c r="I95" i="1" s="1"/>
  <c r="A95" i="1"/>
  <c r="O94" i="1"/>
  <c r="F94" i="1"/>
  <c r="I94" i="1" s="1"/>
  <c r="A94" i="1"/>
  <c r="F93" i="1"/>
  <c r="I93" i="1" s="1"/>
  <c r="A93" i="1"/>
  <c r="O92" i="1"/>
  <c r="F92" i="1"/>
  <c r="I92" i="1" s="1"/>
  <c r="A92" i="1"/>
  <c r="O91" i="1"/>
  <c r="F91" i="1"/>
  <c r="I91" i="1" s="1"/>
  <c r="A91" i="1"/>
  <c r="O90" i="1"/>
  <c r="F90" i="1"/>
  <c r="I90" i="1" s="1"/>
  <c r="A90" i="1"/>
  <c r="O89" i="1"/>
  <c r="F89" i="1"/>
  <c r="I89" i="1" s="1"/>
  <c r="A89" i="1"/>
  <c r="O88" i="1"/>
  <c r="F88" i="1"/>
  <c r="I88" i="1" s="1"/>
  <c r="A88" i="1"/>
  <c r="O87" i="1"/>
  <c r="F87" i="1"/>
  <c r="I87" i="1" s="1"/>
  <c r="A87" i="1"/>
  <c r="O86" i="1"/>
  <c r="F86" i="1"/>
  <c r="I86" i="1" s="1"/>
  <c r="A86" i="1"/>
  <c r="O85" i="1"/>
  <c r="F85" i="1"/>
  <c r="I85" i="1" s="1"/>
  <c r="A85" i="1"/>
  <c r="O84" i="1"/>
  <c r="F84" i="1"/>
  <c r="I84" i="1" s="1"/>
  <c r="A84" i="1"/>
  <c r="O83" i="1"/>
  <c r="F83" i="1"/>
  <c r="I83" i="1" s="1"/>
  <c r="A83" i="1"/>
  <c r="O82" i="1"/>
  <c r="F82" i="1"/>
  <c r="I82" i="1" s="1"/>
  <c r="A82" i="1"/>
  <c r="O81" i="1"/>
  <c r="F81" i="1"/>
  <c r="I81" i="1" s="1"/>
  <c r="A81" i="1"/>
  <c r="F80" i="1"/>
  <c r="I80" i="1" s="1"/>
  <c r="A80" i="1"/>
  <c r="F79" i="1"/>
  <c r="I79" i="1" s="1"/>
  <c r="A79" i="1"/>
  <c r="O144" i="1"/>
  <c r="F144" i="1"/>
  <c r="I144" i="1" s="1"/>
  <c r="A144" i="1"/>
  <c r="O48" i="1"/>
  <c r="H48" i="1"/>
  <c r="G48" i="1"/>
  <c r="F48" i="1"/>
  <c r="A48" i="1"/>
  <c r="O47" i="1"/>
  <c r="H47" i="1"/>
  <c r="G47" i="1"/>
  <c r="F47" i="1"/>
  <c r="A47" i="1"/>
  <c r="O46" i="1"/>
  <c r="H46" i="1"/>
  <c r="G46" i="1"/>
  <c r="F46" i="1"/>
  <c r="A46" i="1"/>
  <c r="O44" i="1"/>
  <c r="H44" i="1"/>
  <c r="G44" i="1"/>
  <c r="F44" i="1"/>
  <c r="A44" i="1"/>
  <c r="O43" i="1"/>
  <c r="H43" i="1"/>
  <c r="G43" i="1"/>
  <c r="F43" i="1"/>
  <c r="A43" i="1"/>
  <c r="O42" i="1"/>
  <c r="F42" i="1"/>
  <c r="I42" i="1" s="1"/>
  <c r="A42" i="1"/>
  <c r="O41" i="1"/>
  <c r="F41" i="1"/>
  <c r="I41" i="1" s="1"/>
  <c r="A41" i="1"/>
  <c r="O40" i="1"/>
  <c r="F40" i="1"/>
  <c r="I40" i="1" s="1"/>
  <c r="A40" i="1"/>
  <c r="O39" i="1"/>
  <c r="F39" i="1"/>
  <c r="I39" i="1" s="1"/>
  <c r="A39" i="1"/>
  <c r="O38" i="1"/>
  <c r="F38" i="1"/>
  <c r="I38" i="1" s="1"/>
  <c r="A38" i="1"/>
  <c r="O36" i="1"/>
  <c r="F36" i="1"/>
  <c r="I36" i="1" s="1"/>
  <c r="A36" i="1"/>
  <c r="O35" i="1"/>
  <c r="F35" i="1"/>
  <c r="I35" i="1" s="1"/>
  <c r="A35" i="1"/>
  <c r="O34" i="1"/>
  <c r="F34" i="1"/>
  <c r="I34" i="1" s="1"/>
  <c r="A34" i="1"/>
  <c r="O33" i="1"/>
  <c r="F33" i="1"/>
  <c r="I33" i="1" s="1"/>
  <c r="A33" i="1"/>
  <c r="O32" i="1"/>
  <c r="F32" i="1"/>
  <c r="I32" i="1" s="1"/>
  <c r="A32" i="1"/>
  <c r="O31" i="1"/>
  <c r="F31" i="1"/>
  <c r="I31" i="1" s="1"/>
  <c r="A31" i="1"/>
  <c r="O30" i="1"/>
  <c r="F30" i="1"/>
  <c r="I30" i="1" s="1"/>
  <c r="A30" i="1"/>
  <c r="O29" i="1"/>
  <c r="F29" i="1"/>
  <c r="I29" i="1" s="1"/>
  <c r="A29" i="1"/>
  <c r="O28" i="1"/>
  <c r="F28" i="1"/>
  <c r="I28" i="1" s="1"/>
  <c r="A28" i="1"/>
  <c r="O27" i="1"/>
  <c r="F27" i="1"/>
  <c r="I27" i="1" s="1"/>
  <c r="A27" i="1"/>
  <c r="O26" i="1"/>
  <c r="F26" i="1"/>
  <c r="I26" i="1" s="1"/>
  <c r="A26" i="1"/>
  <c r="O25" i="1"/>
  <c r="F25" i="1"/>
  <c r="I25" i="1" s="1"/>
  <c r="A25" i="1"/>
  <c r="O24" i="1"/>
  <c r="F24" i="1"/>
  <c r="I24" i="1" s="1"/>
  <c r="A24" i="1"/>
  <c r="O23" i="1"/>
  <c r="F23" i="1"/>
  <c r="I23" i="1" s="1"/>
  <c r="A23" i="1"/>
  <c r="O22" i="1"/>
  <c r="F22" i="1"/>
  <c r="I22" i="1" s="1"/>
  <c r="A22" i="1"/>
  <c r="O21" i="1"/>
  <c r="F21" i="1"/>
  <c r="I21" i="1" s="1"/>
  <c r="A21" i="1"/>
  <c r="O19" i="1"/>
  <c r="F19" i="1"/>
  <c r="I19" i="1" s="1"/>
  <c r="A19" i="1"/>
  <c r="O18" i="1"/>
  <c r="F18" i="1"/>
  <c r="I18" i="1" s="1"/>
  <c r="A18" i="1"/>
  <c r="O17" i="1"/>
  <c r="F17" i="1"/>
  <c r="I17" i="1" s="1"/>
  <c r="A17" i="1"/>
  <c r="O16" i="1"/>
  <c r="F16" i="1"/>
  <c r="I16" i="1" s="1"/>
  <c r="A16" i="1"/>
  <c r="O15" i="1"/>
  <c r="F15" i="1"/>
  <c r="I15" i="1" s="1"/>
  <c r="A15" i="1"/>
  <c r="O14" i="1"/>
  <c r="F14" i="1"/>
  <c r="I14" i="1" s="1"/>
  <c r="A14" i="1"/>
  <c r="F13" i="1"/>
  <c r="I13" i="1" s="1"/>
  <c r="A13" i="1"/>
  <c r="F9" i="1"/>
  <c r="I9" i="1" s="1"/>
  <c r="A37" i="1"/>
  <c r="F8" i="1"/>
  <c r="I8" i="1" s="1"/>
  <c r="A20" i="1"/>
  <c r="O12" i="1"/>
  <c r="F12" i="1"/>
  <c r="I12" i="1" s="1"/>
  <c r="A12" i="1"/>
  <c r="O11" i="1"/>
  <c r="F11" i="1"/>
  <c r="I11" i="1" s="1"/>
  <c r="A11" i="1"/>
  <c r="O10" i="1"/>
  <c r="F10" i="1"/>
  <c r="I10" i="1" s="1"/>
  <c r="A10" i="1"/>
  <c r="O7" i="1"/>
  <c r="F7" i="1"/>
  <c r="I7" i="1" s="1"/>
  <c r="A7" i="1"/>
  <c r="O5" i="1"/>
  <c r="F5" i="1"/>
  <c r="I5" i="1" s="1"/>
  <c r="A5" i="1"/>
  <c r="O4" i="1"/>
  <c r="F4" i="1"/>
  <c r="I4" i="1" s="1"/>
  <c r="A4" i="1"/>
  <c r="O3" i="1"/>
  <c r="F3" i="1"/>
  <c r="I3" i="1" s="1"/>
  <c r="A3" i="1"/>
  <c r="O2" i="1"/>
  <c r="F2" i="1"/>
  <c r="I2" i="1" s="1"/>
  <c r="A6" i="1"/>
  <c r="F382" i="80"/>
  <c r="A381" i="80"/>
  <c r="A379" i="80"/>
  <c r="A378" i="80"/>
  <c r="A377" i="80"/>
  <c r="A376" i="80"/>
  <c r="A375" i="80"/>
  <c r="A374" i="80"/>
  <c r="A373" i="80"/>
  <c r="A372" i="80"/>
  <c r="A371" i="80"/>
  <c r="A370" i="80"/>
  <c r="A369" i="80"/>
  <c r="A368" i="80"/>
  <c r="A367" i="80"/>
  <c r="A366" i="80"/>
  <c r="A365" i="80"/>
  <c r="A364" i="80"/>
  <c r="A363" i="80"/>
  <c r="A362" i="80"/>
  <c r="A361" i="80"/>
  <c r="A360" i="80"/>
  <c r="A359" i="80"/>
  <c r="A358" i="80"/>
  <c r="A357" i="80"/>
  <c r="A356" i="80"/>
  <c r="A355" i="80"/>
  <c r="A354" i="80"/>
  <c r="A353" i="80"/>
  <c r="A352" i="80"/>
  <c r="A351" i="80"/>
  <c r="A350" i="80"/>
  <c r="A349" i="80"/>
  <c r="A348" i="80"/>
  <c r="A347" i="80"/>
  <c r="A346" i="80"/>
  <c r="A345" i="80"/>
  <c r="A344" i="80"/>
  <c r="A343" i="80"/>
  <c r="A342" i="80"/>
  <c r="A341" i="80"/>
  <c r="A340" i="80"/>
  <c r="A339" i="80"/>
  <c r="A338" i="80"/>
  <c r="A337" i="80"/>
  <c r="A336" i="80"/>
  <c r="A335" i="80"/>
  <c r="A334" i="80"/>
  <c r="A333" i="80"/>
  <c r="A332" i="80"/>
  <c r="A331" i="80"/>
  <c r="A330" i="80"/>
  <c r="A329" i="80"/>
  <c r="A328" i="80"/>
  <c r="A327" i="80"/>
  <c r="A326" i="80"/>
  <c r="A325" i="80"/>
  <c r="A324" i="80"/>
  <c r="A323" i="80"/>
  <c r="A322" i="80"/>
  <c r="A321" i="80"/>
  <c r="A320" i="80"/>
  <c r="A319" i="80"/>
  <c r="A318" i="80"/>
  <c r="A317" i="80"/>
  <c r="A316" i="80"/>
  <c r="A314" i="80"/>
  <c r="A313" i="80"/>
  <c r="A312" i="80"/>
  <c r="A311" i="80"/>
  <c r="A310" i="80"/>
  <c r="A309" i="80"/>
  <c r="A308" i="80"/>
  <c r="A307" i="80"/>
  <c r="A281" i="80"/>
  <c r="A280" i="80"/>
  <c r="A279" i="80"/>
  <c r="A278" i="80"/>
  <c r="A277" i="80"/>
  <c r="A276" i="80"/>
  <c r="A275" i="80"/>
  <c r="A274" i="80"/>
  <c r="A273" i="80"/>
  <c r="A272" i="80"/>
  <c r="A271" i="80"/>
  <c r="A270" i="80"/>
  <c r="A269" i="80"/>
  <c r="A268" i="80"/>
  <c r="A267" i="80"/>
  <c r="A266" i="80"/>
  <c r="A265" i="80"/>
  <c r="A264" i="80"/>
  <c r="A263" i="80"/>
  <c r="A262" i="80"/>
  <c r="A261" i="80"/>
  <c r="A260" i="80"/>
  <c r="A259" i="80"/>
  <c r="A258" i="80"/>
  <c r="A257" i="80"/>
  <c r="A256" i="80"/>
  <c r="A255" i="80"/>
  <c r="A254" i="80"/>
  <c r="A253" i="80"/>
  <c r="A252" i="80"/>
  <c r="A251" i="80"/>
  <c r="A250" i="80"/>
  <c r="A249" i="80"/>
  <c r="A248" i="80"/>
  <c r="A247" i="80"/>
  <c r="A246" i="80"/>
  <c r="A245" i="80"/>
  <c r="A243" i="80"/>
  <c r="A242" i="80"/>
  <c r="A241" i="80"/>
  <c r="A240" i="80"/>
  <c r="A239" i="80"/>
  <c r="A238" i="80"/>
  <c r="A237" i="80"/>
  <c r="A236" i="80"/>
  <c r="A235" i="80"/>
  <c r="A234" i="80"/>
  <c r="A233" i="80"/>
  <c r="A232" i="80"/>
  <c r="A231" i="80"/>
  <c r="A230" i="80"/>
  <c r="A229" i="80"/>
  <c r="A228" i="80"/>
  <c r="A227" i="80"/>
  <c r="A226" i="80"/>
  <c r="A225" i="80"/>
  <c r="A224" i="80"/>
  <c r="A223" i="80"/>
  <c r="A222" i="80"/>
  <c r="A221" i="80"/>
  <c r="A220" i="80"/>
  <c r="A219" i="80"/>
  <c r="A218" i="80"/>
  <c r="A217" i="80"/>
  <c r="A216" i="80"/>
  <c r="A215" i="80"/>
  <c r="A214" i="80"/>
  <c r="A212" i="80"/>
  <c r="A211" i="80"/>
  <c r="A210" i="80"/>
  <c r="A209" i="80"/>
  <c r="A208" i="80"/>
  <c r="A206" i="80"/>
  <c r="A177" i="80"/>
  <c r="A176" i="80"/>
  <c r="A175" i="80"/>
  <c r="A174" i="80"/>
  <c r="A173" i="80"/>
  <c r="A172" i="80"/>
  <c r="A171" i="80"/>
  <c r="A170" i="80"/>
  <c r="A169" i="80"/>
  <c r="A168" i="80"/>
  <c r="A167" i="80"/>
  <c r="A166" i="80"/>
  <c r="A165" i="80"/>
  <c r="A164" i="80"/>
  <c r="A163" i="80"/>
  <c r="A162" i="80"/>
  <c r="A161" i="80"/>
  <c r="A160" i="80"/>
  <c r="A159" i="80"/>
  <c r="A158" i="80"/>
  <c r="A157" i="80"/>
  <c r="A156" i="80"/>
  <c r="A155" i="80"/>
  <c r="A154" i="80"/>
  <c r="A153" i="80"/>
  <c r="A152" i="80"/>
  <c r="A151" i="80"/>
  <c r="A150" i="80"/>
  <c r="J42" i="106"/>
  <c r="B38" i="112"/>
  <c r="D34" i="112"/>
  <c r="B34" i="112"/>
  <c r="D32" i="112"/>
  <c r="B32" i="112"/>
  <c r="B31" i="112"/>
  <c r="D30" i="112"/>
  <c r="B30" i="112"/>
  <c r="B29" i="112"/>
  <c r="D26" i="112"/>
  <c r="B26" i="112"/>
  <c r="D23" i="112"/>
  <c r="D22" i="112"/>
  <c r="D21" i="112"/>
  <c r="B19" i="112"/>
  <c r="B18" i="112"/>
  <c r="D17" i="112"/>
  <c r="D14" i="112"/>
  <c r="D11" i="112"/>
  <c r="D10" i="112"/>
  <c r="B10" i="112"/>
  <c r="D9" i="112"/>
  <c r="D7" i="112"/>
  <c r="D6" i="112"/>
  <c r="B6" i="112"/>
  <c r="D42" i="102"/>
  <c r="C42" i="102"/>
  <c r="B42" i="102"/>
  <c r="E356" i="107"/>
  <c r="E355" i="107"/>
  <c r="E354" i="107"/>
  <c r="E353" i="107"/>
  <c r="E352" i="107"/>
  <c r="E351" i="107"/>
  <c r="E350" i="107"/>
  <c r="E349" i="107"/>
  <c r="E348" i="107"/>
  <c r="E347" i="107"/>
  <c r="E346" i="107"/>
  <c r="E345" i="107"/>
  <c r="E344" i="107"/>
  <c r="E343" i="107"/>
  <c r="E342" i="107"/>
  <c r="E341" i="107"/>
  <c r="E340" i="107"/>
  <c r="E339" i="107"/>
  <c r="E338" i="107"/>
  <c r="E337" i="107"/>
  <c r="E336" i="107"/>
  <c r="E335" i="107"/>
  <c r="E334" i="107"/>
  <c r="E333" i="107"/>
  <c r="E332" i="107"/>
  <c r="E331" i="107"/>
  <c r="E330" i="107"/>
  <c r="E329" i="107"/>
  <c r="E328" i="107"/>
  <c r="E327" i="107"/>
  <c r="E326" i="107"/>
  <c r="E325" i="107"/>
  <c r="E324" i="107"/>
  <c r="E323" i="107"/>
  <c r="E322" i="107"/>
  <c r="E321" i="107"/>
  <c r="E320" i="107"/>
  <c r="E319" i="107"/>
  <c r="E318" i="107"/>
  <c r="E317" i="107"/>
  <c r="E316" i="107"/>
  <c r="E315" i="107"/>
  <c r="E314" i="107"/>
  <c r="E313" i="107"/>
  <c r="E312" i="107"/>
  <c r="E311" i="107"/>
  <c r="E310" i="107"/>
  <c r="E309" i="107"/>
  <c r="E308" i="107"/>
  <c r="E307" i="107"/>
  <c r="E306" i="107"/>
  <c r="E305" i="107"/>
  <c r="E304" i="107"/>
  <c r="E303" i="107"/>
  <c r="E302" i="107"/>
  <c r="E301" i="107"/>
  <c r="E300" i="107"/>
  <c r="E299" i="107"/>
  <c r="E298" i="107"/>
  <c r="E297" i="107"/>
  <c r="E296" i="107"/>
  <c r="E295" i="107"/>
  <c r="E294" i="107"/>
  <c r="E293" i="107"/>
  <c r="E292" i="107"/>
  <c r="E291" i="107"/>
  <c r="E290" i="107"/>
  <c r="E289" i="107"/>
  <c r="E288" i="107"/>
  <c r="E287" i="107"/>
  <c r="E286" i="107"/>
  <c r="E285" i="107"/>
  <c r="E284" i="107"/>
  <c r="E283" i="107"/>
  <c r="E282" i="107"/>
  <c r="E281" i="107"/>
  <c r="E280" i="107"/>
  <c r="E279" i="107"/>
  <c r="E278" i="107"/>
  <c r="E277" i="107"/>
  <c r="E276" i="107"/>
  <c r="E275" i="107"/>
  <c r="E274" i="107"/>
  <c r="E273" i="107"/>
  <c r="E272" i="107"/>
  <c r="E271" i="107"/>
  <c r="E270" i="107"/>
  <c r="E269" i="107"/>
  <c r="E268" i="107"/>
  <c r="E267" i="107"/>
  <c r="E266" i="107"/>
  <c r="E265" i="107"/>
  <c r="E264" i="107"/>
  <c r="E263" i="107"/>
  <c r="E262" i="107"/>
  <c r="E261" i="107"/>
  <c r="E260" i="107"/>
  <c r="E259" i="107"/>
  <c r="E258" i="107"/>
  <c r="E257" i="107"/>
  <c r="E256" i="107"/>
  <c r="E255" i="107"/>
  <c r="E254" i="107"/>
  <c r="E253" i="107"/>
  <c r="E252" i="107"/>
  <c r="E251" i="107"/>
  <c r="E250" i="107"/>
  <c r="E249" i="107"/>
  <c r="E248" i="107"/>
  <c r="E247" i="107"/>
  <c r="E246" i="107"/>
  <c r="E245" i="107"/>
  <c r="E244" i="107"/>
  <c r="E243" i="107"/>
  <c r="E242" i="107"/>
  <c r="E241" i="107"/>
  <c r="E240" i="107"/>
  <c r="E239" i="107"/>
  <c r="E238" i="107"/>
  <c r="E237" i="107"/>
  <c r="E236" i="107"/>
  <c r="E235" i="107"/>
  <c r="E234" i="107"/>
  <c r="E233" i="107"/>
  <c r="E232" i="107"/>
  <c r="E231" i="107"/>
  <c r="E230" i="107"/>
  <c r="E229" i="107"/>
  <c r="E228" i="107"/>
  <c r="E227" i="107"/>
  <c r="E226" i="107"/>
  <c r="E225" i="107"/>
  <c r="E224" i="107"/>
  <c r="E223" i="107"/>
  <c r="E222" i="107"/>
  <c r="E221" i="107"/>
  <c r="E220" i="107"/>
  <c r="E219" i="107"/>
  <c r="E218" i="107"/>
  <c r="E217" i="107"/>
  <c r="E216" i="107"/>
  <c r="E215" i="107"/>
  <c r="E214" i="107"/>
  <c r="E213" i="107"/>
  <c r="E212" i="107"/>
  <c r="E211" i="107"/>
  <c r="E210" i="107"/>
  <c r="E209" i="107"/>
  <c r="E208" i="107"/>
  <c r="E207" i="107"/>
  <c r="E206" i="107"/>
  <c r="E205" i="107"/>
  <c r="E204" i="107"/>
  <c r="E203" i="107"/>
  <c r="E202" i="107"/>
  <c r="E201" i="107"/>
  <c r="E200" i="107"/>
  <c r="E199" i="107"/>
  <c r="E198" i="107"/>
  <c r="E197" i="107"/>
  <c r="E196" i="107"/>
  <c r="E195" i="107"/>
  <c r="E194" i="107"/>
  <c r="E193" i="107"/>
  <c r="E192" i="107"/>
  <c r="E191" i="107"/>
  <c r="E190" i="107"/>
  <c r="E189" i="107"/>
  <c r="E188" i="107"/>
  <c r="E187" i="107"/>
  <c r="E186" i="107"/>
  <c r="E185" i="107"/>
  <c r="E184" i="107"/>
  <c r="E183" i="107"/>
  <c r="E182" i="107"/>
  <c r="E181" i="107"/>
  <c r="E180" i="107"/>
  <c r="E179" i="107"/>
  <c r="E178" i="107"/>
  <c r="E177" i="107"/>
  <c r="E176" i="107"/>
  <c r="E175" i="107"/>
  <c r="E174" i="107"/>
  <c r="E173" i="107"/>
  <c r="E172" i="107"/>
  <c r="E171" i="107"/>
  <c r="E170" i="107"/>
  <c r="E169" i="107"/>
  <c r="E168" i="107"/>
  <c r="E167" i="107"/>
  <c r="E166" i="107"/>
  <c r="E165" i="107"/>
  <c r="E164" i="107"/>
  <c r="E163" i="107"/>
  <c r="E162" i="107"/>
  <c r="E161" i="107"/>
  <c r="E160" i="107"/>
  <c r="E159" i="107"/>
  <c r="E158" i="107"/>
  <c r="E157" i="107"/>
  <c r="E156" i="107"/>
  <c r="E155" i="107"/>
  <c r="E154" i="107"/>
  <c r="E153" i="107"/>
  <c r="E152" i="107"/>
  <c r="E151" i="107"/>
  <c r="E150" i="107"/>
  <c r="E149" i="107"/>
  <c r="E148" i="107"/>
  <c r="E147" i="107"/>
  <c r="E146" i="107"/>
  <c r="E145" i="107"/>
  <c r="E144" i="107"/>
  <c r="E143" i="107"/>
  <c r="E142" i="107"/>
  <c r="E141" i="107"/>
  <c r="E140" i="107"/>
  <c r="E139" i="107"/>
  <c r="E138" i="107"/>
  <c r="E137" i="107"/>
  <c r="E136" i="107"/>
  <c r="E135" i="107"/>
  <c r="E134" i="107"/>
  <c r="E133" i="107"/>
  <c r="E132" i="107"/>
  <c r="E131" i="107"/>
  <c r="E130" i="107"/>
  <c r="E129" i="107"/>
  <c r="E128" i="107"/>
  <c r="E127" i="107"/>
  <c r="E126" i="107"/>
  <c r="E125" i="107"/>
  <c r="E124" i="107"/>
  <c r="E123" i="107"/>
  <c r="E122" i="107"/>
  <c r="E121" i="107"/>
  <c r="E120" i="107"/>
  <c r="E119" i="107"/>
  <c r="E118" i="107"/>
  <c r="E117" i="107"/>
  <c r="E116" i="107"/>
  <c r="E115" i="107"/>
  <c r="E114" i="107"/>
  <c r="E113" i="107"/>
  <c r="E112" i="107"/>
  <c r="E111" i="107"/>
  <c r="E110" i="107"/>
  <c r="E109" i="107"/>
  <c r="E108" i="107"/>
  <c r="E107" i="107"/>
  <c r="E106" i="107"/>
  <c r="E105" i="107"/>
  <c r="E104" i="107"/>
  <c r="E103" i="107"/>
  <c r="E102" i="107"/>
  <c r="E101" i="107"/>
  <c r="E100" i="107"/>
  <c r="E99" i="107"/>
  <c r="E98" i="107"/>
  <c r="E97" i="107"/>
  <c r="E96" i="107"/>
  <c r="E95" i="107"/>
  <c r="E94" i="107"/>
  <c r="E93" i="107"/>
  <c r="E92" i="107"/>
  <c r="E91" i="107"/>
  <c r="E90" i="107"/>
  <c r="E89" i="107"/>
  <c r="E88" i="107"/>
  <c r="E87" i="107"/>
  <c r="E86" i="107"/>
  <c r="E85" i="107"/>
  <c r="E84" i="107"/>
  <c r="E83" i="107"/>
  <c r="E82" i="107"/>
  <c r="E81" i="107"/>
  <c r="E80" i="107"/>
  <c r="E79" i="107"/>
  <c r="E78" i="107"/>
  <c r="E77" i="107"/>
  <c r="E76" i="107"/>
  <c r="E75" i="107"/>
  <c r="E74" i="107"/>
  <c r="E73" i="107"/>
  <c r="E72" i="107"/>
  <c r="E71" i="107"/>
  <c r="E70" i="107"/>
  <c r="E69" i="107"/>
  <c r="E68" i="107"/>
  <c r="E67" i="107"/>
  <c r="E66" i="107"/>
  <c r="E65" i="107"/>
  <c r="E64" i="107"/>
  <c r="E63" i="107"/>
  <c r="E62" i="107"/>
  <c r="E61" i="107"/>
  <c r="E60" i="107"/>
  <c r="E59" i="107"/>
  <c r="E58" i="107"/>
  <c r="E57" i="107"/>
  <c r="E56" i="107"/>
  <c r="E55" i="107"/>
  <c r="E54" i="107"/>
  <c r="E53" i="107"/>
  <c r="E52" i="107"/>
  <c r="E51" i="107"/>
  <c r="E50" i="107"/>
  <c r="E49" i="107"/>
  <c r="E48" i="107"/>
  <c r="E47" i="107"/>
  <c r="E46" i="107"/>
  <c r="E45" i="107"/>
  <c r="E44" i="107"/>
  <c r="E43" i="107"/>
  <c r="E42" i="107"/>
  <c r="E41" i="107"/>
  <c r="E40" i="107"/>
  <c r="E39" i="107"/>
  <c r="E38" i="107"/>
  <c r="E37" i="107"/>
  <c r="E36" i="107"/>
  <c r="E35" i="107"/>
  <c r="E34" i="107"/>
  <c r="E33" i="107"/>
  <c r="E32" i="107"/>
  <c r="E31" i="107"/>
  <c r="E30" i="107"/>
  <c r="E29" i="107"/>
  <c r="E28" i="107"/>
  <c r="E27" i="107"/>
  <c r="E26" i="107"/>
  <c r="E25" i="107"/>
  <c r="E24" i="107"/>
  <c r="E23" i="107"/>
  <c r="E22" i="107"/>
  <c r="E21" i="107"/>
  <c r="E20" i="107"/>
  <c r="E19" i="107"/>
  <c r="E18" i="107"/>
  <c r="E17" i="107"/>
  <c r="E16" i="107"/>
  <c r="E15" i="107"/>
  <c r="E14" i="107"/>
  <c r="E13" i="107"/>
  <c r="E12" i="107"/>
  <c r="E11" i="107"/>
  <c r="E10" i="107"/>
  <c r="E9" i="107"/>
  <c r="E8" i="107"/>
  <c r="E7" i="107"/>
  <c r="E6" i="107"/>
  <c r="E5" i="107"/>
  <c r="E4" i="107"/>
  <c r="E3" i="107"/>
  <c r="D40" i="109"/>
  <c r="D45" i="109" s="1"/>
  <c r="D49" i="109" s="1"/>
  <c r="F376" i="117"/>
  <c r="F375" i="117"/>
  <c r="F374" i="117"/>
  <c r="F373" i="117"/>
  <c r="F372" i="117"/>
  <c r="F371" i="117"/>
  <c r="F370" i="117"/>
  <c r="F369" i="117"/>
  <c r="F368" i="117"/>
  <c r="F367" i="117"/>
  <c r="F366" i="117"/>
  <c r="F365" i="117"/>
  <c r="F364" i="117"/>
  <c r="F363" i="117"/>
  <c r="F362" i="117"/>
  <c r="F361" i="117"/>
  <c r="F360" i="117"/>
  <c r="F359" i="117"/>
  <c r="F358" i="117"/>
  <c r="F357" i="117"/>
  <c r="F356" i="117"/>
  <c r="F355" i="117"/>
  <c r="F354" i="117"/>
  <c r="F353" i="117"/>
  <c r="F352" i="117"/>
  <c r="F351" i="117"/>
  <c r="F350" i="117"/>
  <c r="F349" i="117"/>
  <c r="F348" i="117"/>
  <c r="F347" i="117"/>
  <c r="F346" i="117"/>
  <c r="F345" i="117"/>
  <c r="F344" i="117"/>
  <c r="F343" i="117"/>
  <c r="F342" i="117"/>
  <c r="F341" i="117"/>
  <c r="F340" i="117"/>
  <c r="F339" i="117"/>
  <c r="F338" i="117"/>
  <c r="F337" i="117"/>
  <c r="F336" i="117"/>
  <c r="F335" i="117"/>
  <c r="F334" i="117"/>
  <c r="F333" i="117"/>
  <c r="F332" i="117"/>
  <c r="F331" i="117"/>
  <c r="F330" i="117"/>
  <c r="F329" i="117"/>
  <c r="F328" i="117"/>
  <c r="F327" i="117"/>
  <c r="F326" i="117"/>
  <c r="F325" i="117"/>
  <c r="F324" i="117"/>
  <c r="F323" i="117"/>
  <c r="F322" i="117"/>
  <c r="F321" i="117"/>
  <c r="F320" i="117"/>
  <c r="F319" i="117"/>
  <c r="F318" i="117"/>
  <c r="F317" i="117"/>
  <c r="F316" i="117"/>
  <c r="F315" i="117"/>
  <c r="F314" i="117"/>
  <c r="F313" i="117"/>
  <c r="F312" i="117"/>
  <c r="F311" i="117"/>
  <c r="F310" i="117"/>
  <c r="F309" i="117"/>
  <c r="F308" i="117"/>
  <c r="F307" i="117"/>
  <c r="F306" i="117"/>
  <c r="F305" i="117"/>
  <c r="F304" i="117"/>
  <c r="F303" i="117"/>
  <c r="F302" i="117"/>
  <c r="F301" i="117"/>
  <c r="F300" i="117"/>
  <c r="F299" i="117"/>
  <c r="F298" i="117"/>
  <c r="F297" i="117"/>
  <c r="F296" i="117"/>
  <c r="F295" i="117"/>
  <c r="F294" i="117"/>
  <c r="F293" i="117"/>
  <c r="F292" i="117"/>
  <c r="F291" i="117"/>
  <c r="F290" i="117"/>
  <c r="F289" i="117"/>
  <c r="F288" i="117"/>
  <c r="F287" i="117"/>
  <c r="F286" i="117"/>
  <c r="F285" i="117"/>
  <c r="F284" i="117"/>
  <c r="F283" i="117"/>
  <c r="F282" i="117"/>
  <c r="F281" i="117"/>
  <c r="F280" i="117"/>
  <c r="F279" i="117"/>
  <c r="F278" i="117"/>
  <c r="F277" i="117"/>
  <c r="F276" i="117"/>
  <c r="F275" i="117"/>
  <c r="F274" i="117"/>
  <c r="F273" i="117"/>
  <c r="F272" i="117"/>
  <c r="F271" i="117"/>
  <c r="F270" i="117"/>
  <c r="F269" i="117"/>
  <c r="F268" i="117"/>
  <c r="F267" i="117"/>
  <c r="F266" i="117"/>
  <c r="F265" i="117"/>
  <c r="F264" i="117"/>
  <c r="F263" i="117"/>
  <c r="F262" i="117"/>
  <c r="F261" i="117"/>
  <c r="F260" i="117"/>
  <c r="F259" i="117"/>
  <c r="F258" i="117"/>
  <c r="F257" i="117"/>
  <c r="F256" i="117"/>
  <c r="F255" i="117"/>
  <c r="F254" i="117"/>
  <c r="F253" i="117"/>
  <c r="F252" i="117"/>
  <c r="F251" i="117"/>
  <c r="F250" i="117"/>
  <c r="F249" i="117"/>
  <c r="F248" i="117"/>
  <c r="F247" i="117"/>
  <c r="F246" i="117"/>
  <c r="F245" i="117"/>
  <c r="F244" i="117"/>
  <c r="F243" i="117"/>
  <c r="F242" i="117"/>
  <c r="F241" i="117"/>
  <c r="F240" i="117"/>
  <c r="F239" i="117"/>
  <c r="F238" i="117"/>
  <c r="F237" i="117"/>
  <c r="F236" i="117"/>
  <c r="F235" i="117"/>
  <c r="F234" i="117"/>
  <c r="F233" i="117"/>
  <c r="F232" i="117"/>
  <c r="F231" i="117"/>
  <c r="F230" i="117"/>
  <c r="F229" i="117"/>
  <c r="F228" i="117"/>
  <c r="F227" i="117"/>
  <c r="F226" i="117"/>
  <c r="F225" i="117"/>
  <c r="F224" i="117"/>
  <c r="F223" i="117"/>
  <c r="F222" i="117"/>
  <c r="F221" i="117"/>
  <c r="F220" i="117"/>
  <c r="F219" i="117"/>
  <c r="F218" i="117"/>
  <c r="F217" i="117"/>
  <c r="F216" i="117"/>
  <c r="F215" i="117"/>
  <c r="F214" i="117"/>
  <c r="F213" i="117"/>
  <c r="F212" i="117"/>
  <c r="F211" i="117"/>
  <c r="F210" i="117"/>
  <c r="F209" i="117"/>
  <c r="F208" i="117"/>
  <c r="F207" i="117"/>
  <c r="F206" i="117"/>
  <c r="F205" i="117"/>
  <c r="F204" i="117"/>
  <c r="F203" i="117"/>
  <c r="F202" i="117"/>
  <c r="F201" i="117"/>
  <c r="F200" i="117"/>
  <c r="F199" i="117"/>
  <c r="F198" i="117"/>
  <c r="F197" i="117"/>
  <c r="F196" i="117"/>
  <c r="F195" i="117"/>
  <c r="F194" i="117"/>
  <c r="F193" i="117"/>
  <c r="F192" i="117"/>
  <c r="F191" i="117"/>
  <c r="F190" i="117"/>
  <c r="F189" i="117"/>
  <c r="F188" i="117"/>
  <c r="F187" i="117"/>
  <c r="F186" i="117"/>
  <c r="F185" i="117"/>
  <c r="F184" i="117"/>
  <c r="F183" i="117"/>
  <c r="F182" i="117"/>
  <c r="F181" i="117"/>
  <c r="F180" i="117"/>
  <c r="F179" i="117"/>
  <c r="F178" i="117"/>
  <c r="F177" i="117"/>
  <c r="F176" i="117"/>
  <c r="F175" i="117"/>
  <c r="F174" i="117"/>
  <c r="F173" i="117"/>
  <c r="F172" i="117"/>
  <c r="F171" i="117"/>
  <c r="F170" i="117"/>
  <c r="F169" i="117"/>
  <c r="F168" i="117"/>
  <c r="F167" i="117"/>
  <c r="F166" i="117"/>
  <c r="F165" i="117"/>
  <c r="F164" i="117"/>
  <c r="F163" i="117"/>
  <c r="F162" i="117"/>
  <c r="F161" i="117"/>
  <c r="F160" i="117"/>
  <c r="F159" i="117"/>
  <c r="F158" i="117"/>
  <c r="F157" i="117"/>
  <c r="F156" i="117"/>
  <c r="F155" i="117"/>
  <c r="F154" i="117"/>
  <c r="F153" i="117"/>
  <c r="F152" i="117"/>
  <c r="F151" i="117"/>
  <c r="F150" i="117"/>
  <c r="F149" i="117"/>
  <c r="F148" i="117"/>
  <c r="F147" i="117"/>
  <c r="F146" i="117"/>
  <c r="F145" i="117"/>
  <c r="F144" i="117"/>
  <c r="F143" i="117"/>
  <c r="F142" i="117"/>
  <c r="F141" i="117"/>
  <c r="F140" i="117"/>
  <c r="F139" i="117"/>
  <c r="F138" i="117"/>
  <c r="F137" i="117"/>
  <c r="F136" i="117"/>
  <c r="F135" i="117"/>
  <c r="F134" i="117"/>
  <c r="F133" i="117"/>
  <c r="F132" i="117"/>
  <c r="F131" i="117"/>
  <c r="F130" i="117"/>
  <c r="F129" i="117"/>
  <c r="F128" i="117"/>
  <c r="F127" i="117"/>
  <c r="F126" i="117"/>
  <c r="F125" i="117"/>
  <c r="F124" i="117"/>
  <c r="F123" i="117"/>
  <c r="F122" i="117"/>
  <c r="F121" i="117"/>
  <c r="F120" i="117"/>
  <c r="F119" i="117"/>
  <c r="F118" i="117"/>
  <c r="F117" i="117"/>
  <c r="F116" i="117"/>
  <c r="F115" i="117"/>
  <c r="F114" i="117"/>
  <c r="F113" i="117"/>
  <c r="F112" i="117"/>
  <c r="F111" i="117"/>
  <c r="F110" i="117"/>
  <c r="F109" i="117"/>
  <c r="F108" i="117"/>
  <c r="F107" i="117"/>
  <c r="F106" i="117"/>
  <c r="F105" i="117"/>
  <c r="F104" i="117"/>
  <c r="F103" i="117"/>
  <c r="F102" i="117"/>
  <c r="F101" i="117"/>
  <c r="F100" i="117"/>
  <c r="F99" i="117"/>
  <c r="F98" i="117"/>
  <c r="F97" i="117"/>
  <c r="F96" i="117"/>
  <c r="F95" i="117"/>
  <c r="F94" i="117"/>
  <c r="F93" i="117"/>
  <c r="F92" i="117"/>
  <c r="F91" i="117"/>
  <c r="F90" i="117"/>
  <c r="F89" i="117"/>
  <c r="F88" i="117"/>
  <c r="F87" i="117"/>
  <c r="F86" i="117"/>
  <c r="F85" i="117"/>
  <c r="F84" i="117"/>
  <c r="F83" i="117"/>
  <c r="F82" i="117"/>
  <c r="F81" i="117"/>
  <c r="F80" i="117"/>
  <c r="F79" i="117"/>
  <c r="F78" i="117"/>
  <c r="F77" i="117"/>
  <c r="F76" i="117"/>
  <c r="F75" i="117"/>
  <c r="F74" i="117"/>
  <c r="F73" i="117"/>
  <c r="F72" i="117"/>
  <c r="F71" i="117"/>
  <c r="F70" i="117"/>
  <c r="F69" i="117"/>
  <c r="F68" i="117"/>
  <c r="F67" i="117"/>
  <c r="F66" i="117"/>
  <c r="F65" i="117"/>
  <c r="F64" i="117"/>
  <c r="F63" i="117"/>
  <c r="F62" i="117"/>
  <c r="F61" i="117"/>
  <c r="F60" i="117"/>
  <c r="F59" i="117"/>
  <c r="F58" i="117"/>
  <c r="F57" i="117"/>
  <c r="F56" i="117"/>
  <c r="F55" i="117"/>
  <c r="F54" i="117"/>
  <c r="F53" i="117"/>
  <c r="F52" i="117"/>
  <c r="F51" i="117"/>
  <c r="F50" i="117"/>
  <c r="F49" i="117"/>
  <c r="F48" i="117"/>
  <c r="F47" i="117"/>
  <c r="F46" i="117"/>
  <c r="F45" i="117"/>
  <c r="F44" i="117"/>
  <c r="F43" i="117"/>
  <c r="F42" i="117"/>
  <c r="F41" i="117"/>
  <c r="F40" i="117"/>
  <c r="F39" i="117"/>
  <c r="F38" i="117"/>
  <c r="F37" i="117"/>
  <c r="F36" i="117"/>
  <c r="F35" i="117"/>
  <c r="F34" i="117"/>
  <c r="F33" i="117"/>
  <c r="F32" i="117"/>
  <c r="F31" i="117"/>
  <c r="F30" i="117"/>
  <c r="F29" i="117"/>
  <c r="F28" i="117"/>
  <c r="F27" i="117"/>
  <c r="F26" i="117"/>
  <c r="F25" i="117"/>
  <c r="F24" i="117"/>
  <c r="F23" i="117"/>
  <c r="F22" i="117"/>
  <c r="F21" i="117"/>
  <c r="F20" i="117"/>
  <c r="F19" i="117"/>
  <c r="F18" i="117"/>
  <c r="F17" i="117"/>
  <c r="F16" i="117"/>
  <c r="F15" i="117"/>
  <c r="F14" i="117"/>
  <c r="F13" i="117"/>
  <c r="F12" i="117"/>
  <c r="F11" i="117"/>
  <c r="F10" i="117"/>
  <c r="F9" i="117"/>
  <c r="F8" i="117"/>
  <c r="F7" i="117"/>
  <c r="F6" i="117"/>
  <c r="F5" i="117"/>
  <c r="O53" i="117"/>
  <c r="O13" i="117"/>
  <c r="C10" i="16" l="1"/>
  <c r="C21" i="112" s="1"/>
  <c r="B21" i="112"/>
  <c r="B12" i="112"/>
  <c r="D12" i="112"/>
  <c r="D19" i="112"/>
  <c r="B8" i="112"/>
  <c r="D13" i="112"/>
  <c r="B20" i="112"/>
  <c r="B36" i="112" s="1"/>
  <c r="B40" i="112" s="1"/>
  <c r="B43" i="112" s="1"/>
  <c r="D28" i="112"/>
  <c r="B16" i="112"/>
  <c r="G52" i="33"/>
  <c r="G49" i="32"/>
  <c r="G48" i="36"/>
  <c r="G55" i="29"/>
  <c r="G43" i="32"/>
  <c r="I78" i="14"/>
  <c r="H52" i="28"/>
  <c r="H47" i="19"/>
  <c r="H52" i="34"/>
  <c r="I53" i="33"/>
  <c r="I48" i="32"/>
  <c r="G45" i="36"/>
  <c r="G76" i="14"/>
  <c r="H45" i="33"/>
  <c r="I55" i="17"/>
  <c r="I43" i="19"/>
  <c r="G49" i="34"/>
  <c r="I46" i="33"/>
  <c r="G54" i="29"/>
  <c r="G52" i="28"/>
  <c r="I44" i="32"/>
  <c r="I58" i="29"/>
  <c r="I44" i="19"/>
  <c r="G49" i="33"/>
  <c r="H43" i="36"/>
  <c r="G55" i="33"/>
  <c r="H77" i="14"/>
  <c r="G51" i="32"/>
  <c r="G79" i="14"/>
  <c r="H43" i="34"/>
  <c r="I56" i="29"/>
  <c r="G50" i="29"/>
  <c r="H51" i="34"/>
  <c r="G47" i="34"/>
  <c r="H46" i="34"/>
  <c r="G47" i="33"/>
  <c r="H47" i="33"/>
  <c r="I57" i="17"/>
  <c r="I45" i="32"/>
  <c r="I51" i="32"/>
  <c r="I51" i="33"/>
  <c r="I47" i="36"/>
  <c r="H54" i="28"/>
  <c r="H49" i="19"/>
  <c r="H76" i="14"/>
  <c r="G58" i="29"/>
  <c r="G51" i="28"/>
  <c r="I43" i="34"/>
  <c r="G78" i="14"/>
  <c r="G49" i="27"/>
  <c r="G46" i="36"/>
  <c r="G54" i="33"/>
  <c r="H52" i="29"/>
  <c r="I53" i="29"/>
  <c r="H44" i="33"/>
  <c r="H52" i="33"/>
  <c r="H50" i="33"/>
  <c r="G53" i="33"/>
  <c r="H57" i="29"/>
  <c r="H78" i="14"/>
  <c r="G48" i="29"/>
  <c r="H45" i="19"/>
  <c r="I46" i="36"/>
  <c r="I49" i="29"/>
  <c r="G50" i="34"/>
  <c r="H53" i="17"/>
  <c r="I54" i="33"/>
  <c r="H57" i="17"/>
  <c r="G44" i="32"/>
  <c r="I48" i="36"/>
  <c r="I54" i="28"/>
  <c r="I51" i="28"/>
  <c r="H54" i="17"/>
  <c r="H48" i="33"/>
  <c r="H50" i="34"/>
  <c r="G53" i="17"/>
  <c r="I52" i="34"/>
  <c r="H49" i="32"/>
  <c r="H51" i="33"/>
  <c r="H79" i="14"/>
  <c r="H49" i="29"/>
  <c r="G51" i="33"/>
  <c r="G48" i="32"/>
  <c r="G47" i="36"/>
  <c r="G47" i="29"/>
  <c r="H44" i="27"/>
  <c r="H49" i="17"/>
  <c r="G52" i="29"/>
  <c r="H54" i="29"/>
  <c r="G46" i="27"/>
  <c r="H53" i="33"/>
  <c r="I46" i="32"/>
  <c r="H44" i="36"/>
  <c r="I76" i="14"/>
  <c r="H43" i="33"/>
  <c r="I52" i="17"/>
  <c r="G45" i="33"/>
  <c r="G61" i="29"/>
  <c r="H44" i="34"/>
  <c r="I55" i="33"/>
  <c r="I49" i="17"/>
  <c r="G47" i="19"/>
  <c r="G80" i="14"/>
  <c r="I44" i="33"/>
  <c r="H52" i="17"/>
  <c r="I44" i="34"/>
  <c r="G43" i="36"/>
  <c r="H49" i="34"/>
  <c r="G45" i="19"/>
  <c r="H48" i="36"/>
  <c r="H50" i="32"/>
  <c r="I79" i="14"/>
  <c r="I45" i="27"/>
  <c r="H45" i="32"/>
  <c r="H61" i="29"/>
  <c r="N315" i="117" s="1"/>
  <c r="H50" i="28"/>
  <c r="I50" i="32"/>
  <c r="I43" i="32"/>
  <c r="H51" i="28"/>
  <c r="H48" i="29"/>
  <c r="I48" i="28"/>
  <c r="I52" i="33"/>
  <c r="H50" i="29"/>
  <c r="I50" i="27"/>
  <c r="I50" i="29"/>
  <c r="G51" i="29"/>
  <c r="G54" i="17"/>
  <c r="I45" i="33"/>
  <c r="H43" i="32"/>
  <c r="G57" i="29"/>
  <c r="G55" i="17"/>
  <c r="I47" i="28"/>
  <c r="H54" i="33"/>
  <c r="G53" i="28"/>
  <c r="G46" i="33"/>
  <c r="I49" i="28"/>
  <c r="I49" i="32"/>
  <c r="I49" i="27"/>
  <c r="H55" i="33"/>
  <c r="G50" i="33"/>
  <c r="G49" i="28"/>
  <c r="I54" i="29"/>
  <c r="I48" i="29"/>
  <c r="G43" i="33"/>
  <c r="G56" i="29"/>
  <c r="G48" i="19"/>
  <c r="I47" i="33"/>
  <c r="G46" i="34"/>
  <c r="I61" i="29"/>
  <c r="I48" i="19"/>
  <c r="G47" i="28"/>
  <c r="H46" i="33"/>
  <c r="G44" i="36"/>
  <c r="G48" i="27"/>
  <c r="H55" i="29"/>
  <c r="I50" i="17"/>
  <c r="H48" i="17"/>
  <c r="G56" i="17"/>
  <c r="I57" i="29"/>
  <c r="G49" i="29"/>
  <c r="I49" i="19"/>
  <c r="I44" i="36"/>
  <c r="G52" i="17"/>
  <c r="H43" i="19"/>
  <c r="I47" i="19"/>
  <c r="H48" i="27"/>
  <c r="G50" i="27"/>
  <c r="H46" i="27"/>
  <c r="G44" i="34"/>
  <c r="I48" i="17"/>
  <c r="H53" i="28"/>
  <c r="H51" i="29"/>
  <c r="H58" i="29"/>
  <c r="H49" i="27"/>
  <c r="H55" i="17"/>
  <c r="I43" i="33"/>
  <c r="I46" i="34"/>
  <c r="G57" i="17"/>
  <c r="H51" i="32"/>
  <c r="I80" i="14"/>
  <c r="G51" i="17"/>
  <c r="I47" i="34"/>
  <c r="I49" i="33"/>
  <c r="I51" i="34"/>
  <c r="I56" i="17"/>
  <c r="H42" i="34"/>
  <c r="I52" i="28"/>
  <c r="H50" i="27"/>
  <c r="H80" i="14"/>
  <c r="H48" i="32"/>
  <c r="I53" i="17"/>
  <c r="G50" i="32"/>
  <c r="G45" i="27"/>
  <c r="I45" i="36"/>
  <c r="H49" i="28"/>
  <c r="G44" i="27"/>
  <c r="I51" i="29"/>
  <c r="H48" i="19"/>
  <c r="G54" i="28"/>
  <c r="I43" i="36"/>
  <c r="H56" i="17"/>
  <c r="I49" i="34"/>
  <c r="I50" i="28"/>
  <c r="G49" i="19"/>
  <c r="I53" i="28"/>
  <c r="H45" i="27"/>
  <c r="G43" i="34"/>
  <c r="H50" i="17"/>
  <c r="G52" i="34"/>
  <c r="I50" i="34"/>
  <c r="G50" i="28"/>
  <c r="H44" i="19"/>
  <c r="H53" i="29"/>
  <c r="G48" i="33"/>
  <c r="G51" i="34"/>
  <c r="I54" i="17"/>
  <c r="G53" i="29"/>
  <c r="G42" i="34"/>
  <c r="G48" i="17"/>
  <c r="G48" i="28"/>
  <c r="H56" i="29"/>
  <c r="I45" i="19"/>
  <c r="G50" i="17"/>
  <c r="H48" i="28"/>
  <c r="H47" i="28"/>
  <c r="H47" i="36"/>
  <c r="H46" i="32"/>
  <c r="H49" i="33"/>
  <c r="G45" i="32"/>
  <c r="G43" i="19"/>
  <c r="G44" i="33"/>
  <c r="I55" i="29"/>
  <c r="I44" i="27"/>
  <c r="I46" i="27"/>
  <c r="I50" i="33"/>
  <c r="H47" i="34"/>
  <c r="H46" i="36"/>
  <c r="H45" i="36"/>
  <c r="G77" i="14"/>
  <c r="H44" i="32"/>
  <c r="I77" i="14"/>
  <c r="G46" i="32"/>
  <c r="I48" i="27"/>
  <c r="I48" i="33"/>
  <c r="G49" i="17"/>
  <c r="G44" i="19"/>
  <c r="C10" i="40"/>
  <c r="C5" i="112" s="1"/>
  <c r="B5" i="112"/>
  <c r="C10" i="17"/>
  <c r="C27" i="112" s="1"/>
  <c r="B27" i="112"/>
  <c r="D5" i="112"/>
  <c r="D36" i="112" s="1"/>
  <c r="D40" i="112" s="1"/>
  <c r="D43" i="112" s="1"/>
  <c r="B22" i="112"/>
  <c r="D38" i="112"/>
  <c r="Q48" i="4"/>
  <c r="B13" i="112"/>
  <c r="D16" i="112"/>
  <c r="D18" i="112"/>
  <c r="D20" i="112"/>
  <c r="D31" i="112"/>
  <c r="B9" i="112"/>
  <c r="Q12" i="4"/>
  <c r="F8" i="112" s="1"/>
  <c r="C10" i="26"/>
  <c r="C11" i="112" s="1"/>
  <c r="B11" i="112"/>
  <c r="C10" i="33"/>
  <c r="C33" i="112" s="1"/>
  <c r="B33" i="112"/>
  <c r="Q9" i="4"/>
  <c r="F5" i="112" s="1"/>
  <c r="F36" i="112" s="1"/>
  <c r="F40" i="112" s="1"/>
  <c r="F43" i="112" s="1"/>
  <c r="E5" i="112"/>
  <c r="Q13" i="4"/>
  <c r="F9" i="112" s="1"/>
  <c r="F39" i="4"/>
  <c r="F42" i="4" s="1"/>
  <c r="F44" i="4" s="1"/>
  <c r="Q30" i="4"/>
  <c r="F26" i="112" s="1"/>
  <c r="Q32" i="4"/>
  <c r="F28" i="112" s="1"/>
  <c r="Q34" i="4"/>
  <c r="F30" i="112" s="1"/>
  <c r="Q35" i="4"/>
  <c r="F31" i="112" s="1"/>
  <c r="Q40" i="4"/>
  <c r="F38" i="112" s="1"/>
  <c r="B23" i="112"/>
  <c r="C10" i="23"/>
  <c r="C23" i="112" s="1"/>
  <c r="Q21" i="4"/>
  <c r="F17" i="112" s="1"/>
  <c r="C10" i="45"/>
  <c r="C38" i="112" s="1"/>
  <c r="C10" i="37"/>
  <c r="C7" i="112" s="1"/>
  <c r="C10" i="35"/>
  <c r="C14" i="112" s="1"/>
  <c r="H39" i="4"/>
  <c r="H42" i="4" s="1"/>
  <c r="H44" i="4" s="1"/>
  <c r="Q20" i="4"/>
  <c r="F16" i="112" s="1"/>
  <c r="L42" i="4"/>
  <c r="L46" i="4" s="1"/>
  <c r="C10" i="18"/>
  <c r="C15" i="112" s="1"/>
  <c r="C10" i="22"/>
  <c r="C17" i="112" s="1"/>
  <c r="C10" i="39"/>
  <c r="C24" i="112" s="1"/>
  <c r="C10" i="36"/>
  <c r="C28" i="112" s="1"/>
  <c r="C10" i="34"/>
  <c r="C30" i="112" s="1"/>
  <c r="C42" i="112"/>
  <c r="E10" i="29"/>
  <c r="E29" i="112" s="1"/>
  <c r="Q33" i="4"/>
  <c r="F29" i="112" s="1"/>
  <c r="D29" i="112"/>
  <c r="Q19" i="4"/>
  <c r="F15" i="112" s="1"/>
  <c r="D15" i="112"/>
  <c r="E10" i="39"/>
  <c r="E24" i="112" s="1"/>
  <c r="D24" i="112"/>
  <c r="E42" i="112"/>
  <c r="D42" i="112"/>
  <c r="H46" i="4"/>
  <c r="Q29" i="4"/>
  <c r="F25" i="112" s="1"/>
  <c r="B25" i="112"/>
  <c r="E10" i="14"/>
  <c r="E25" i="112" s="1"/>
  <c r="D25" i="112"/>
  <c r="Q31" i="4"/>
  <c r="F27" i="112" s="1"/>
  <c r="D39" i="4"/>
  <c r="D42" i="4" s="1"/>
  <c r="D46" i="4" s="1"/>
  <c r="K39" i="4"/>
  <c r="K42" i="4" s="1"/>
  <c r="Q37" i="4"/>
  <c r="F33" i="112" s="1"/>
  <c r="E44" i="4"/>
  <c r="Q18" i="4"/>
  <c r="F14" i="112" s="1"/>
  <c r="Q23" i="4"/>
  <c r="F19" i="112" s="1"/>
  <c r="Q26" i="4"/>
  <c r="F22" i="112" s="1"/>
  <c r="Q25" i="4"/>
  <c r="F21" i="112" s="1"/>
  <c r="I39" i="4"/>
  <c r="I42" i="4" s="1"/>
  <c r="I46" i="4" s="1"/>
  <c r="Q36" i="4"/>
  <c r="F32" i="112" s="1"/>
  <c r="E10" i="17"/>
  <c r="E27" i="112" s="1"/>
  <c r="E10" i="19"/>
  <c r="E26" i="112" s="1"/>
  <c r="Q28" i="4"/>
  <c r="F24" i="112" s="1"/>
  <c r="Q24" i="4"/>
  <c r="F20" i="112" s="1"/>
  <c r="Q22" i="4"/>
  <c r="F18" i="112" s="1"/>
  <c r="E10" i="18"/>
  <c r="E15" i="112" s="1"/>
  <c r="Q17" i="4"/>
  <c r="F13" i="112" s="1"/>
  <c r="Q16" i="4"/>
  <c r="F12" i="112" s="1"/>
  <c r="Q15" i="4"/>
  <c r="F11" i="112" s="1"/>
  <c r="Q14" i="4"/>
  <c r="F10" i="112" s="1"/>
  <c r="E10" i="42"/>
  <c r="E9" i="112" s="1"/>
  <c r="E10" i="30"/>
  <c r="E8" i="112" s="1"/>
  <c r="Q11" i="4"/>
  <c r="F7" i="112" s="1"/>
  <c r="Q10" i="4"/>
  <c r="F6" i="112" s="1"/>
  <c r="Q27" i="4"/>
  <c r="F23" i="112" s="1"/>
  <c r="E10" i="35"/>
  <c r="E14" i="112" s="1"/>
  <c r="Q38" i="4"/>
  <c r="F34" i="112" s="1"/>
  <c r="M44" i="4"/>
  <c r="M46" i="4"/>
  <c r="O39" i="4"/>
  <c r="E10" i="33"/>
  <c r="E33" i="112" s="1"/>
  <c r="N44" i="4"/>
  <c r="Q41" i="4"/>
  <c r="F42" i="112" s="1"/>
  <c r="E25" i="45"/>
  <c r="E21" i="45"/>
  <c r="E20" i="45"/>
  <c r="E16" i="45"/>
  <c r="C16" i="45"/>
  <c r="E24" i="45"/>
  <c r="E23" i="45"/>
  <c r="E17" i="45"/>
  <c r="E15" i="45"/>
  <c r="C15" i="45"/>
  <c r="E22" i="45"/>
  <c r="B45" i="109"/>
  <c r="B49" i="109" s="1"/>
  <c r="E20" i="29"/>
  <c r="H19" i="40"/>
  <c r="E19" i="40"/>
  <c r="C19" i="40"/>
  <c r="I19" i="40"/>
  <c r="B52" i="66"/>
  <c r="C38" i="38"/>
  <c r="E38" i="38"/>
  <c r="H38" i="38"/>
  <c r="I38" i="38"/>
  <c r="I44" i="14"/>
  <c r="I33" i="36"/>
  <c r="I33" i="19"/>
  <c r="I35" i="38"/>
  <c r="I37" i="22"/>
  <c r="I40" i="18"/>
  <c r="I36" i="41"/>
  <c r="C33" i="36"/>
  <c r="C33" i="19"/>
  <c r="C35" i="38"/>
  <c r="C40" i="18"/>
  <c r="C36" i="41"/>
  <c r="E33" i="36"/>
  <c r="E37" i="22"/>
  <c r="E36" i="41"/>
  <c r="H33" i="19"/>
  <c r="H37" i="22"/>
  <c r="C44" i="14"/>
  <c r="C37" i="22"/>
  <c r="E35" i="38"/>
  <c r="E44" i="14"/>
  <c r="E33" i="19"/>
  <c r="E40" i="18"/>
  <c r="H40" i="18"/>
  <c r="H44" i="14"/>
  <c r="H33" i="36"/>
  <c r="H35" i="38"/>
  <c r="H36" i="41"/>
  <c r="E37" i="16"/>
  <c r="I37" i="16"/>
  <c r="C36" i="16"/>
  <c r="H36" i="16"/>
  <c r="E38" i="37"/>
  <c r="C37" i="16"/>
  <c r="H37" i="16"/>
  <c r="C38" i="37"/>
  <c r="E36" i="16"/>
  <c r="I36" i="16"/>
  <c r="H38" i="37"/>
  <c r="I38" i="37"/>
  <c r="H33" i="29"/>
  <c r="E33" i="29"/>
  <c r="C33" i="29"/>
  <c r="I33" i="29"/>
  <c r="E32" i="37"/>
  <c r="E31" i="20"/>
  <c r="G31" i="20" s="1"/>
  <c r="I31" i="20"/>
  <c r="H31" i="20"/>
  <c r="G51" i="30"/>
  <c r="H51" i="30"/>
  <c r="N44" i="117" s="1"/>
  <c r="H75" i="14"/>
  <c r="I68" i="14"/>
  <c r="H56" i="14"/>
  <c r="G58" i="14"/>
  <c r="I47" i="39"/>
  <c r="H56" i="23"/>
  <c r="G53" i="23"/>
  <c r="I57" i="8"/>
  <c r="I50" i="8"/>
  <c r="H54" i="16"/>
  <c r="I49" i="16"/>
  <c r="I50" i="25"/>
  <c r="G46" i="25"/>
  <c r="I46" i="38"/>
  <c r="I54" i="21"/>
  <c r="I74" i="14"/>
  <c r="H68" i="14"/>
  <c r="H55" i="14"/>
  <c r="I54" i="39"/>
  <c r="I46" i="39"/>
  <c r="H55" i="23"/>
  <c r="I51" i="23"/>
  <c r="I56" i="8"/>
  <c r="H51" i="8"/>
  <c r="H53" i="16"/>
  <c r="I48" i="16"/>
  <c r="I48" i="25"/>
  <c r="G45" i="25"/>
  <c r="I45" i="38"/>
  <c r="I53" i="21"/>
  <c r="G73" i="14"/>
  <c r="H66" i="14"/>
  <c r="H60" i="14"/>
  <c r="H52" i="39"/>
  <c r="H45" i="39"/>
  <c r="I56" i="23"/>
  <c r="I47" i="23"/>
  <c r="G57" i="8"/>
  <c r="I47" i="8"/>
  <c r="I53" i="16"/>
  <c r="H47" i="16"/>
  <c r="I47" i="25"/>
  <c r="H52" i="38"/>
  <c r="G46" i="38"/>
  <c r="G54" i="21"/>
  <c r="I83" i="14"/>
  <c r="I72" i="14"/>
  <c r="H65" i="14"/>
  <c r="G60" i="14"/>
  <c r="G54" i="39"/>
  <c r="G49" i="39"/>
  <c r="I55" i="23"/>
  <c r="H49" i="23"/>
  <c r="G56" i="8"/>
  <c r="I46" i="8"/>
  <c r="I52" i="16"/>
  <c r="H46" i="16"/>
  <c r="H47" i="25"/>
  <c r="G53" i="38"/>
  <c r="G45" i="38"/>
  <c r="G53" i="21"/>
  <c r="H73" i="14"/>
  <c r="I65" i="14"/>
  <c r="G55" i="14"/>
  <c r="H54" i="39"/>
  <c r="H47" i="39"/>
  <c r="I58" i="23"/>
  <c r="I49" i="23"/>
  <c r="H56" i="8"/>
  <c r="G50" i="8"/>
  <c r="I55" i="16"/>
  <c r="H49" i="16"/>
  <c r="G50" i="25"/>
  <c r="I52" i="38"/>
  <c r="H45" i="38"/>
  <c r="G56" i="21"/>
  <c r="G74" i="14"/>
  <c r="I64" i="14"/>
  <c r="I60" i="14"/>
  <c r="H53" i="39"/>
  <c r="H46" i="39"/>
  <c r="I57" i="23"/>
  <c r="I48" i="23"/>
  <c r="H55" i="8"/>
  <c r="I48" i="8"/>
  <c r="I54" i="16"/>
  <c r="H48" i="16"/>
  <c r="G49" i="25"/>
  <c r="H53" i="38"/>
  <c r="G47" i="38"/>
  <c r="G55" i="21"/>
  <c r="H83" i="14"/>
  <c r="H71" i="14"/>
  <c r="G65" i="14"/>
  <c r="H62" i="14"/>
  <c r="I50" i="39"/>
  <c r="G46" i="39"/>
  <c r="G59" i="23"/>
  <c r="G49" i="23"/>
  <c r="H54" i="8"/>
  <c r="H46" i="8"/>
  <c r="G54" i="16"/>
  <c r="G47" i="16"/>
  <c r="I46" i="25"/>
  <c r="I49" i="38"/>
  <c r="H54" i="21"/>
  <c r="H82" i="14"/>
  <c r="G72" i="14"/>
  <c r="G64" i="14"/>
  <c r="H61" i="14"/>
  <c r="H50" i="39"/>
  <c r="I44" i="39"/>
  <c r="G58" i="23"/>
  <c r="G48" i="23"/>
  <c r="G54" i="8"/>
  <c r="G48" i="8"/>
  <c r="G53" i="16"/>
  <c r="G46" i="16"/>
  <c r="I45" i="25"/>
  <c r="H50" i="38"/>
  <c r="H53" i="21"/>
  <c r="I82" i="14"/>
  <c r="I71" i="14"/>
  <c r="H64" i="14"/>
  <c r="I62" i="14"/>
  <c r="G53" i="39"/>
  <c r="G48" i="39"/>
  <c r="I54" i="23"/>
  <c r="H48" i="23"/>
  <c r="G55" i="8"/>
  <c r="H48" i="8"/>
  <c r="G56" i="16"/>
  <c r="G49" i="16"/>
  <c r="G47" i="25"/>
  <c r="G52" i="38"/>
  <c r="H56" i="21"/>
  <c r="G52" i="21"/>
  <c r="I81" i="14"/>
  <c r="H72" i="14"/>
  <c r="G66" i="14"/>
  <c r="I61" i="14"/>
  <c r="G52" i="39"/>
  <c r="G47" i="39"/>
  <c r="I53" i="23"/>
  <c r="H47" i="23"/>
  <c r="I54" i="8"/>
  <c r="H47" i="8"/>
  <c r="G55" i="16"/>
  <c r="G48" i="16"/>
  <c r="I43" i="25"/>
  <c r="I50" i="38"/>
  <c r="H55" i="21"/>
  <c r="G51" i="21"/>
  <c r="G82" i="14"/>
  <c r="H69" i="14"/>
  <c r="I55" i="14"/>
  <c r="I58" i="14"/>
  <c r="I49" i="39"/>
  <c r="H58" i="23"/>
  <c r="G55" i="23"/>
  <c r="H52" i="23"/>
  <c r="G52" i="8"/>
  <c r="H56" i="16"/>
  <c r="H51" i="16"/>
  <c r="H49" i="25"/>
  <c r="H45" i="25"/>
  <c r="G49" i="38"/>
  <c r="I56" i="21"/>
  <c r="G81" i="14"/>
  <c r="G69" i="14"/>
  <c r="H57" i="14"/>
  <c r="H58" i="14"/>
  <c r="I48" i="39"/>
  <c r="H57" i="23"/>
  <c r="G54" i="23"/>
  <c r="G52" i="23"/>
  <c r="I51" i="8"/>
  <c r="H55" i="16"/>
  <c r="G51" i="16"/>
  <c r="I51" i="25"/>
  <c r="H44" i="25"/>
  <c r="I47" i="38"/>
  <c r="I55" i="21"/>
  <c r="H81" i="14"/>
  <c r="G71" i="14"/>
  <c r="I57" i="14"/>
  <c r="G62" i="14"/>
  <c r="G50" i="39"/>
  <c r="H44" i="39"/>
  <c r="G57" i="23"/>
  <c r="G47" i="23"/>
  <c r="I52" i="8"/>
  <c r="G47" i="8"/>
  <c r="G52" i="16"/>
  <c r="H51" i="25"/>
  <c r="I44" i="25"/>
  <c r="H49" i="38"/>
  <c r="H52" i="21"/>
  <c r="G83" i="14"/>
  <c r="I69" i="14"/>
  <c r="I56" i="14"/>
  <c r="G61" i="14"/>
  <c r="I51" i="39"/>
  <c r="G44" i="39"/>
  <c r="G56" i="23"/>
  <c r="I52" i="23"/>
  <c r="H52" i="8"/>
  <c r="G46" i="8"/>
  <c r="I51" i="16"/>
  <c r="H50" i="25"/>
  <c r="H46" i="25"/>
  <c r="G50" i="38"/>
  <c r="H51" i="21"/>
  <c r="I73" i="14"/>
  <c r="G68" i="14"/>
  <c r="G57" i="14"/>
  <c r="I53" i="39"/>
  <c r="H49" i="39"/>
  <c r="H54" i="23"/>
  <c r="H51" i="23"/>
  <c r="I55" i="8"/>
  <c r="H50" i="8"/>
  <c r="H52" i="16"/>
  <c r="I47" i="16"/>
  <c r="I49" i="25"/>
  <c r="G44" i="25"/>
  <c r="H47" i="38"/>
  <c r="I52" i="21"/>
  <c r="H74" i="14"/>
  <c r="I66" i="14"/>
  <c r="G56" i="14"/>
  <c r="I52" i="39"/>
  <c r="H48" i="39"/>
  <c r="H53" i="23"/>
  <c r="G51" i="23"/>
  <c r="H57" i="8"/>
  <c r="G51" i="8"/>
  <c r="I56" i="16"/>
  <c r="I46" i="16"/>
  <c r="G51" i="25"/>
  <c r="I53" i="38"/>
  <c r="H46" i="38"/>
  <c r="I51" i="21"/>
  <c r="H46" i="26"/>
  <c r="H58" i="26" s="1"/>
  <c r="N77" i="117" s="1"/>
  <c r="I46" i="28"/>
  <c r="I42" i="33"/>
  <c r="G47" i="27"/>
  <c r="H43" i="27"/>
  <c r="H47" i="32"/>
  <c r="I42" i="32"/>
  <c r="H48" i="34"/>
  <c r="I45" i="34"/>
  <c r="I52" i="29"/>
  <c r="H42" i="36"/>
  <c r="I46" i="19"/>
  <c r="H46" i="28"/>
  <c r="H56" i="28" s="1"/>
  <c r="N372" i="117" s="1"/>
  <c r="H42" i="33"/>
  <c r="G43" i="27"/>
  <c r="G47" i="32"/>
  <c r="H42" i="32"/>
  <c r="G48" i="34"/>
  <c r="H45" i="34"/>
  <c r="G42" i="36"/>
  <c r="G50" i="36" s="1"/>
  <c r="I47" i="17"/>
  <c r="H46" i="19"/>
  <c r="I42" i="19"/>
  <c r="G46" i="28"/>
  <c r="G42" i="33"/>
  <c r="I47" i="27"/>
  <c r="G42" i="32"/>
  <c r="G45" i="34"/>
  <c r="I47" i="29"/>
  <c r="I51" i="17"/>
  <c r="H47" i="17"/>
  <c r="G46" i="19"/>
  <c r="H47" i="27"/>
  <c r="I43" i="27"/>
  <c r="I47" i="32"/>
  <c r="I48" i="34"/>
  <c r="I42" i="34"/>
  <c r="H47" i="29"/>
  <c r="I42" i="36"/>
  <c r="H51" i="17"/>
  <c r="G47" i="17"/>
  <c r="G42" i="19"/>
  <c r="I75" i="14"/>
  <c r="G63" i="14"/>
  <c r="I59" i="14"/>
  <c r="G54" i="14"/>
  <c r="G45" i="39"/>
  <c r="I60" i="23"/>
  <c r="H59" i="23"/>
  <c r="I46" i="23"/>
  <c r="I53" i="8"/>
  <c r="I45" i="8"/>
  <c r="I45" i="16"/>
  <c r="G48" i="25"/>
  <c r="H42" i="19"/>
  <c r="I70" i="14"/>
  <c r="I67" i="14"/>
  <c r="H59" i="14"/>
  <c r="H51" i="39"/>
  <c r="H60" i="23"/>
  <c r="I50" i="23"/>
  <c r="H46" i="23"/>
  <c r="H53" i="8"/>
  <c r="I49" i="8"/>
  <c r="H45" i="8"/>
  <c r="I50" i="16"/>
  <c r="H45" i="16"/>
  <c r="H43" i="25"/>
  <c r="G75" i="14"/>
  <c r="H70" i="14"/>
  <c r="H67" i="14"/>
  <c r="I63" i="14"/>
  <c r="G59" i="14"/>
  <c r="I54" i="14"/>
  <c r="G51" i="39"/>
  <c r="I45" i="39"/>
  <c r="G60" i="23"/>
  <c r="H50" i="23"/>
  <c r="G46" i="23"/>
  <c r="G53" i="8"/>
  <c r="H49" i="8"/>
  <c r="G45" i="8"/>
  <c r="H50" i="16"/>
  <c r="G45" i="16"/>
  <c r="G43" i="25"/>
  <c r="G70" i="14"/>
  <c r="G67" i="14"/>
  <c r="H63" i="14"/>
  <c r="H54" i="14"/>
  <c r="I59" i="23"/>
  <c r="G50" i="23"/>
  <c r="G49" i="8"/>
  <c r="G50" i="16"/>
  <c r="H48" i="25"/>
  <c r="G48" i="38"/>
  <c r="H50" i="21"/>
  <c r="G60" i="22"/>
  <c r="I52" i="22"/>
  <c r="I46" i="22"/>
  <c r="I51" i="38"/>
  <c r="I44" i="38"/>
  <c r="G50" i="21"/>
  <c r="H52" i="22"/>
  <c r="I50" i="22"/>
  <c r="H46" i="22"/>
  <c r="H51" i="38"/>
  <c r="I48" i="38"/>
  <c r="H44" i="38"/>
  <c r="I46" i="21"/>
  <c r="I60" i="22"/>
  <c r="G52" i="22"/>
  <c r="H50" i="22"/>
  <c r="G46" i="22"/>
  <c r="G51" i="38"/>
  <c r="H48" i="38"/>
  <c r="G44" i="38"/>
  <c r="I50" i="21"/>
  <c r="H46" i="21"/>
  <c r="H60" i="22"/>
  <c r="G50" i="22"/>
  <c r="I46" i="26"/>
  <c r="O93" i="1"/>
  <c r="O719" i="1" s="1"/>
  <c r="C25" i="45"/>
  <c r="C21" i="45"/>
  <c r="E31" i="43"/>
  <c r="E27" i="43"/>
  <c r="E21" i="43"/>
  <c r="C30" i="43"/>
  <c r="C26" i="43"/>
  <c r="C20" i="43"/>
  <c r="C17" i="43"/>
  <c r="C24" i="45"/>
  <c r="C20" i="45"/>
  <c r="E30" i="43"/>
  <c r="E26" i="43"/>
  <c r="E20" i="43"/>
  <c r="E17" i="43"/>
  <c r="C29" i="43"/>
  <c r="C25" i="43"/>
  <c r="C19" i="43"/>
  <c r="C16" i="43"/>
  <c r="E26" i="45"/>
  <c r="C23" i="45"/>
  <c r="C17" i="45"/>
  <c r="E29" i="43"/>
  <c r="E25" i="43"/>
  <c r="E19" i="43"/>
  <c r="E16" i="43"/>
  <c r="C28" i="43"/>
  <c r="C22" i="43"/>
  <c r="C18" i="43"/>
  <c r="C26" i="45"/>
  <c r="C22" i="45"/>
  <c r="E28" i="43"/>
  <c r="E22" i="43"/>
  <c r="E18" i="43"/>
  <c r="C31" i="43"/>
  <c r="C27" i="43"/>
  <c r="G27" i="43" s="1"/>
  <c r="C21" i="43"/>
  <c r="C40" i="28"/>
  <c r="C23" i="28"/>
  <c r="C19" i="28"/>
  <c r="E23" i="33"/>
  <c r="E19" i="33"/>
  <c r="C22" i="33"/>
  <c r="C18" i="33"/>
  <c r="C20" i="27"/>
  <c r="E18" i="27"/>
  <c r="E37" i="27"/>
  <c r="E33" i="27"/>
  <c r="E29" i="27"/>
  <c r="C38" i="27"/>
  <c r="C36" i="32"/>
  <c r="E21" i="32"/>
  <c r="E17" i="32"/>
  <c r="C22" i="32"/>
  <c r="C37" i="34"/>
  <c r="C22" i="34"/>
  <c r="C18" i="34"/>
  <c r="C17" i="29"/>
  <c r="C20" i="29"/>
  <c r="E21" i="29"/>
  <c r="E17" i="29"/>
  <c r="C24" i="29"/>
  <c r="C37" i="36"/>
  <c r="E21" i="36"/>
  <c r="E17" i="36"/>
  <c r="C21" i="36"/>
  <c r="C17" i="36"/>
  <c r="C21" i="17"/>
  <c r="C42" i="17"/>
  <c r="C24" i="19"/>
  <c r="C20" i="19"/>
  <c r="C48" i="14"/>
  <c r="C32" i="14"/>
  <c r="C28" i="14"/>
  <c r="C21" i="14"/>
  <c r="C23" i="39"/>
  <c r="C19" i="39"/>
  <c r="C33" i="14"/>
  <c r="C39" i="28"/>
  <c r="C22" i="28"/>
  <c r="C18" i="28"/>
  <c r="E22" i="33"/>
  <c r="E18" i="33"/>
  <c r="C21" i="33"/>
  <c r="C23" i="27"/>
  <c r="E22" i="27"/>
  <c r="E17" i="27"/>
  <c r="E36" i="27"/>
  <c r="E32" i="27"/>
  <c r="E28" i="27"/>
  <c r="C37" i="27"/>
  <c r="C19" i="27"/>
  <c r="E24" i="32"/>
  <c r="E20" i="32"/>
  <c r="E16" i="32"/>
  <c r="C20" i="32"/>
  <c r="C36" i="34"/>
  <c r="C21" i="34"/>
  <c r="C17" i="34"/>
  <c r="E24" i="29"/>
  <c r="E16" i="29"/>
  <c r="C23" i="29"/>
  <c r="C36" i="36"/>
  <c r="E20" i="36"/>
  <c r="E16" i="36"/>
  <c r="C20" i="36"/>
  <c r="C25" i="17"/>
  <c r="C20" i="17"/>
  <c r="C41" i="17"/>
  <c r="C23" i="19"/>
  <c r="C19" i="19"/>
  <c r="C47" i="14"/>
  <c r="C31" i="14"/>
  <c r="E16" i="14"/>
  <c r="C20" i="14"/>
  <c r="C22" i="39"/>
  <c r="C18" i="39"/>
  <c r="C22" i="14"/>
  <c r="C21" i="28"/>
  <c r="C37" i="33"/>
  <c r="E21" i="33"/>
  <c r="E17" i="33"/>
  <c r="C20" i="33"/>
  <c r="C22" i="27"/>
  <c r="E23" i="27"/>
  <c r="E20" i="27"/>
  <c r="E16" i="27"/>
  <c r="E35" i="27"/>
  <c r="E31" i="27"/>
  <c r="E27" i="27"/>
  <c r="C36" i="27"/>
  <c r="C18" i="27"/>
  <c r="E23" i="32"/>
  <c r="E19" i="32"/>
  <c r="C24" i="32"/>
  <c r="C19" i="32"/>
  <c r="C24" i="34"/>
  <c r="C20" i="34"/>
  <c r="C42" i="29"/>
  <c r="E23" i="29"/>
  <c r="E19" i="29"/>
  <c r="C19" i="29"/>
  <c r="E23" i="36"/>
  <c r="E19" i="36"/>
  <c r="C23" i="36"/>
  <c r="C19" i="36"/>
  <c r="C24" i="17"/>
  <c r="C19" i="17"/>
  <c r="C37" i="19"/>
  <c r="C22" i="19"/>
  <c r="C18" i="19"/>
  <c r="C34" i="14"/>
  <c r="C30" i="14"/>
  <c r="C23" i="14"/>
  <c r="C19" i="14"/>
  <c r="C21" i="39"/>
  <c r="C41" i="29"/>
  <c r="E22" i="29"/>
  <c r="E18" i="29"/>
  <c r="C25" i="29"/>
  <c r="C18" i="29"/>
  <c r="E18" i="36"/>
  <c r="C22" i="36"/>
  <c r="C23" i="17"/>
  <c r="C36" i="19"/>
  <c r="C49" i="14"/>
  <c r="C29" i="14"/>
  <c r="C20" i="39"/>
  <c r="C41" i="28"/>
  <c r="C20" i="28"/>
  <c r="C36" i="33"/>
  <c r="E20" i="33"/>
  <c r="C23" i="33"/>
  <c r="C19" i="33"/>
  <c r="C21" i="27"/>
  <c r="E21" i="27"/>
  <c r="E19" i="27"/>
  <c r="E38" i="27"/>
  <c r="E34" i="27"/>
  <c r="E30" i="27"/>
  <c r="E26" i="27"/>
  <c r="C37" i="32"/>
  <c r="E22" i="32"/>
  <c r="E18" i="32"/>
  <c r="C23" i="32"/>
  <c r="G23" i="32" s="1"/>
  <c r="C18" i="32"/>
  <c r="C23" i="34"/>
  <c r="C19" i="34"/>
  <c r="E22" i="36"/>
  <c r="C18" i="36"/>
  <c r="C18" i="17"/>
  <c r="C21" i="19"/>
  <c r="C18" i="14"/>
  <c r="C16" i="29"/>
  <c r="E23" i="23"/>
  <c r="E19" i="23"/>
  <c r="C21" i="23"/>
  <c r="E21" i="8"/>
  <c r="E17" i="8"/>
  <c r="C22" i="8"/>
  <c r="C18" i="8"/>
  <c r="E22" i="23"/>
  <c r="E18" i="23"/>
  <c r="C24" i="23"/>
  <c r="C20" i="23"/>
  <c r="E24" i="8"/>
  <c r="E20" i="8"/>
  <c r="E16" i="8"/>
  <c r="C21" i="8"/>
  <c r="E21" i="23"/>
  <c r="E17" i="23"/>
  <c r="C41" i="23"/>
  <c r="C23" i="23"/>
  <c r="C19" i="23"/>
  <c r="C40" i="8"/>
  <c r="E23" i="8"/>
  <c r="E19" i="8"/>
  <c r="C24" i="8"/>
  <c r="C20" i="8"/>
  <c r="G20" i="8" s="1"/>
  <c r="E24" i="23"/>
  <c r="E20" i="23"/>
  <c r="E16" i="23"/>
  <c r="C40" i="23"/>
  <c r="C22" i="23"/>
  <c r="C18" i="23"/>
  <c r="C39" i="8"/>
  <c r="E22" i="8"/>
  <c r="E18" i="8"/>
  <c r="C23" i="8"/>
  <c r="C19" i="8"/>
  <c r="E22" i="16"/>
  <c r="E38" i="16"/>
  <c r="E33" i="16"/>
  <c r="E29" i="16"/>
  <c r="E23" i="16"/>
  <c r="E19" i="16"/>
  <c r="C32" i="16"/>
  <c r="C28" i="16"/>
  <c r="C22" i="16"/>
  <c r="C18" i="16"/>
  <c r="C20" i="25"/>
  <c r="C18" i="25"/>
  <c r="C21" i="38"/>
  <c r="C41" i="21"/>
  <c r="C22" i="21"/>
  <c r="C18" i="21"/>
  <c r="C24" i="22"/>
  <c r="C18" i="22"/>
  <c r="E22" i="15"/>
  <c r="E18" i="15"/>
  <c r="C22" i="15"/>
  <c r="C18" i="15"/>
  <c r="C21" i="16"/>
  <c r="E16" i="25"/>
  <c r="C21" i="21"/>
  <c r="E21" i="15"/>
  <c r="E32" i="16"/>
  <c r="E18" i="16"/>
  <c r="C27" i="16"/>
  <c r="E20" i="25"/>
  <c r="E16" i="21"/>
  <c r="E17" i="15"/>
  <c r="E40" i="16"/>
  <c r="E35" i="16"/>
  <c r="E31" i="16"/>
  <c r="E27" i="16"/>
  <c r="E21" i="16"/>
  <c r="E17" i="16"/>
  <c r="C39" i="16"/>
  <c r="C34" i="16"/>
  <c r="C30" i="16"/>
  <c r="C26" i="16"/>
  <c r="C20" i="16"/>
  <c r="C16" i="16"/>
  <c r="C24" i="25"/>
  <c r="C23" i="38"/>
  <c r="C19" i="38"/>
  <c r="C24" i="21"/>
  <c r="C20" i="21"/>
  <c r="C41" i="22"/>
  <c r="C20" i="22"/>
  <c r="C35" i="15"/>
  <c r="E20" i="15"/>
  <c r="E16" i="15"/>
  <c r="C20" i="15"/>
  <c r="C35" i="16"/>
  <c r="C20" i="38"/>
  <c r="C21" i="22"/>
  <c r="E39" i="16"/>
  <c r="E34" i="16"/>
  <c r="E30" i="16"/>
  <c r="E26" i="16"/>
  <c r="E20" i="16"/>
  <c r="E16" i="16"/>
  <c r="C38" i="16"/>
  <c r="C33" i="16"/>
  <c r="C29" i="16"/>
  <c r="C23" i="16"/>
  <c r="C19" i="16"/>
  <c r="C38" i="25"/>
  <c r="C19" i="25"/>
  <c r="C22" i="38"/>
  <c r="C18" i="38"/>
  <c r="C23" i="21"/>
  <c r="C19" i="21"/>
  <c r="C40" i="22"/>
  <c r="C19" i="22"/>
  <c r="E23" i="15"/>
  <c r="E19" i="15"/>
  <c r="C23" i="15"/>
  <c r="C19" i="15"/>
  <c r="E28" i="16"/>
  <c r="C40" i="16"/>
  <c r="C31" i="16"/>
  <c r="C17" i="16"/>
  <c r="C40" i="21"/>
  <c r="E16" i="22"/>
  <c r="C21" i="15"/>
  <c r="E23" i="18"/>
  <c r="E19" i="18"/>
  <c r="C23" i="18"/>
  <c r="C19" i="18"/>
  <c r="C43" i="35"/>
  <c r="C20" i="35"/>
  <c r="E21" i="31"/>
  <c r="E17" i="31"/>
  <c r="C21" i="31"/>
  <c r="C17" i="31"/>
  <c r="E22" i="18"/>
  <c r="E18" i="18"/>
  <c r="C22" i="18"/>
  <c r="C18" i="18"/>
  <c r="E16" i="35"/>
  <c r="C24" i="35"/>
  <c r="C19" i="35"/>
  <c r="E20" i="31"/>
  <c r="E16" i="31"/>
  <c r="C20" i="31"/>
  <c r="C16" i="31"/>
  <c r="C44" i="18"/>
  <c r="E21" i="18"/>
  <c r="E17" i="18"/>
  <c r="C21" i="18"/>
  <c r="C22" i="35"/>
  <c r="C18" i="35"/>
  <c r="E19" i="31"/>
  <c r="C23" i="31"/>
  <c r="C19" i="31"/>
  <c r="C43" i="18"/>
  <c r="E20" i="18"/>
  <c r="E16" i="18"/>
  <c r="C20" i="18"/>
  <c r="C21" i="35"/>
  <c r="E22" i="31"/>
  <c r="E18" i="31"/>
  <c r="C22" i="31"/>
  <c r="C18" i="31"/>
  <c r="C26" i="31"/>
  <c r="C30" i="31"/>
  <c r="C34" i="31"/>
  <c r="C38" i="31"/>
  <c r="E28" i="31"/>
  <c r="E32" i="31"/>
  <c r="E36" i="31"/>
  <c r="C27" i="31"/>
  <c r="C31" i="31"/>
  <c r="C35" i="31"/>
  <c r="E29" i="31"/>
  <c r="E33" i="31"/>
  <c r="E37" i="31"/>
  <c r="C28" i="31"/>
  <c r="C32" i="31"/>
  <c r="C36" i="31"/>
  <c r="E26" i="31"/>
  <c r="E30" i="31"/>
  <c r="E34" i="31"/>
  <c r="E38" i="31"/>
  <c r="C29" i="31"/>
  <c r="C33" i="31"/>
  <c r="C37" i="31"/>
  <c r="E27" i="31"/>
  <c r="E31" i="31"/>
  <c r="E35" i="31"/>
  <c r="E23" i="31"/>
  <c r="E22" i="41"/>
  <c r="E18" i="41"/>
  <c r="C23" i="41"/>
  <c r="C19" i="41"/>
  <c r="C40" i="26"/>
  <c r="C36" i="26"/>
  <c r="C32" i="26"/>
  <c r="C28" i="26"/>
  <c r="E23" i="26"/>
  <c r="E19" i="26"/>
  <c r="C23" i="26"/>
  <c r="C19" i="26"/>
  <c r="E21" i="41"/>
  <c r="E17" i="41"/>
  <c r="C22" i="41"/>
  <c r="C18" i="41"/>
  <c r="E16" i="26"/>
  <c r="C39" i="26"/>
  <c r="C35" i="26"/>
  <c r="C31" i="26"/>
  <c r="C27" i="26"/>
  <c r="E22" i="26"/>
  <c r="E18" i="26"/>
  <c r="C22" i="26"/>
  <c r="C18" i="26"/>
  <c r="E24" i="41"/>
  <c r="E20" i="41"/>
  <c r="E16" i="41"/>
  <c r="C21" i="41"/>
  <c r="G21" i="41" s="1"/>
  <c r="C38" i="26"/>
  <c r="C34" i="26"/>
  <c r="C30" i="26"/>
  <c r="E21" i="26"/>
  <c r="E17" i="26"/>
  <c r="C21" i="26"/>
  <c r="E23" i="41"/>
  <c r="E19" i="41"/>
  <c r="C24" i="41"/>
  <c r="C20" i="41"/>
  <c r="C41" i="26"/>
  <c r="C37" i="26"/>
  <c r="C33" i="26"/>
  <c r="C29" i="26"/>
  <c r="E41" i="26"/>
  <c r="E24" i="26"/>
  <c r="E20" i="26"/>
  <c r="C24" i="26"/>
  <c r="C20" i="26"/>
  <c r="G10" i="30"/>
  <c r="G8" i="112" s="1"/>
  <c r="C38" i="24"/>
  <c r="E22" i="24"/>
  <c r="C24" i="24"/>
  <c r="C20" i="24"/>
  <c r="C19" i="24"/>
  <c r="E21" i="24"/>
  <c r="C23" i="24"/>
  <c r="E24" i="24"/>
  <c r="E20" i="24"/>
  <c r="C22" i="24"/>
  <c r="C18" i="24"/>
  <c r="E38" i="24"/>
  <c r="E23" i="24"/>
  <c r="E19" i="24"/>
  <c r="C21" i="24"/>
  <c r="C17" i="24"/>
  <c r="C36" i="42"/>
  <c r="E20" i="42"/>
  <c r="E16" i="42"/>
  <c r="C20" i="42"/>
  <c r="C16" i="42"/>
  <c r="E33" i="42"/>
  <c r="E29" i="42"/>
  <c r="C35" i="42"/>
  <c r="C31" i="42"/>
  <c r="C27" i="42"/>
  <c r="E23" i="42"/>
  <c r="E19" i="42"/>
  <c r="C23" i="42"/>
  <c r="C19" i="42"/>
  <c r="E32" i="42"/>
  <c r="E28" i="42"/>
  <c r="C34" i="42"/>
  <c r="C30" i="42"/>
  <c r="C26" i="42"/>
  <c r="E22" i="42"/>
  <c r="E18" i="42"/>
  <c r="C22" i="42"/>
  <c r="C18" i="42"/>
  <c r="E35" i="42"/>
  <c r="E31" i="42"/>
  <c r="E27" i="42"/>
  <c r="C33" i="42"/>
  <c r="C29" i="42"/>
  <c r="E36" i="42"/>
  <c r="E21" i="42"/>
  <c r="E17" i="42"/>
  <c r="C21" i="42"/>
  <c r="C17" i="42"/>
  <c r="E34" i="42"/>
  <c r="E30" i="42"/>
  <c r="E26" i="42"/>
  <c r="C32" i="42"/>
  <c r="C28" i="42"/>
  <c r="H24" i="22"/>
  <c r="E16" i="20"/>
  <c r="E16" i="30"/>
  <c r="C30" i="30"/>
  <c r="C19" i="30"/>
  <c r="C16" i="30"/>
  <c r="C18" i="30"/>
  <c r="E23" i="30"/>
  <c r="E19" i="30"/>
  <c r="E30" i="30"/>
  <c r="C23" i="30"/>
  <c r="E18" i="30"/>
  <c r="G10" i="41"/>
  <c r="G12" i="112" s="1"/>
  <c r="H35" i="8"/>
  <c r="I471" i="1"/>
  <c r="H36" i="21" s="1"/>
  <c r="G10" i="21"/>
  <c r="G18" i="112" s="1"/>
  <c r="I322" i="1"/>
  <c r="H30" i="31" s="1"/>
  <c r="I327" i="1"/>
  <c r="H38" i="14" s="1"/>
  <c r="I360" i="1"/>
  <c r="I605" i="1"/>
  <c r="H38" i="40" s="1"/>
  <c r="I613" i="1"/>
  <c r="H36" i="31" s="1"/>
  <c r="H39" i="37"/>
  <c r="I449" i="1"/>
  <c r="I465" i="1"/>
  <c r="H34" i="41" s="1"/>
  <c r="H16" i="43"/>
  <c r="H40" i="23"/>
  <c r="H29" i="23"/>
  <c r="I326" i="1"/>
  <c r="H23" i="45" s="1"/>
  <c r="I334" i="1"/>
  <c r="H33" i="37" s="1"/>
  <c r="I338" i="1"/>
  <c r="H31" i="41" s="1"/>
  <c r="I343" i="1"/>
  <c r="H28" i="15" s="1"/>
  <c r="I347" i="1"/>
  <c r="H31" i="25" s="1"/>
  <c r="I351" i="1"/>
  <c r="H32" i="39" s="1"/>
  <c r="I357" i="1"/>
  <c r="H29" i="36" s="1"/>
  <c r="I362" i="1"/>
  <c r="H29" i="33" s="1"/>
  <c r="H31" i="24"/>
  <c r="I433" i="1"/>
  <c r="H32" i="24" s="1"/>
  <c r="I455" i="1"/>
  <c r="H31" i="27" s="1"/>
  <c r="I553" i="1"/>
  <c r="H38" i="35" s="1"/>
  <c r="I558" i="1"/>
  <c r="H36" i="23" s="1"/>
  <c r="H41" i="28"/>
  <c r="G10" i="43"/>
  <c r="H32" i="37"/>
  <c r="I306" i="1"/>
  <c r="H22" i="45" s="1"/>
  <c r="I439" i="1"/>
  <c r="I606" i="1"/>
  <c r="H38" i="20" s="1"/>
  <c r="I610" i="1"/>
  <c r="H36" i="24" s="1"/>
  <c r="I634" i="1"/>
  <c r="H38" i="28" s="1"/>
  <c r="H37" i="41"/>
  <c r="G42" i="112"/>
  <c r="H37" i="19"/>
  <c r="I133" i="1"/>
  <c r="C21" i="37"/>
  <c r="E21" i="37"/>
  <c r="H20" i="45"/>
  <c r="H27" i="14"/>
  <c r="H20" i="24"/>
  <c r="I353" i="1"/>
  <c r="H24" i="45" s="1"/>
  <c r="H36" i="18"/>
  <c r="H25" i="45"/>
  <c r="I621" i="1"/>
  <c r="H38" i="16" s="1"/>
  <c r="I625" i="1"/>
  <c r="H46" i="14" s="1"/>
  <c r="I626" i="1"/>
  <c r="H35" i="19" s="1"/>
  <c r="I629" i="1"/>
  <c r="H40" i="29" s="1"/>
  <c r="H26" i="31"/>
  <c r="H16" i="32"/>
  <c r="I324" i="1"/>
  <c r="H33" i="21" s="1"/>
  <c r="H22" i="37"/>
  <c r="I431" i="1"/>
  <c r="I441" i="1"/>
  <c r="I447" i="1"/>
  <c r="I457" i="1"/>
  <c r="H34" i="28" s="1"/>
  <c r="I463" i="1"/>
  <c r="H33" i="24" s="1"/>
  <c r="I473" i="1"/>
  <c r="H33" i="25" s="1"/>
  <c r="H23" i="22"/>
  <c r="I618" i="1"/>
  <c r="H39" i="21" s="1"/>
  <c r="I622" i="1"/>
  <c r="H38" i="8" s="1"/>
  <c r="H27" i="8"/>
  <c r="H16" i="16"/>
  <c r="I305" i="1"/>
  <c r="I307" i="1"/>
  <c r="H35" i="14" s="1"/>
  <c r="H37" i="14"/>
  <c r="H27" i="26"/>
  <c r="H33" i="17"/>
  <c r="H21" i="21"/>
  <c r="I333" i="1"/>
  <c r="H32" i="20" s="1"/>
  <c r="I337" i="1"/>
  <c r="H31" i="26" s="1"/>
  <c r="I341" i="1"/>
  <c r="H35" i="18" s="1"/>
  <c r="I346" i="1"/>
  <c r="H31" i="38" s="1"/>
  <c r="I350" i="1"/>
  <c r="H31" i="23" s="1"/>
  <c r="I356" i="1"/>
  <c r="H35" i="17" s="1"/>
  <c r="I361" i="1"/>
  <c r="H29" i="27" s="1"/>
  <c r="H35" i="29"/>
  <c r="H21" i="38"/>
  <c r="I435" i="1"/>
  <c r="H33" i="41" s="1"/>
  <c r="I443" i="1"/>
  <c r="I451" i="1"/>
  <c r="I459" i="1"/>
  <c r="H35" i="20" s="1"/>
  <c r="I467" i="1"/>
  <c r="H36" i="35" s="1"/>
  <c r="I614" i="1"/>
  <c r="H41" i="35" s="1"/>
  <c r="I630" i="1"/>
  <c r="H35" i="34" s="1"/>
  <c r="G10" i="15"/>
  <c r="G16" i="112" s="1"/>
  <c r="G10" i="32"/>
  <c r="G31" i="112" s="1"/>
  <c r="H34" i="35"/>
  <c r="H37" i="25"/>
  <c r="H40" i="8"/>
  <c r="H37" i="27"/>
  <c r="I228" i="1"/>
  <c r="I426" i="1"/>
  <c r="I555" i="1"/>
  <c r="G10" i="28"/>
  <c r="G34" i="112" s="1"/>
  <c r="H20" i="19"/>
  <c r="H21" i="24"/>
  <c r="I325" i="1"/>
  <c r="H31" i="16" s="1"/>
  <c r="I328" i="1"/>
  <c r="H32" i="28" s="1"/>
  <c r="I352" i="1"/>
  <c r="I429" i="1"/>
  <c r="H34" i="20" s="1"/>
  <c r="I437" i="1"/>
  <c r="H35" i="35" s="1"/>
  <c r="I445" i="1"/>
  <c r="I453" i="1"/>
  <c r="I461" i="1"/>
  <c r="H31" i="30" s="1"/>
  <c r="I469" i="1"/>
  <c r="H30" i="15" s="1"/>
  <c r="H22" i="28"/>
  <c r="I556" i="1"/>
  <c r="H35" i="16" s="1"/>
  <c r="I633" i="1"/>
  <c r="H35" i="33" s="1"/>
  <c r="H42" i="35"/>
  <c r="H38" i="39"/>
  <c r="H16" i="18"/>
  <c r="Z242" i="1"/>
  <c r="I323" i="1"/>
  <c r="H33" i="35" s="1"/>
  <c r="H27" i="43"/>
  <c r="E36" i="20"/>
  <c r="E18" i="20"/>
  <c r="C39" i="20"/>
  <c r="C22" i="20"/>
  <c r="E20" i="20"/>
  <c r="E39" i="20"/>
  <c r="E35" i="20"/>
  <c r="C35" i="20"/>
  <c r="C18" i="20"/>
  <c r="C29" i="20"/>
  <c r="C17" i="20"/>
  <c r="E38" i="20"/>
  <c r="E34" i="20"/>
  <c r="E29" i="20"/>
  <c r="C38" i="20"/>
  <c r="C34" i="20"/>
  <c r="C21" i="20"/>
  <c r="C23" i="20"/>
  <c r="C16" i="20"/>
  <c r="E37" i="20"/>
  <c r="E33" i="20"/>
  <c r="E28" i="20"/>
  <c r="C37" i="20"/>
  <c r="C33" i="20"/>
  <c r="C27" i="20"/>
  <c r="E23" i="20"/>
  <c r="E19" i="20"/>
  <c r="C20" i="20"/>
  <c r="E17" i="20"/>
  <c r="E40" i="20"/>
  <c r="E32" i="20"/>
  <c r="C40" i="20"/>
  <c r="C36" i="20"/>
  <c r="C32" i="20"/>
  <c r="C26" i="20"/>
  <c r="E22" i="20"/>
  <c r="C19" i="20"/>
  <c r="E30" i="20"/>
  <c r="C30" i="20"/>
  <c r="E21" i="20"/>
  <c r="C28" i="20"/>
  <c r="H16" i="42"/>
  <c r="H16" i="19"/>
  <c r="H30" i="20"/>
  <c r="H29" i="35"/>
  <c r="H31" i="8"/>
  <c r="H29" i="34"/>
  <c r="I221" i="1"/>
  <c r="H31" i="35" s="1"/>
  <c r="H20" i="18"/>
  <c r="I332" i="1"/>
  <c r="H30" i="40" s="1"/>
  <c r="I336" i="1"/>
  <c r="H30" i="24" s="1"/>
  <c r="I340" i="1"/>
  <c r="I345" i="1"/>
  <c r="H34" i="21" s="1"/>
  <c r="I349" i="1"/>
  <c r="H32" i="8" s="1"/>
  <c r="I355" i="1"/>
  <c r="I359" i="1"/>
  <c r="H30" i="34" s="1"/>
  <c r="I475" i="1"/>
  <c r="H34" i="8" s="1"/>
  <c r="H21" i="40"/>
  <c r="H39" i="14"/>
  <c r="I335" i="1"/>
  <c r="H28" i="42" s="1"/>
  <c r="I339" i="1"/>
  <c r="H31" i="31" s="1"/>
  <c r="I344" i="1"/>
  <c r="H33" i="22" s="1"/>
  <c r="I348" i="1"/>
  <c r="I354" i="1"/>
  <c r="H40" i="14" s="1"/>
  <c r="I358" i="1"/>
  <c r="H34" i="29" s="1"/>
  <c r="I477" i="1"/>
  <c r="H34" i="39" s="1"/>
  <c r="I478" i="1"/>
  <c r="H31" i="19" s="1"/>
  <c r="I480" i="1"/>
  <c r="H31" i="36" s="1"/>
  <c r="I482" i="1"/>
  <c r="H32" i="34" s="1"/>
  <c r="I484" i="1"/>
  <c r="H32" i="27" s="1"/>
  <c r="I486" i="1"/>
  <c r="H35" i="28" s="1"/>
  <c r="H22" i="30"/>
  <c r="H22" i="39"/>
  <c r="H33" i="18"/>
  <c r="I552" i="1"/>
  <c r="H36" i="26" s="1"/>
  <c r="I554" i="1"/>
  <c r="H39" i="18" s="1"/>
  <c r="I557" i="1"/>
  <c r="H36" i="8" s="1"/>
  <c r="H37" i="26"/>
  <c r="H24" i="24"/>
  <c r="H24" i="21"/>
  <c r="H39" i="28"/>
  <c r="H49" i="14"/>
  <c r="H37" i="34"/>
  <c r="H40" i="20"/>
  <c r="I45" i="1"/>
  <c r="I342" i="1"/>
  <c r="G10" i="18"/>
  <c r="G15" i="112" s="1"/>
  <c r="G10" i="8"/>
  <c r="G22" i="112" s="1"/>
  <c r="Z497" i="1"/>
  <c r="H39" i="41"/>
  <c r="G10" i="27"/>
  <c r="G32" i="112" s="1"/>
  <c r="I609" i="1"/>
  <c r="H34" i="42" s="1"/>
  <c r="I617" i="1"/>
  <c r="H39" i="22" s="1"/>
  <c r="H39" i="8"/>
  <c r="H36" i="32"/>
  <c r="H48" i="14"/>
  <c r="H41" i="23"/>
  <c r="H38" i="27"/>
  <c r="I427" i="1"/>
  <c r="G10" i="31"/>
  <c r="G13" i="112" s="1"/>
  <c r="G10" i="38"/>
  <c r="G19" i="112" s="1"/>
  <c r="G10" i="25"/>
  <c r="G20" i="112" s="1"/>
  <c r="G10" i="16"/>
  <c r="G21" i="112" s="1"/>
  <c r="I51" i="1"/>
  <c r="H17" i="37" s="1"/>
  <c r="I17" i="26"/>
  <c r="I55" i="1"/>
  <c r="H17" i="26" s="1"/>
  <c r="I71" i="1"/>
  <c r="H17" i="17" s="1"/>
  <c r="I117" i="1"/>
  <c r="H29" i="41" s="1"/>
  <c r="I29" i="25"/>
  <c r="I134" i="1"/>
  <c r="H29" i="25" s="1"/>
  <c r="I130" i="1"/>
  <c r="H31" i="17" s="1"/>
  <c r="I28" i="32"/>
  <c r="I21" i="45"/>
  <c r="H27" i="40"/>
  <c r="H26" i="36"/>
  <c r="H27" i="28"/>
  <c r="N47" i="1"/>
  <c r="I27" i="25" s="1"/>
  <c r="I47" i="1"/>
  <c r="H27" i="25" s="1"/>
  <c r="I16" i="16"/>
  <c r="I49" i="1"/>
  <c r="H17" i="40" s="1"/>
  <c r="I52" i="1"/>
  <c r="H17" i="30" s="1"/>
  <c r="I17" i="41"/>
  <c r="I56" i="1"/>
  <c r="H17" i="41" s="1"/>
  <c r="I60" i="1"/>
  <c r="H17" i="15" s="1"/>
  <c r="I17" i="25"/>
  <c r="I64" i="1"/>
  <c r="H17" i="25" s="1"/>
  <c r="I68" i="1"/>
  <c r="H17" i="39" s="1"/>
  <c r="I17" i="36"/>
  <c r="I72" i="1"/>
  <c r="H17" i="36" s="1"/>
  <c r="I76" i="1"/>
  <c r="H17" i="27" s="1"/>
  <c r="I28" i="40"/>
  <c r="I110" i="1"/>
  <c r="H28" i="40" s="1"/>
  <c r="I114" i="1"/>
  <c r="H26" i="42" s="1"/>
  <c r="I28" i="31"/>
  <c r="I118" i="1"/>
  <c r="H28" i="31" s="1"/>
  <c r="I122" i="1"/>
  <c r="H30" i="22" s="1"/>
  <c r="I28" i="16"/>
  <c r="I125" i="1"/>
  <c r="H28" i="16" s="1"/>
  <c r="I136" i="1"/>
  <c r="H31" i="14" s="1"/>
  <c r="I27" i="36"/>
  <c r="I131" i="1"/>
  <c r="H27" i="36" s="1"/>
  <c r="N146" i="1"/>
  <c r="I28" i="20" s="1"/>
  <c r="I146" i="1"/>
  <c r="H28" i="20" s="1"/>
  <c r="I32" i="17"/>
  <c r="H20" i="42"/>
  <c r="H30" i="26"/>
  <c r="C24" i="37"/>
  <c r="C28" i="37"/>
  <c r="E24" i="37"/>
  <c r="E20" i="37"/>
  <c r="E16" i="37"/>
  <c r="C37" i="37"/>
  <c r="C33" i="37"/>
  <c r="C29" i="37"/>
  <c r="C23" i="37"/>
  <c r="C18" i="37"/>
  <c r="C22" i="37"/>
  <c r="E23" i="37"/>
  <c r="E19" i="37"/>
  <c r="C41" i="37"/>
  <c r="C36" i="37"/>
  <c r="C32" i="37"/>
  <c r="C17" i="37"/>
  <c r="E22" i="37"/>
  <c r="E18" i="37"/>
  <c r="C40" i="37"/>
  <c r="C35" i="37"/>
  <c r="C31" i="37"/>
  <c r="C27" i="37"/>
  <c r="C20" i="37"/>
  <c r="C16" i="37"/>
  <c r="E17" i="37"/>
  <c r="C39" i="37"/>
  <c r="C34" i="37"/>
  <c r="C30" i="37"/>
  <c r="C19" i="37"/>
  <c r="C21" i="40"/>
  <c r="C36" i="40"/>
  <c r="C20" i="40"/>
  <c r="E18" i="40"/>
  <c r="E35" i="40"/>
  <c r="C18" i="40"/>
  <c r="E20" i="40"/>
  <c r="C35" i="40"/>
  <c r="I18" i="45"/>
  <c r="I31" i="43"/>
  <c r="I29" i="43"/>
  <c r="I28" i="43"/>
  <c r="I27" i="43"/>
  <c r="I26" i="43"/>
  <c r="I25" i="43"/>
  <c r="I24" i="43"/>
  <c r="I22" i="43"/>
  <c r="H21" i="43"/>
  <c r="H20" i="43"/>
  <c r="H19" i="43"/>
  <c r="I16" i="43"/>
  <c r="E41" i="28"/>
  <c r="I39" i="28"/>
  <c r="I38" i="28"/>
  <c r="I36" i="28"/>
  <c r="I35" i="28"/>
  <c r="I34" i="28"/>
  <c r="I33" i="28"/>
  <c r="I32" i="28"/>
  <c r="I31" i="28"/>
  <c r="I30" i="28"/>
  <c r="I27" i="28"/>
  <c r="I26" i="28"/>
  <c r="I25" i="28"/>
  <c r="I23" i="28"/>
  <c r="H20" i="28"/>
  <c r="E18" i="28"/>
  <c r="C17" i="28"/>
  <c r="C16" i="28"/>
  <c r="H18" i="45"/>
  <c r="H31" i="43"/>
  <c r="H29" i="43"/>
  <c r="H24" i="43"/>
  <c r="I17" i="43"/>
  <c r="I40" i="28"/>
  <c r="H36" i="28"/>
  <c r="H31" i="28"/>
  <c r="H30" i="28"/>
  <c r="H26" i="28"/>
  <c r="H25" i="28"/>
  <c r="E22" i="28"/>
  <c r="E21" i="28"/>
  <c r="E20" i="28"/>
  <c r="E19" i="28"/>
  <c r="I16" i="28"/>
  <c r="I25" i="45"/>
  <c r="I24" i="45"/>
  <c r="I23" i="45"/>
  <c r="I22" i="45"/>
  <c r="I20" i="45"/>
  <c r="I19" i="45"/>
  <c r="I17" i="45"/>
  <c r="I16" i="45"/>
  <c r="I15" i="45"/>
  <c r="I23" i="43"/>
  <c r="I18" i="43"/>
  <c r="I41" i="28"/>
  <c r="H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I24" i="28"/>
  <c r="H21" i="45"/>
  <c r="H19" i="45"/>
  <c r="H17" i="45"/>
  <c r="H16" i="45"/>
  <c r="H15" i="45"/>
  <c r="H23" i="43"/>
  <c r="I21" i="43"/>
  <c r="I20" i="43"/>
  <c r="I19" i="43"/>
  <c r="H18" i="43"/>
  <c r="E40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H24" i="28"/>
  <c r="I22" i="28"/>
  <c r="I21" i="28"/>
  <c r="I20" i="28"/>
  <c r="I19" i="28"/>
  <c r="E17" i="28"/>
  <c r="E16" i="28"/>
  <c r="E37" i="33"/>
  <c r="C35" i="33"/>
  <c r="C34" i="33"/>
  <c r="C33" i="33"/>
  <c r="C32" i="33"/>
  <c r="C31" i="33"/>
  <c r="I35" i="33"/>
  <c r="I33" i="33"/>
  <c r="E31" i="33"/>
  <c r="C30" i="33"/>
  <c r="C29" i="33"/>
  <c r="C28" i="33"/>
  <c r="C27" i="33"/>
  <c r="C26" i="33"/>
  <c r="H24" i="33"/>
  <c r="I22" i="33"/>
  <c r="I21" i="33"/>
  <c r="I20" i="33"/>
  <c r="I19" i="33"/>
  <c r="E16" i="33"/>
  <c r="C35" i="27"/>
  <c r="C34" i="27"/>
  <c r="C33" i="27"/>
  <c r="C32" i="27"/>
  <c r="C31" i="27"/>
  <c r="C30" i="27"/>
  <c r="C29" i="27"/>
  <c r="C28" i="27"/>
  <c r="C27" i="27"/>
  <c r="C26" i="27"/>
  <c r="H24" i="27"/>
  <c r="I22" i="27"/>
  <c r="I21" i="27"/>
  <c r="I20" i="27"/>
  <c r="I19" i="27"/>
  <c r="H33" i="32"/>
  <c r="H31" i="32"/>
  <c r="H30" i="32"/>
  <c r="H28" i="32"/>
  <c r="H26" i="32"/>
  <c r="I16" i="32"/>
  <c r="E36" i="34"/>
  <c r="E35" i="34"/>
  <c r="E34" i="34"/>
  <c r="E33" i="34"/>
  <c r="E32" i="34"/>
  <c r="E31" i="34"/>
  <c r="E30" i="34"/>
  <c r="E29" i="34"/>
  <c r="E28" i="34"/>
  <c r="E27" i="34"/>
  <c r="I25" i="34"/>
  <c r="E24" i="34"/>
  <c r="E23" i="28"/>
  <c r="H16" i="28"/>
  <c r="H37" i="33"/>
  <c r="E35" i="33"/>
  <c r="H33" i="33"/>
  <c r="E32" i="33"/>
  <c r="I30" i="33"/>
  <c r="I29" i="33"/>
  <c r="I28" i="33"/>
  <c r="I27" i="33"/>
  <c r="I25" i="33"/>
  <c r="I23" i="33"/>
  <c r="H22" i="33"/>
  <c r="H21" i="33"/>
  <c r="H20" i="33"/>
  <c r="C17" i="33"/>
  <c r="C16" i="33"/>
  <c r="I36" i="27"/>
  <c r="I35" i="27"/>
  <c r="I33" i="27"/>
  <c r="I32" i="27"/>
  <c r="I31" i="27"/>
  <c r="I30" i="27"/>
  <c r="I29" i="27"/>
  <c r="I28" i="27"/>
  <c r="I27" i="27"/>
  <c r="I26" i="27"/>
  <c r="I25" i="27"/>
  <c r="I23" i="27"/>
  <c r="H22" i="27"/>
  <c r="H20" i="27"/>
  <c r="C17" i="27"/>
  <c r="C16" i="27"/>
  <c r="H37" i="32"/>
  <c r="E36" i="32"/>
  <c r="E35" i="32"/>
  <c r="E34" i="32"/>
  <c r="E33" i="32"/>
  <c r="E32" i="32"/>
  <c r="E31" i="32"/>
  <c r="E30" i="32"/>
  <c r="E29" i="32"/>
  <c r="E28" i="32"/>
  <c r="E27" i="32"/>
  <c r="I25" i="32"/>
  <c r="C21" i="32"/>
  <c r="I18" i="32"/>
  <c r="E37" i="34"/>
  <c r="C35" i="34"/>
  <c r="C34" i="34"/>
  <c r="C33" i="34"/>
  <c r="C32" i="34"/>
  <c r="C31" i="34"/>
  <c r="C30" i="34"/>
  <c r="C29" i="34"/>
  <c r="C28" i="34"/>
  <c r="C27" i="34"/>
  <c r="H25" i="34"/>
  <c r="I23" i="34"/>
  <c r="I22" i="34"/>
  <c r="I36" i="33"/>
  <c r="E33" i="33"/>
  <c r="I31" i="33"/>
  <c r="H30" i="33"/>
  <c r="H27" i="33"/>
  <c r="H25" i="33"/>
  <c r="H23" i="33"/>
  <c r="I16" i="33"/>
  <c r="H36" i="27"/>
  <c r="H33" i="27"/>
  <c r="H27" i="27"/>
  <c r="H26" i="27"/>
  <c r="H25" i="27"/>
  <c r="H23" i="27"/>
  <c r="I17" i="27"/>
  <c r="I16" i="27"/>
  <c r="E37" i="32"/>
  <c r="C35" i="32"/>
  <c r="C34" i="32"/>
  <c r="C33" i="32"/>
  <c r="C32" i="32"/>
  <c r="C31" i="32"/>
  <c r="C30" i="32"/>
  <c r="C29" i="32"/>
  <c r="C28" i="32"/>
  <c r="C27" i="32"/>
  <c r="H25" i="32"/>
  <c r="I23" i="32"/>
  <c r="I22" i="32"/>
  <c r="I21" i="32"/>
  <c r="I20" i="32"/>
  <c r="I19" i="32"/>
  <c r="I36" i="34"/>
  <c r="I35" i="34"/>
  <c r="I33" i="34"/>
  <c r="I32" i="34"/>
  <c r="I31" i="34"/>
  <c r="I29" i="34"/>
  <c r="I18" i="28"/>
  <c r="E36" i="33"/>
  <c r="E34" i="33"/>
  <c r="I32" i="33"/>
  <c r="E30" i="33"/>
  <c r="E29" i="33"/>
  <c r="E28" i="33"/>
  <c r="E27" i="33"/>
  <c r="E26" i="33"/>
  <c r="I24" i="33"/>
  <c r="I18" i="33"/>
  <c r="H16" i="33"/>
  <c r="I24" i="27"/>
  <c r="I18" i="27"/>
  <c r="H16" i="27"/>
  <c r="I36" i="32"/>
  <c r="I35" i="32"/>
  <c r="I33" i="32"/>
  <c r="I32" i="32"/>
  <c r="I31" i="32"/>
  <c r="I30" i="32"/>
  <c r="I26" i="32"/>
  <c r="I24" i="32"/>
  <c r="H23" i="32"/>
  <c r="H22" i="32"/>
  <c r="H21" i="32"/>
  <c r="H20" i="32"/>
  <c r="C17" i="32"/>
  <c r="C16" i="32"/>
  <c r="I37" i="34"/>
  <c r="H36" i="34"/>
  <c r="H33" i="34"/>
  <c r="H26" i="34"/>
  <c r="E23" i="34"/>
  <c r="E22" i="34"/>
  <c r="E21" i="34"/>
  <c r="E20" i="34"/>
  <c r="I18" i="34"/>
  <c r="H16" i="34"/>
  <c r="I42" i="29"/>
  <c r="H23" i="34"/>
  <c r="I20" i="34"/>
  <c r="E19" i="34"/>
  <c r="E17" i="34"/>
  <c r="C16" i="34"/>
  <c r="H42" i="29"/>
  <c r="E38" i="29"/>
  <c r="C37" i="29"/>
  <c r="I35" i="29"/>
  <c r="H32" i="29"/>
  <c r="H30" i="29"/>
  <c r="H29" i="29"/>
  <c r="H28" i="29"/>
  <c r="H27" i="29"/>
  <c r="H25" i="29"/>
  <c r="I18" i="29"/>
  <c r="H16" i="29"/>
  <c r="E37" i="36"/>
  <c r="C35" i="36"/>
  <c r="C34" i="36"/>
  <c r="C32" i="36"/>
  <c r="C31" i="36"/>
  <c r="C30" i="36"/>
  <c r="C29" i="36"/>
  <c r="C28" i="36"/>
  <c r="C27" i="36"/>
  <c r="C26" i="36"/>
  <c r="H24" i="36"/>
  <c r="I22" i="36"/>
  <c r="I21" i="36"/>
  <c r="I20" i="36"/>
  <c r="I19" i="36"/>
  <c r="H41" i="17"/>
  <c r="H36" i="17"/>
  <c r="H34" i="17"/>
  <c r="H32" i="17"/>
  <c r="H29" i="17"/>
  <c r="H28" i="17"/>
  <c r="H27" i="17"/>
  <c r="I25" i="17"/>
  <c r="H24" i="17"/>
  <c r="H23" i="17"/>
  <c r="H22" i="17"/>
  <c r="H21" i="17"/>
  <c r="H20" i="17"/>
  <c r="E18" i="17"/>
  <c r="C17" i="17"/>
  <c r="C16" i="17"/>
  <c r="E37" i="19"/>
  <c r="I27" i="34"/>
  <c r="I21" i="34"/>
  <c r="H20" i="34"/>
  <c r="E42" i="29"/>
  <c r="I40" i="29"/>
  <c r="E39" i="29"/>
  <c r="C38" i="29"/>
  <c r="I36" i="29"/>
  <c r="E35" i="29"/>
  <c r="E34" i="29"/>
  <c r="E32" i="29"/>
  <c r="E31" i="29"/>
  <c r="E30" i="29"/>
  <c r="E29" i="29"/>
  <c r="E28" i="29"/>
  <c r="I26" i="29"/>
  <c r="E25" i="29"/>
  <c r="C22" i="29"/>
  <c r="C21" i="29"/>
  <c r="I19" i="29"/>
  <c r="I36" i="36"/>
  <c r="I35" i="36"/>
  <c r="I32" i="36"/>
  <c r="I31" i="36"/>
  <c r="I30" i="36"/>
  <c r="I28" i="36"/>
  <c r="I26" i="36"/>
  <c r="I25" i="36"/>
  <c r="I23" i="36"/>
  <c r="H22" i="36"/>
  <c r="H20" i="36"/>
  <c r="C16" i="36"/>
  <c r="H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4" i="17"/>
  <c r="E23" i="17"/>
  <c r="E22" i="17"/>
  <c r="E21" i="17"/>
  <c r="E20" i="17"/>
  <c r="E19" i="17"/>
  <c r="I17" i="17"/>
  <c r="I16" i="17"/>
  <c r="I36" i="19"/>
  <c r="I35" i="19"/>
  <c r="I32" i="19"/>
  <c r="I31" i="19"/>
  <c r="I30" i="19"/>
  <c r="I29" i="19"/>
  <c r="I26" i="34"/>
  <c r="H21" i="34"/>
  <c r="I19" i="34"/>
  <c r="E18" i="34"/>
  <c r="I16" i="34"/>
  <c r="I41" i="29"/>
  <c r="E40" i="29"/>
  <c r="C39" i="29"/>
  <c r="G39" i="29" s="1"/>
  <c r="I37" i="29"/>
  <c r="E36" i="29"/>
  <c r="C35" i="29"/>
  <c r="G35" i="29" s="1"/>
  <c r="C34" i="29"/>
  <c r="G34" i="29" s="1"/>
  <c r="C32" i="29"/>
  <c r="G32" i="29" s="1"/>
  <c r="C31" i="29"/>
  <c r="C30" i="29"/>
  <c r="C29" i="29"/>
  <c r="G29" i="29" s="1"/>
  <c r="C28" i="29"/>
  <c r="G28" i="29" s="1"/>
  <c r="H26" i="29"/>
  <c r="I24" i="29"/>
  <c r="I23" i="29"/>
  <c r="I22" i="29"/>
  <c r="I21" i="29"/>
  <c r="I20" i="29"/>
  <c r="I37" i="36"/>
  <c r="H36" i="36"/>
  <c r="H32" i="36"/>
  <c r="H28" i="36"/>
  <c r="H25" i="36"/>
  <c r="H23" i="36"/>
  <c r="I16" i="36"/>
  <c r="E42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I26" i="17"/>
  <c r="E25" i="17"/>
  <c r="I24" i="34"/>
  <c r="E16" i="34"/>
  <c r="E41" i="29"/>
  <c r="C40" i="29"/>
  <c r="I38" i="29"/>
  <c r="E37" i="29"/>
  <c r="C36" i="29"/>
  <c r="I32" i="29"/>
  <c r="I30" i="29"/>
  <c r="I29" i="29"/>
  <c r="I28" i="29"/>
  <c r="I27" i="29"/>
  <c r="I25" i="29"/>
  <c r="H24" i="29"/>
  <c r="H23" i="29"/>
  <c r="H22" i="29"/>
  <c r="H21" i="29"/>
  <c r="H20" i="29"/>
  <c r="I16" i="29"/>
  <c r="H37" i="36"/>
  <c r="E36" i="36"/>
  <c r="E35" i="36"/>
  <c r="E34" i="36"/>
  <c r="E32" i="36"/>
  <c r="E31" i="36"/>
  <c r="E30" i="36"/>
  <c r="E29" i="36"/>
  <c r="E28" i="36"/>
  <c r="E27" i="36"/>
  <c r="E26" i="36"/>
  <c r="I24" i="36"/>
  <c r="I18" i="36"/>
  <c r="I41" i="17"/>
  <c r="I40" i="17"/>
  <c r="I38" i="17"/>
  <c r="I37" i="17"/>
  <c r="I36" i="17"/>
  <c r="I34" i="17"/>
  <c r="I33" i="17"/>
  <c r="I31" i="17"/>
  <c r="I29" i="17"/>
  <c r="I28" i="17"/>
  <c r="I27" i="17"/>
  <c r="H26" i="17"/>
  <c r="I24" i="17"/>
  <c r="I23" i="17"/>
  <c r="I22" i="17"/>
  <c r="I21" i="17"/>
  <c r="I20" i="17"/>
  <c r="I19" i="17"/>
  <c r="E17" i="17"/>
  <c r="E16" i="17"/>
  <c r="E36" i="19"/>
  <c r="E35" i="19"/>
  <c r="E34" i="19"/>
  <c r="E32" i="19"/>
  <c r="E31" i="19"/>
  <c r="E30" i="19"/>
  <c r="E29" i="19"/>
  <c r="E28" i="19"/>
  <c r="E27" i="19"/>
  <c r="I25" i="19"/>
  <c r="E24" i="19"/>
  <c r="I20" i="19"/>
  <c r="I19" i="19"/>
  <c r="E17" i="19"/>
  <c r="E16" i="19"/>
  <c r="E49" i="14"/>
  <c r="I47" i="14"/>
  <c r="I46" i="14"/>
  <c r="H16" i="17"/>
  <c r="C35" i="19"/>
  <c r="C32" i="19"/>
  <c r="C30" i="19"/>
  <c r="G30" i="19" s="1"/>
  <c r="C28" i="19"/>
  <c r="I26" i="19"/>
  <c r="E21" i="19"/>
  <c r="E19" i="19"/>
  <c r="C16" i="19"/>
  <c r="I43" i="14"/>
  <c r="I42" i="14"/>
  <c r="I41" i="14"/>
  <c r="I38" i="14"/>
  <c r="I37" i="14"/>
  <c r="I36" i="14"/>
  <c r="I35" i="14"/>
  <c r="I33" i="14"/>
  <c r="I31" i="14"/>
  <c r="I30" i="14"/>
  <c r="H28" i="14"/>
  <c r="H26" i="14"/>
  <c r="H25" i="14"/>
  <c r="H23" i="14"/>
  <c r="E22" i="14"/>
  <c r="E21" i="14"/>
  <c r="E20" i="14"/>
  <c r="E19" i="14"/>
  <c r="E39" i="39"/>
  <c r="E38" i="39"/>
  <c r="E37" i="39"/>
  <c r="E36" i="39"/>
  <c r="E35" i="39"/>
  <c r="E34" i="39"/>
  <c r="E33" i="39"/>
  <c r="E32" i="39"/>
  <c r="E31" i="39"/>
  <c r="E30" i="39"/>
  <c r="E29" i="39"/>
  <c r="E28" i="39"/>
  <c r="E27" i="39"/>
  <c r="E26" i="39"/>
  <c r="I24" i="39"/>
  <c r="E23" i="39"/>
  <c r="I18" i="39"/>
  <c r="H16" i="39"/>
  <c r="E41" i="23"/>
  <c r="C39" i="23"/>
  <c r="C38" i="23"/>
  <c r="I36" i="23"/>
  <c r="I35" i="23"/>
  <c r="I34" i="23"/>
  <c r="I33" i="23"/>
  <c r="I32" i="23"/>
  <c r="I29" i="23"/>
  <c r="I26" i="23"/>
  <c r="I24" i="23"/>
  <c r="H23" i="23"/>
  <c r="H22" i="23"/>
  <c r="H21" i="23"/>
  <c r="I16" i="23"/>
  <c r="I40" i="8"/>
  <c r="I37" i="19"/>
  <c r="H29" i="19"/>
  <c r="I27" i="19"/>
  <c r="H26" i="19"/>
  <c r="I23" i="19"/>
  <c r="E22" i="19"/>
  <c r="E20" i="19"/>
  <c r="I18" i="19"/>
  <c r="C17" i="19"/>
  <c r="I49" i="14"/>
  <c r="E48" i="14"/>
  <c r="H43" i="14"/>
  <c r="H41" i="14"/>
  <c r="H36" i="14"/>
  <c r="H33" i="14"/>
  <c r="H30" i="14"/>
  <c r="E28" i="14"/>
  <c r="E27" i="14"/>
  <c r="E26" i="14"/>
  <c r="I24" i="14"/>
  <c r="E23" i="14"/>
  <c r="I18" i="14"/>
  <c r="H16" i="14"/>
  <c r="C39" i="39"/>
  <c r="C38" i="39"/>
  <c r="C37" i="39"/>
  <c r="C36" i="39"/>
  <c r="C35" i="39"/>
  <c r="C34" i="39"/>
  <c r="C33" i="39"/>
  <c r="C32" i="39"/>
  <c r="C31" i="39"/>
  <c r="C30" i="39"/>
  <c r="C29" i="39"/>
  <c r="C28" i="39"/>
  <c r="C27" i="39"/>
  <c r="C26" i="39"/>
  <c r="H24" i="39"/>
  <c r="I22" i="39"/>
  <c r="I21" i="39"/>
  <c r="I20" i="39"/>
  <c r="I19" i="39"/>
  <c r="E17" i="39"/>
  <c r="E16" i="39"/>
  <c r="I40" i="23"/>
  <c r="I39" i="23"/>
  <c r="I37" i="23"/>
  <c r="H35" i="23"/>
  <c r="H32" i="23"/>
  <c r="H26" i="23"/>
  <c r="H24" i="23"/>
  <c r="I18" i="23"/>
  <c r="H16" i="23"/>
  <c r="E39" i="8"/>
  <c r="E38" i="8"/>
  <c r="E37" i="8"/>
  <c r="E36" i="8"/>
  <c r="C22" i="17"/>
  <c r="I18" i="17"/>
  <c r="H36" i="19"/>
  <c r="C34" i="19"/>
  <c r="C31" i="19"/>
  <c r="C29" i="19"/>
  <c r="H25" i="19"/>
  <c r="H23" i="19"/>
  <c r="I21" i="19"/>
  <c r="E18" i="19"/>
  <c r="I16" i="19"/>
  <c r="E46" i="14"/>
  <c r="E45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C27" i="14"/>
  <c r="C26" i="14"/>
  <c r="H24" i="14"/>
  <c r="I22" i="14"/>
  <c r="I21" i="14"/>
  <c r="I20" i="14"/>
  <c r="I19" i="14"/>
  <c r="E17" i="14"/>
  <c r="I39" i="39"/>
  <c r="I38" i="39"/>
  <c r="I37" i="39"/>
  <c r="I35" i="39"/>
  <c r="I34" i="39"/>
  <c r="I33" i="39"/>
  <c r="I31" i="39"/>
  <c r="I28" i="39"/>
  <c r="I27" i="39"/>
  <c r="I26" i="39"/>
  <c r="I25" i="39"/>
  <c r="I23" i="39"/>
  <c r="H20" i="39"/>
  <c r="E18" i="39"/>
  <c r="C17" i="39"/>
  <c r="C16" i="39"/>
  <c r="H37" i="23"/>
  <c r="E36" i="23"/>
  <c r="E35" i="23"/>
  <c r="E34" i="23"/>
  <c r="E33" i="23"/>
  <c r="E32" i="23"/>
  <c r="E31" i="23"/>
  <c r="H32" i="19"/>
  <c r="C27" i="19"/>
  <c r="I24" i="19"/>
  <c r="E23" i="19"/>
  <c r="I22" i="19"/>
  <c r="H21" i="19"/>
  <c r="I48" i="14"/>
  <c r="E47" i="14"/>
  <c r="C46" i="14"/>
  <c r="C45" i="14"/>
  <c r="C43" i="14"/>
  <c r="C42" i="14"/>
  <c r="C41" i="14"/>
  <c r="C40" i="14"/>
  <c r="C39" i="14"/>
  <c r="C38" i="14"/>
  <c r="C37" i="14"/>
  <c r="C36" i="14"/>
  <c r="C35" i="14"/>
  <c r="I28" i="14"/>
  <c r="I27" i="14"/>
  <c r="I26" i="14"/>
  <c r="I25" i="14"/>
  <c r="I23" i="14"/>
  <c r="H22" i="14"/>
  <c r="H21" i="14"/>
  <c r="H20" i="14"/>
  <c r="E18" i="14"/>
  <c r="C17" i="14"/>
  <c r="C16" i="14"/>
  <c r="H39" i="39"/>
  <c r="H35" i="39"/>
  <c r="H31" i="39"/>
  <c r="H27" i="39"/>
  <c r="H26" i="39"/>
  <c r="H25" i="39"/>
  <c r="H23" i="39"/>
  <c r="E22" i="39"/>
  <c r="E21" i="39"/>
  <c r="E20" i="39"/>
  <c r="E19" i="39"/>
  <c r="I17" i="39"/>
  <c r="I16" i="39"/>
  <c r="E40" i="23"/>
  <c r="E39" i="23"/>
  <c r="E38" i="23"/>
  <c r="C36" i="23"/>
  <c r="C35" i="23"/>
  <c r="C34" i="23"/>
  <c r="C33" i="23"/>
  <c r="C32" i="23"/>
  <c r="C31" i="23"/>
  <c r="C30" i="23"/>
  <c r="C29" i="23"/>
  <c r="C28" i="23"/>
  <c r="C27" i="23"/>
  <c r="H25" i="23"/>
  <c r="I23" i="23"/>
  <c r="I22" i="23"/>
  <c r="I21" i="23"/>
  <c r="H20" i="23"/>
  <c r="C17" i="23"/>
  <c r="C16" i="23"/>
  <c r="I39" i="8"/>
  <c r="I38" i="8"/>
  <c r="I36" i="8"/>
  <c r="I35" i="8"/>
  <c r="I34" i="8"/>
  <c r="I33" i="8"/>
  <c r="I31" i="8"/>
  <c r="I29" i="8"/>
  <c r="I28" i="8"/>
  <c r="I27" i="8"/>
  <c r="I26" i="8"/>
  <c r="I24" i="8"/>
  <c r="H23" i="8"/>
  <c r="E27" i="23"/>
  <c r="I19" i="23"/>
  <c r="E34" i="8"/>
  <c r="C33" i="8"/>
  <c r="E30" i="8"/>
  <c r="C29" i="8"/>
  <c r="I25" i="8"/>
  <c r="I23" i="8"/>
  <c r="I18" i="8"/>
  <c r="H16" i="8"/>
  <c r="H32" i="16"/>
  <c r="H29" i="16"/>
  <c r="H27" i="16"/>
  <c r="H25" i="16"/>
  <c r="H23" i="16"/>
  <c r="H38" i="25"/>
  <c r="E37" i="25"/>
  <c r="E36" i="25"/>
  <c r="E35" i="25"/>
  <c r="E34" i="25"/>
  <c r="E33" i="25"/>
  <c r="E32" i="25"/>
  <c r="E31" i="25"/>
  <c r="E30" i="25"/>
  <c r="E29" i="25"/>
  <c r="E28" i="25"/>
  <c r="E27" i="25"/>
  <c r="I25" i="25"/>
  <c r="E24" i="25"/>
  <c r="C23" i="25"/>
  <c r="C22" i="25"/>
  <c r="C21" i="25"/>
  <c r="I19" i="25"/>
  <c r="E17" i="25"/>
  <c r="C39" i="38"/>
  <c r="C37" i="38"/>
  <c r="C36" i="38"/>
  <c r="C34" i="38"/>
  <c r="C33" i="38"/>
  <c r="C32" i="38"/>
  <c r="C31" i="38"/>
  <c r="C30" i="38"/>
  <c r="C29" i="38"/>
  <c r="C28" i="38"/>
  <c r="C27" i="38"/>
  <c r="C26" i="38"/>
  <c r="H24" i="38"/>
  <c r="I22" i="38"/>
  <c r="I21" i="38"/>
  <c r="I20" i="38"/>
  <c r="I19" i="38"/>
  <c r="E17" i="38"/>
  <c r="E16" i="38"/>
  <c r="H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I25" i="21"/>
  <c r="E24" i="21"/>
  <c r="I18" i="21"/>
  <c r="H16" i="21"/>
  <c r="E41" i="22"/>
  <c r="C39" i="22"/>
  <c r="C38" i="22"/>
  <c r="C36" i="22"/>
  <c r="C35" i="22"/>
  <c r="C34" i="22"/>
  <c r="C33" i="22"/>
  <c r="C32" i="22"/>
  <c r="C31" i="22"/>
  <c r="C30" i="22"/>
  <c r="C29" i="22"/>
  <c r="C28" i="22"/>
  <c r="C27" i="22"/>
  <c r="H25" i="22"/>
  <c r="I23" i="22"/>
  <c r="I22" i="22"/>
  <c r="I21" i="22"/>
  <c r="I20" i="22"/>
  <c r="I19" i="22"/>
  <c r="E17" i="22"/>
  <c r="E30" i="23"/>
  <c r="I25" i="23"/>
  <c r="E40" i="8"/>
  <c r="C37" i="8"/>
  <c r="E35" i="8"/>
  <c r="C34" i="8"/>
  <c r="E31" i="8"/>
  <c r="C30" i="8"/>
  <c r="H28" i="8"/>
  <c r="E27" i="8"/>
  <c r="H25" i="8"/>
  <c r="I20" i="8"/>
  <c r="I19" i="8"/>
  <c r="H40" i="16"/>
  <c r="I24" i="16"/>
  <c r="I18" i="16"/>
  <c r="E38" i="25"/>
  <c r="C37" i="25"/>
  <c r="C36" i="25"/>
  <c r="C35" i="25"/>
  <c r="C34" i="25"/>
  <c r="C33" i="25"/>
  <c r="C32" i="25"/>
  <c r="C31" i="25"/>
  <c r="C30" i="25"/>
  <c r="C29" i="25"/>
  <c r="C28" i="25"/>
  <c r="C27" i="25"/>
  <c r="H25" i="25"/>
  <c r="I23" i="25"/>
  <c r="I22" i="25"/>
  <c r="I21" i="25"/>
  <c r="I20" i="25"/>
  <c r="E18" i="25"/>
  <c r="C17" i="25"/>
  <c r="C16" i="25"/>
  <c r="I39" i="38"/>
  <c r="I37" i="38"/>
  <c r="I34" i="38"/>
  <c r="I33" i="38"/>
  <c r="I32" i="38"/>
  <c r="I30" i="38"/>
  <c r="I28" i="38"/>
  <c r="I27" i="38"/>
  <c r="I26" i="38"/>
  <c r="I25" i="38"/>
  <c r="I23" i="38"/>
  <c r="H20" i="38"/>
  <c r="E18" i="38"/>
  <c r="C17" i="38"/>
  <c r="C16" i="38"/>
  <c r="E41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H25" i="21"/>
  <c r="I23" i="21"/>
  <c r="I22" i="21"/>
  <c r="I21" i="21"/>
  <c r="I20" i="21"/>
  <c r="I19" i="21"/>
  <c r="E17" i="21"/>
  <c r="I39" i="22"/>
  <c r="I36" i="22"/>
  <c r="I35" i="22"/>
  <c r="I34" i="22"/>
  <c r="I32" i="22"/>
  <c r="I31" i="22"/>
  <c r="I30" i="22"/>
  <c r="I28" i="22"/>
  <c r="I27" i="22"/>
  <c r="I26" i="22"/>
  <c r="I24" i="22"/>
  <c r="H22" i="22"/>
  <c r="H21" i="22"/>
  <c r="H20" i="22"/>
  <c r="E18" i="22"/>
  <c r="E29" i="23"/>
  <c r="C35" i="8"/>
  <c r="H33" i="8"/>
  <c r="E32" i="8"/>
  <c r="C31" i="8"/>
  <c r="H29" i="8"/>
  <c r="E28" i="8"/>
  <c r="C27" i="8"/>
  <c r="H24" i="8"/>
  <c r="I22" i="8"/>
  <c r="I21" i="8"/>
  <c r="H20" i="8"/>
  <c r="C17" i="8"/>
  <c r="C16" i="8"/>
  <c r="H24" i="16"/>
  <c r="I22" i="16"/>
  <c r="I21" i="16"/>
  <c r="I20" i="16"/>
  <c r="I19" i="16"/>
  <c r="I37" i="25"/>
  <c r="I36" i="25"/>
  <c r="I34" i="25"/>
  <c r="I33" i="25"/>
  <c r="I32" i="25"/>
  <c r="I30" i="25"/>
  <c r="I28" i="25"/>
  <c r="I26" i="25"/>
  <c r="I24" i="25"/>
  <c r="H23" i="25"/>
  <c r="H21" i="25"/>
  <c r="H20" i="25"/>
  <c r="E19" i="25"/>
  <c r="I16" i="25"/>
  <c r="H39" i="38"/>
  <c r="H32" i="38"/>
  <c r="H30" i="38"/>
  <c r="H28" i="38"/>
  <c r="H27" i="38"/>
  <c r="H26" i="38"/>
  <c r="H25" i="38"/>
  <c r="H23" i="38"/>
  <c r="E22" i="38"/>
  <c r="E21" i="38"/>
  <c r="E20" i="38"/>
  <c r="E19" i="38"/>
  <c r="I16" i="38"/>
  <c r="I40" i="21"/>
  <c r="I39" i="21"/>
  <c r="I37" i="21"/>
  <c r="I36" i="21"/>
  <c r="I35" i="21"/>
  <c r="I33" i="21"/>
  <c r="I32" i="21"/>
  <c r="I31" i="21"/>
  <c r="I30" i="21"/>
  <c r="I27" i="21"/>
  <c r="I26" i="21"/>
  <c r="I24" i="21"/>
  <c r="H20" i="21"/>
  <c r="E18" i="21"/>
  <c r="C17" i="21"/>
  <c r="C16" i="21"/>
  <c r="I41" i="22"/>
  <c r="H36" i="22"/>
  <c r="H34" i="22"/>
  <c r="H32" i="22"/>
  <c r="H31" i="22"/>
  <c r="H28" i="22"/>
  <c r="H27" i="22"/>
  <c r="E28" i="23"/>
  <c r="I20" i="23"/>
  <c r="C38" i="8"/>
  <c r="C36" i="8"/>
  <c r="E33" i="8"/>
  <c r="C32" i="8"/>
  <c r="E29" i="8"/>
  <c r="C28" i="8"/>
  <c r="H26" i="8"/>
  <c r="H21" i="8"/>
  <c r="I16" i="8"/>
  <c r="I39" i="16"/>
  <c r="I38" i="16"/>
  <c r="I35" i="16"/>
  <c r="I34" i="16"/>
  <c r="I33" i="16"/>
  <c r="I32" i="16"/>
  <c r="I31" i="16"/>
  <c r="I29" i="16"/>
  <c r="I27" i="16"/>
  <c r="I26" i="16"/>
  <c r="I25" i="16"/>
  <c r="I23" i="16"/>
  <c r="H22" i="16"/>
  <c r="H21" i="16"/>
  <c r="H20" i="16"/>
  <c r="I38" i="25"/>
  <c r="H34" i="25"/>
  <c r="H32" i="25"/>
  <c r="H30" i="25"/>
  <c r="H28" i="25"/>
  <c r="H26" i="25"/>
  <c r="H24" i="25"/>
  <c r="E23" i="25"/>
  <c r="E22" i="25"/>
  <c r="E21" i="25"/>
  <c r="I18" i="25"/>
  <c r="H16" i="25"/>
  <c r="E39" i="38"/>
  <c r="E37" i="38"/>
  <c r="E36" i="38"/>
  <c r="E34" i="38"/>
  <c r="E33" i="38"/>
  <c r="E32" i="38"/>
  <c r="E31" i="38"/>
  <c r="E30" i="38"/>
  <c r="E29" i="38"/>
  <c r="E28" i="38"/>
  <c r="E27" i="38"/>
  <c r="E26" i="38"/>
  <c r="I24" i="38"/>
  <c r="E23" i="38"/>
  <c r="I18" i="38"/>
  <c r="H16" i="38"/>
  <c r="I41" i="21"/>
  <c r="H40" i="21"/>
  <c r="H37" i="21"/>
  <c r="H35" i="21"/>
  <c r="H32" i="21"/>
  <c r="H31" i="21"/>
  <c r="H30" i="21"/>
  <c r="H27" i="21"/>
  <c r="H26" i="21"/>
  <c r="E23" i="21"/>
  <c r="E22" i="21"/>
  <c r="E21" i="21"/>
  <c r="E20" i="21"/>
  <c r="E19" i="21"/>
  <c r="I16" i="21"/>
  <c r="H41" i="22"/>
  <c r="E40" i="22"/>
  <c r="E39" i="22"/>
  <c r="E38" i="22"/>
  <c r="E36" i="22"/>
  <c r="E35" i="22"/>
  <c r="E34" i="22"/>
  <c r="E33" i="22"/>
  <c r="E32" i="22"/>
  <c r="E31" i="22"/>
  <c r="E30" i="22"/>
  <c r="E29" i="22"/>
  <c r="E28" i="22"/>
  <c r="E27" i="22"/>
  <c r="I25" i="22"/>
  <c r="E24" i="22"/>
  <c r="C23" i="22"/>
  <c r="C22" i="22"/>
  <c r="I18" i="22"/>
  <c r="H16" i="22"/>
  <c r="I34" i="15"/>
  <c r="I33" i="15"/>
  <c r="I31" i="15"/>
  <c r="I30" i="15"/>
  <c r="I29" i="15"/>
  <c r="I27" i="15"/>
  <c r="I25" i="15"/>
  <c r="I23" i="15"/>
  <c r="H22" i="15"/>
  <c r="H20" i="15"/>
  <c r="C17" i="15"/>
  <c r="C16" i="15"/>
  <c r="E44" i="18"/>
  <c r="E23" i="22"/>
  <c r="C17" i="22"/>
  <c r="E35" i="15"/>
  <c r="E32" i="15"/>
  <c r="C31" i="15"/>
  <c r="H29" i="15"/>
  <c r="E28" i="15"/>
  <c r="C27" i="15"/>
  <c r="H25" i="15"/>
  <c r="I19" i="15"/>
  <c r="I17" i="15"/>
  <c r="H16" i="15"/>
  <c r="H44" i="18"/>
  <c r="C42" i="18"/>
  <c r="C41" i="18"/>
  <c r="C39" i="18"/>
  <c r="C38" i="18"/>
  <c r="C37" i="18"/>
  <c r="C36" i="18"/>
  <c r="C35" i="18"/>
  <c r="C34" i="18"/>
  <c r="C33" i="18"/>
  <c r="C32" i="18"/>
  <c r="C31" i="18"/>
  <c r="C30" i="18"/>
  <c r="C29" i="18"/>
  <c r="C28" i="18"/>
  <c r="C27" i="18"/>
  <c r="C26" i="18"/>
  <c r="H24" i="18"/>
  <c r="I22" i="18"/>
  <c r="I21" i="18"/>
  <c r="I20" i="18"/>
  <c r="I19" i="18"/>
  <c r="I42" i="35"/>
  <c r="I41" i="35"/>
  <c r="I40" i="35"/>
  <c r="I39" i="35"/>
  <c r="I38" i="35"/>
  <c r="I37" i="35"/>
  <c r="I36" i="35"/>
  <c r="I35" i="35"/>
  <c r="I34" i="35"/>
  <c r="I33" i="35"/>
  <c r="I32" i="35"/>
  <c r="I31" i="35"/>
  <c r="I30" i="35"/>
  <c r="I29" i="35"/>
  <c r="I27" i="35"/>
  <c r="I26" i="35"/>
  <c r="I24" i="35"/>
  <c r="H21" i="35"/>
  <c r="H20" i="35"/>
  <c r="E18" i="35"/>
  <c r="C17" i="35"/>
  <c r="C16" i="35"/>
  <c r="H24" i="31"/>
  <c r="I22" i="31"/>
  <c r="I21" i="31"/>
  <c r="I20" i="31"/>
  <c r="I19" i="31"/>
  <c r="C39" i="41"/>
  <c r="C38" i="41"/>
  <c r="C37" i="41"/>
  <c r="C35" i="41"/>
  <c r="C34" i="41"/>
  <c r="C33" i="41"/>
  <c r="C32" i="41"/>
  <c r="C31" i="41"/>
  <c r="C30" i="41"/>
  <c r="C29" i="41"/>
  <c r="C28" i="41"/>
  <c r="C27" i="41"/>
  <c r="H25" i="41"/>
  <c r="I23" i="41"/>
  <c r="I22" i="41"/>
  <c r="I21" i="41"/>
  <c r="H20" i="41"/>
  <c r="C17" i="41"/>
  <c r="C16" i="41"/>
  <c r="H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I25" i="26"/>
  <c r="I20" i="26"/>
  <c r="I19" i="26"/>
  <c r="I37" i="24"/>
  <c r="I36" i="24"/>
  <c r="I35" i="24"/>
  <c r="I34" i="24"/>
  <c r="I33" i="24"/>
  <c r="I32" i="24"/>
  <c r="I31" i="24"/>
  <c r="C30" i="24"/>
  <c r="C29" i="24"/>
  <c r="C28" i="24"/>
  <c r="C27" i="24"/>
  <c r="H25" i="24"/>
  <c r="I23" i="24"/>
  <c r="I18" i="24"/>
  <c r="H16" i="24"/>
  <c r="E20" i="22"/>
  <c r="I16" i="22"/>
  <c r="H34" i="15"/>
  <c r="E33" i="15"/>
  <c r="C32" i="15"/>
  <c r="E29" i="15"/>
  <c r="C28" i="15"/>
  <c r="I24" i="15"/>
  <c r="I22" i="15"/>
  <c r="I20" i="15"/>
  <c r="I43" i="18"/>
  <c r="I42" i="18"/>
  <c r="I41" i="18"/>
  <c r="I39" i="18"/>
  <c r="I38" i="18"/>
  <c r="I37" i="18"/>
  <c r="I36" i="18"/>
  <c r="I34" i="18"/>
  <c r="I33" i="18"/>
  <c r="I32" i="18"/>
  <c r="I31" i="18"/>
  <c r="I28" i="18"/>
  <c r="I27" i="18"/>
  <c r="I26" i="18"/>
  <c r="I25" i="18"/>
  <c r="I23" i="18"/>
  <c r="H21" i="18"/>
  <c r="C17" i="18"/>
  <c r="C16" i="18"/>
  <c r="H39" i="35"/>
  <c r="H37" i="35"/>
  <c r="H30" i="35"/>
  <c r="H27" i="35"/>
  <c r="H26" i="35"/>
  <c r="H24" i="35"/>
  <c r="E23" i="35"/>
  <c r="E22" i="35"/>
  <c r="E21" i="35"/>
  <c r="E20" i="35"/>
  <c r="E19" i="35"/>
  <c r="I16" i="35"/>
  <c r="I36" i="31"/>
  <c r="I35" i="31"/>
  <c r="I34" i="31"/>
  <c r="I33" i="31"/>
  <c r="I32" i="31"/>
  <c r="I30" i="31"/>
  <c r="I29" i="31"/>
  <c r="I27" i="31"/>
  <c r="I26" i="31"/>
  <c r="I25" i="31"/>
  <c r="I23" i="31"/>
  <c r="H22" i="31"/>
  <c r="H21" i="31"/>
  <c r="H20" i="31"/>
  <c r="I39" i="41"/>
  <c r="I38" i="41"/>
  <c r="I37" i="41"/>
  <c r="I35" i="41"/>
  <c r="I34" i="41"/>
  <c r="I33" i="41"/>
  <c r="I32" i="41"/>
  <c r="I30" i="41"/>
  <c r="I29" i="41"/>
  <c r="I28" i="41"/>
  <c r="I27" i="41"/>
  <c r="I26" i="41"/>
  <c r="I24" i="41"/>
  <c r="H23" i="41"/>
  <c r="H21" i="41"/>
  <c r="I16" i="41"/>
  <c r="H25" i="26"/>
  <c r="I23" i="26"/>
  <c r="I22" i="26"/>
  <c r="I21" i="26"/>
  <c r="H20" i="26"/>
  <c r="C17" i="26"/>
  <c r="C16" i="26"/>
  <c r="I38" i="24"/>
  <c r="H37" i="24"/>
  <c r="I29" i="24"/>
  <c r="H26" i="22"/>
  <c r="E22" i="22"/>
  <c r="E19" i="22"/>
  <c r="C16" i="22"/>
  <c r="E34" i="15"/>
  <c r="C33" i="15"/>
  <c r="H31" i="15"/>
  <c r="E30" i="15"/>
  <c r="C29" i="15"/>
  <c r="E26" i="15"/>
  <c r="H24" i="15"/>
  <c r="I18" i="15"/>
  <c r="H43" i="18"/>
  <c r="H41" i="18"/>
  <c r="H38" i="18"/>
  <c r="H34" i="18"/>
  <c r="H32" i="18"/>
  <c r="H28" i="18"/>
  <c r="H26" i="18"/>
  <c r="H25" i="18"/>
  <c r="H23" i="18"/>
  <c r="I16" i="18"/>
  <c r="H43" i="35"/>
  <c r="E42" i="35"/>
  <c r="E41" i="35"/>
  <c r="E40" i="35"/>
  <c r="E39" i="35"/>
  <c r="E38" i="35"/>
  <c r="E37" i="35"/>
  <c r="E36" i="35"/>
  <c r="E35" i="35"/>
  <c r="E34" i="35"/>
  <c r="E33" i="35"/>
  <c r="E32" i="35"/>
  <c r="E31" i="35"/>
  <c r="E30" i="35"/>
  <c r="E29" i="35"/>
  <c r="E28" i="35"/>
  <c r="E27" i="35"/>
  <c r="I25" i="35"/>
  <c r="E24" i="35"/>
  <c r="C23" i="35"/>
  <c r="I18" i="35"/>
  <c r="H16" i="35"/>
  <c r="H38" i="31"/>
  <c r="H32" i="31"/>
  <c r="H29" i="31"/>
  <c r="H27" i="31"/>
  <c r="H25" i="31"/>
  <c r="H23" i="31"/>
  <c r="I16" i="31"/>
  <c r="H35" i="41"/>
  <c r="H32" i="41"/>
  <c r="H30" i="41"/>
  <c r="H27" i="41"/>
  <c r="H26" i="41"/>
  <c r="H24" i="41"/>
  <c r="I18" i="41"/>
  <c r="H16" i="41"/>
  <c r="I40" i="26"/>
  <c r="I39" i="26"/>
  <c r="I38" i="26"/>
  <c r="I37" i="26"/>
  <c r="I36" i="26"/>
  <c r="I35" i="26"/>
  <c r="I34" i="26"/>
  <c r="I33" i="26"/>
  <c r="I32" i="26"/>
  <c r="I30" i="26"/>
  <c r="I29" i="26"/>
  <c r="I27" i="26"/>
  <c r="I26" i="26"/>
  <c r="I24" i="26"/>
  <c r="H22" i="26"/>
  <c r="H21" i="26"/>
  <c r="I16" i="26"/>
  <c r="H38" i="24"/>
  <c r="E37" i="24"/>
  <c r="E36" i="24"/>
  <c r="E35" i="24"/>
  <c r="E34" i="24"/>
  <c r="E33" i="24"/>
  <c r="E32" i="24"/>
  <c r="E31" i="24"/>
  <c r="H29" i="24"/>
  <c r="H26" i="24"/>
  <c r="E21" i="22"/>
  <c r="H35" i="15"/>
  <c r="C34" i="15"/>
  <c r="E31" i="15"/>
  <c r="C30" i="15"/>
  <c r="E27" i="15"/>
  <c r="C26" i="15"/>
  <c r="H23" i="15"/>
  <c r="I21" i="15"/>
  <c r="I16" i="15"/>
  <c r="I44" i="18"/>
  <c r="E43" i="18"/>
  <c r="E42" i="18"/>
  <c r="E41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I24" i="18"/>
  <c r="I18" i="18"/>
  <c r="E43" i="35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27" i="35"/>
  <c r="H25" i="35"/>
  <c r="I23" i="35"/>
  <c r="I22" i="35"/>
  <c r="I21" i="35"/>
  <c r="I20" i="35"/>
  <c r="I19" i="35"/>
  <c r="E17" i="35"/>
  <c r="I24" i="31"/>
  <c r="I18" i="31"/>
  <c r="E39" i="41"/>
  <c r="E38" i="41"/>
  <c r="E37" i="41"/>
  <c r="E35" i="41"/>
  <c r="E34" i="41"/>
  <c r="E33" i="41"/>
  <c r="E32" i="41"/>
  <c r="E31" i="41"/>
  <c r="E30" i="41"/>
  <c r="E29" i="41"/>
  <c r="E28" i="41"/>
  <c r="E27" i="41"/>
  <c r="I25" i="41"/>
  <c r="I20" i="41"/>
  <c r="I19" i="41"/>
  <c r="H40" i="26"/>
  <c r="H38" i="26"/>
  <c r="H35" i="26"/>
  <c r="H32" i="26"/>
  <c r="H29" i="26"/>
  <c r="H26" i="26"/>
  <c r="H24" i="26"/>
  <c r="I18" i="26"/>
  <c r="H16" i="26"/>
  <c r="C37" i="24"/>
  <c r="C36" i="24"/>
  <c r="C35" i="24"/>
  <c r="C34" i="24"/>
  <c r="C33" i="24"/>
  <c r="C32" i="24"/>
  <c r="C31" i="24"/>
  <c r="E30" i="24"/>
  <c r="E29" i="24"/>
  <c r="E28" i="24"/>
  <c r="E27" i="24"/>
  <c r="I25" i="24"/>
  <c r="I16" i="24"/>
  <c r="I26" i="24"/>
  <c r="I22" i="24"/>
  <c r="I32" i="42"/>
  <c r="H23" i="42"/>
  <c r="H22" i="42"/>
  <c r="H21" i="42"/>
  <c r="I35" i="30"/>
  <c r="I34" i="30"/>
  <c r="I33" i="30"/>
  <c r="I32" i="30"/>
  <c r="I31" i="30"/>
  <c r="I30" i="30"/>
  <c r="H29" i="30"/>
  <c r="H28" i="30"/>
  <c r="H25" i="30"/>
  <c r="H23" i="30"/>
  <c r="E22" i="30"/>
  <c r="E21" i="30"/>
  <c r="E20" i="30"/>
  <c r="I17" i="30"/>
  <c r="I16" i="30"/>
  <c r="I40" i="37"/>
  <c r="E37" i="37"/>
  <c r="I35" i="37"/>
  <c r="H34" i="37"/>
  <c r="E33" i="37"/>
  <c r="I31" i="37"/>
  <c r="E29" i="37"/>
  <c r="I27" i="37"/>
  <c r="H26" i="37"/>
  <c r="H24" i="37"/>
  <c r="H20" i="37"/>
  <c r="H16" i="37"/>
  <c r="I38" i="20"/>
  <c r="I34" i="20"/>
  <c r="H33" i="20"/>
  <c r="E27" i="20"/>
  <c r="I25" i="20"/>
  <c r="I23" i="20"/>
  <c r="I20" i="20"/>
  <c r="I16" i="20"/>
  <c r="E39" i="40"/>
  <c r="E38" i="40"/>
  <c r="E37" i="40"/>
  <c r="E36" i="40"/>
  <c r="H31" i="40"/>
  <c r="H29" i="40"/>
  <c r="C28" i="40"/>
  <c r="C27" i="40"/>
  <c r="C26" i="40"/>
  <c r="H22" i="40"/>
  <c r="E17" i="40"/>
  <c r="E16" i="40"/>
  <c r="I24" i="24"/>
  <c r="I21" i="24"/>
  <c r="I20" i="24"/>
  <c r="E16" i="24"/>
  <c r="H36" i="42"/>
  <c r="I33" i="42"/>
  <c r="I29" i="42"/>
  <c r="I27" i="42"/>
  <c r="I26" i="42"/>
  <c r="I25" i="42"/>
  <c r="I16" i="42"/>
  <c r="H35" i="30"/>
  <c r="H33" i="30"/>
  <c r="H32" i="30"/>
  <c r="H30" i="30"/>
  <c r="E29" i="30"/>
  <c r="E28" i="30"/>
  <c r="E27" i="30"/>
  <c r="E26" i="30"/>
  <c r="I24" i="30"/>
  <c r="C22" i="30"/>
  <c r="C21" i="30"/>
  <c r="C20" i="30"/>
  <c r="I18" i="30"/>
  <c r="I41" i="37"/>
  <c r="E39" i="37"/>
  <c r="I36" i="37"/>
  <c r="E34" i="37"/>
  <c r="I32" i="37"/>
  <c r="H31" i="37"/>
  <c r="E30" i="37"/>
  <c r="I28" i="37"/>
  <c r="H27" i="37"/>
  <c r="I25" i="37"/>
  <c r="I23" i="37"/>
  <c r="I21" i="37"/>
  <c r="I19" i="37"/>
  <c r="I17" i="37"/>
  <c r="I39" i="20"/>
  <c r="I35" i="20"/>
  <c r="I30" i="20"/>
  <c r="I26" i="20"/>
  <c r="H25" i="20"/>
  <c r="H23" i="20"/>
  <c r="I21" i="20"/>
  <c r="H20" i="20"/>
  <c r="H16" i="20"/>
  <c r="C39" i="40"/>
  <c r="C38" i="40"/>
  <c r="C37" i="40"/>
  <c r="I35" i="40"/>
  <c r="E34" i="40"/>
  <c r="E33" i="40"/>
  <c r="E32" i="40"/>
  <c r="E31" i="40"/>
  <c r="E30" i="40"/>
  <c r="E29" i="40"/>
  <c r="I27" i="40"/>
  <c r="I26" i="40"/>
  <c r="I25" i="40"/>
  <c r="E23" i="40"/>
  <c r="E22" i="40"/>
  <c r="E21" i="40"/>
  <c r="C17" i="40"/>
  <c r="C16" i="40"/>
  <c r="E18" i="24"/>
  <c r="C16" i="24"/>
  <c r="I34" i="42"/>
  <c r="I30" i="42"/>
  <c r="H29" i="42"/>
  <c r="H27" i="42"/>
  <c r="H25" i="42"/>
  <c r="I18" i="42"/>
  <c r="E35" i="30"/>
  <c r="E34" i="30"/>
  <c r="E33" i="30"/>
  <c r="E32" i="30"/>
  <c r="E31" i="30"/>
  <c r="C29" i="30"/>
  <c r="C28" i="30"/>
  <c r="C27" i="30"/>
  <c r="C26" i="30"/>
  <c r="H24" i="30"/>
  <c r="I22" i="30"/>
  <c r="I21" i="30"/>
  <c r="I20" i="30"/>
  <c r="I19" i="30"/>
  <c r="E17" i="30"/>
  <c r="H41" i="37"/>
  <c r="E40" i="37"/>
  <c r="I37" i="37"/>
  <c r="E35" i="37"/>
  <c r="E31" i="37"/>
  <c r="H28" i="37"/>
  <c r="E27" i="37"/>
  <c r="H25" i="37"/>
  <c r="H21" i="37"/>
  <c r="H39" i="20"/>
  <c r="I36" i="20"/>
  <c r="H26" i="20"/>
  <c r="I24" i="20"/>
  <c r="I22" i="20"/>
  <c r="I18" i="20"/>
  <c r="I38" i="40"/>
  <c r="I37" i="40"/>
  <c r="I36" i="40"/>
  <c r="H35" i="40"/>
  <c r="C34" i="40"/>
  <c r="C33" i="40"/>
  <c r="C32" i="40"/>
  <c r="C31" i="40"/>
  <c r="C30" i="40"/>
  <c r="C29" i="40"/>
  <c r="H26" i="40"/>
  <c r="I24" i="40"/>
  <c r="C23" i="40"/>
  <c r="C22" i="40"/>
  <c r="I17" i="40"/>
  <c r="I19" i="24"/>
  <c r="E17" i="24"/>
  <c r="I31" i="42"/>
  <c r="I23" i="42"/>
  <c r="I22" i="42"/>
  <c r="I21" i="42"/>
  <c r="I20" i="42"/>
  <c r="I19" i="42"/>
  <c r="C35" i="30"/>
  <c r="C34" i="30"/>
  <c r="C33" i="30"/>
  <c r="C32" i="30"/>
  <c r="C31" i="30"/>
  <c r="I29" i="30"/>
  <c r="I28" i="30"/>
  <c r="I26" i="30"/>
  <c r="I25" i="30"/>
  <c r="I23" i="30"/>
  <c r="H20" i="30"/>
  <c r="C17" i="30"/>
  <c r="E41" i="37"/>
  <c r="I39" i="37"/>
  <c r="H37" i="37"/>
  <c r="E36" i="37"/>
  <c r="I34" i="37"/>
  <c r="E28" i="37"/>
  <c r="I26" i="37"/>
  <c r="I24" i="37"/>
  <c r="I22" i="37"/>
  <c r="I20" i="37"/>
  <c r="I18" i="37"/>
  <c r="I16" i="37"/>
  <c r="I37" i="20"/>
  <c r="I33" i="20"/>
  <c r="E26" i="20"/>
  <c r="H24" i="20"/>
  <c r="I19" i="20"/>
  <c r="H36" i="40"/>
  <c r="I34" i="40"/>
  <c r="I33" i="40"/>
  <c r="I32" i="40"/>
  <c r="I31" i="40"/>
  <c r="I29" i="40"/>
  <c r="I20" i="40"/>
  <c r="E28" i="40"/>
  <c r="E27" i="40"/>
  <c r="E26" i="40"/>
  <c r="I23" i="40"/>
  <c r="I22" i="40"/>
  <c r="I21" i="40"/>
  <c r="H16" i="40"/>
  <c r="I27" i="32"/>
  <c r="H27" i="32"/>
  <c r="N46" i="1"/>
  <c r="I29" i="22" s="1"/>
  <c r="I46" i="1"/>
  <c r="H29" i="22" s="1"/>
  <c r="I17" i="38"/>
  <c r="I63" i="1"/>
  <c r="H17" i="38" s="1"/>
  <c r="I26" i="15"/>
  <c r="I121" i="1"/>
  <c r="H26" i="15" s="1"/>
  <c r="I29" i="39"/>
  <c r="I128" i="1"/>
  <c r="H29" i="39" s="1"/>
  <c r="I34" i="14"/>
  <c r="H34" i="14"/>
  <c r="N43" i="1"/>
  <c r="I29" i="14" s="1"/>
  <c r="I43" i="1"/>
  <c r="H29" i="14" s="1"/>
  <c r="N48" i="1"/>
  <c r="I30" i="17" s="1"/>
  <c r="I48" i="1"/>
  <c r="H30" i="17" s="1"/>
  <c r="I16" i="40"/>
  <c r="I16" i="14"/>
  <c r="I17" i="42"/>
  <c r="I53" i="1"/>
  <c r="H17" i="42" s="1"/>
  <c r="I17" i="31"/>
  <c r="I57" i="1"/>
  <c r="H17" i="31" s="1"/>
  <c r="I17" i="22"/>
  <c r="I61" i="1"/>
  <c r="H17" i="22" s="1"/>
  <c r="I17" i="16"/>
  <c r="I65" i="1"/>
  <c r="H17" i="16" s="1"/>
  <c r="I17" i="14"/>
  <c r="I69" i="1"/>
  <c r="H17" i="14" s="1"/>
  <c r="I17" i="29"/>
  <c r="I73" i="1"/>
  <c r="H17" i="29" s="1"/>
  <c r="I17" i="33"/>
  <c r="I77" i="1"/>
  <c r="H17" i="33" s="1"/>
  <c r="I27" i="20"/>
  <c r="I111" i="1"/>
  <c r="H27" i="20" s="1"/>
  <c r="I27" i="24"/>
  <c r="I115" i="1"/>
  <c r="H27" i="24" s="1"/>
  <c r="I28" i="35"/>
  <c r="I119" i="1"/>
  <c r="H28" i="35" s="1"/>
  <c r="I28" i="21"/>
  <c r="I123" i="1"/>
  <c r="H28" i="21" s="1"/>
  <c r="I30" i="8"/>
  <c r="I126" i="1"/>
  <c r="H30" i="8" s="1"/>
  <c r="I32" i="14"/>
  <c r="H32" i="14"/>
  <c r="I31" i="29"/>
  <c r="H31" i="29"/>
  <c r="I26" i="33"/>
  <c r="H26" i="33"/>
  <c r="I29" i="20"/>
  <c r="H29" i="20"/>
  <c r="I29" i="21"/>
  <c r="H29" i="21"/>
  <c r="I29" i="32"/>
  <c r="H29" i="32"/>
  <c r="H27" i="15"/>
  <c r="H28" i="27"/>
  <c r="H32" i="35"/>
  <c r="I30" i="16"/>
  <c r="H30" i="16"/>
  <c r="I17" i="18"/>
  <c r="I59" i="1"/>
  <c r="H17" i="18" s="1"/>
  <c r="I17" i="23"/>
  <c r="I67" i="1"/>
  <c r="H17" i="23" s="1"/>
  <c r="I17" i="32"/>
  <c r="I75" i="1"/>
  <c r="H17" i="32" s="1"/>
  <c r="I27" i="30"/>
  <c r="I113" i="1"/>
  <c r="H27" i="30" s="1"/>
  <c r="I30" i="18"/>
  <c r="H30" i="18"/>
  <c r="I30" i="39"/>
  <c r="H30" i="39"/>
  <c r="H25" i="43"/>
  <c r="H26" i="30"/>
  <c r="H27" i="18"/>
  <c r="H26" i="16"/>
  <c r="H27" i="19"/>
  <c r="H27" i="34"/>
  <c r="H28" i="41"/>
  <c r="H28" i="39"/>
  <c r="N44" i="1"/>
  <c r="I29" i="37" s="1"/>
  <c r="I44" i="1"/>
  <c r="H29" i="37" s="1"/>
  <c r="I18" i="40"/>
  <c r="H18" i="40"/>
  <c r="H16" i="30"/>
  <c r="H16" i="31"/>
  <c r="H16" i="36"/>
  <c r="I17" i="20"/>
  <c r="I50" i="1"/>
  <c r="H17" i="20" s="1"/>
  <c r="I17" i="24"/>
  <c r="I54" i="1"/>
  <c r="H17" i="24" s="1"/>
  <c r="I17" i="35"/>
  <c r="I58" i="1"/>
  <c r="H17" i="35" s="1"/>
  <c r="I17" i="21"/>
  <c r="I62" i="1"/>
  <c r="H17" i="21" s="1"/>
  <c r="I17" i="8"/>
  <c r="I66" i="1"/>
  <c r="H17" i="8" s="1"/>
  <c r="I17" i="19"/>
  <c r="I70" i="1"/>
  <c r="H17" i="19" s="1"/>
  <c r="I17" i="34"/>
  <c r="I74" i="1"/>
  <c r="H17" i="34" s="1"/>
  <c r="I17" i="28"/>
  <c r="I78" i="1"/>
  <c r="H17" i="28" s="1"/>
  <c r="I30" i="37"/>
  <c r="I112" i="1"/>
  <c r="H30" i="37" s="1"/>
  <c r="I28" i="26"/>
  <c r="I116" i="1"/>
  <c r="H28" i="26" s="1"/>
  <c r="I29" i="18"/>
  <c r="I120" i="1"/>
  <c r="H29" i="18" s="1"/>
  <c r="I29" i="38"/>
  <c r="I124" i="1"/>
  <c r="H29" i="38" s="1"/>
  <c r="I27" i="23"/>
  <c r="I127" i="1"/>
  <c r="H27" i="23" s="1"/>
  <c r="I28" i="19"/>
  <c r="H28" i="19"/>
  <c r="I28" i="34"/>
  <c r="H28" i="34"/>
  <c r="I28" i="28"/>
  <c r="H28" i="28"/>
  <c r="I28" i="24"/>
  <c r="H28" i="24"/>
  <c r="I28" i="23"/>
  <c r="H28" i="23"/>
  <c r="I29" i="28"/>
  <c r="H29" i="28"/>
  <c r="I30" i="23"/>
  <c r="H30" i="23"/>
  <c r="I39" i="14"/>
  <c r="I30" i="40"/>
  <c r="I32" i="20"/>
  <c r="I33" i="37"/>
  <c r="I28" i="42"/>
  <c r="I30" i="24"/>
  <c r="I31" i="26"/>
  <c r="I31" i="41"/>
  <c r="I31" i="31"/>
  <c r="I35" i="18"/>
  <c r="I28" i="15"/>
  <c r="I33" i="22"/>
  <c r="I34" i="21"/>
  <c r="I31" i="38"/>
  <c r="I31" i="25"/>
  <c r="I32" i="8"/>
  <c r="I31" i="23"/>
  <c r="I32" i="39"/>
  <c r="I40" i="14"/>
  <c r="I35" i="17"/>
  <c r="I29" i="36"/>
  <c r="I34" i="29"/>
  <c r="I30" i="34"/>
  <c r="H33" i="39"/>
  <c r="H30" i="19"/>
  <c r="H30" i="36"/>
  <c r="H31" i="34"/>
  <c r="H30" i="27"/>
  <c r="H33" i="28"/>
  <c r="H21" i="20"/>
  <c r="H21" i="30"/>
  <c r="H22" i="24"/>
  <c r="H22" i="41"/>
  <c r="H22" i="35"/>
  <c r="H21" i="15"/>
  <c r="H22" i="21"/>
  <c r="H22" i="25"/>
  <c r="H22" i="8"/>
  <c r="H21" i="39"/>
  <c r="H22" i="19"/>
  <c r="H21" i="36"/>
  <c r="H22" i="34"/>
  <c r="H21" i="27"/>
  <c r="H21" i="28"/>
  <c r="I428" i="1"/>
  <c r="H32" i="40" s="1"/>
  <c r="I430" i="1"/>
  <c r="H35" i="37" s="1"/>
  <c r="I432" i="1"/>
  <c r="H30" i="42" s="1"/>
  <c r="I434" i="1"/>
  <c r="H33" i="26" s="1"/>
  <c r="I436" i="1"/>
  <c r="I438" i="1"/>
  <c r="I440" i="1"/>
  <c r="I442" i="1"/>
  <c r="I444" i="1"/>
  <c r="I446" i="1"/>
  <c r="H33" i="23" s="1"/>
  <c r="I448" i="1"/>
  <c r="I450" i="1"/>
  <c r="I452" i="1"/>
  <c r="H36" i="29" s="1"/>
  <c r="I454" i="1"/>
  <c r="I456" i="1"/>
  <c r="H31" i="33" s="1"/>
  <c r="I458" i="1"/>
  <c r="H33" i="40" s="1"/>
  <c r="I460" i="1"/>
  <c r="H36" i="37" s="1"/>
  <c r="I462" i="1"/>
  <c r="H31" i="42" s="1"/>
  <c r="I464" i="1"/>
  <c r="H34" i="26" s="1"/>
  <c r="I466" i="1"/>
  <c r="H33" i="31" s="1"/>
  <c r="I468" i="1"/>
  <c r="H37" i="18" s="1"/>
  <c r="I470" i="1"/>
  <c r="H35" i="22" s="1"/>
  <c r="I472" i="1"/>
  <c r="H33" i="38" s="1"/>
  <c r="I474" i="1"/>
  <c r="H33" i="16" s="1"/>
  <c r="I476" i="1"/>
  <c r="H34" i="23" s="1"/>
  <c r="I487" i="1"/>
  <c r="H42" i="14" s="1"/>
  <c r="I479" i="1"/>
  <c r="H37" i="17" s="1"/>
  <c r="I481" i="1"/>
  <c r="H37" i="29" s="1"/>
  <c r="I483" i="1"/>
  <c r="H32" i="32" s="1"/>
  <c r="I485" i="1"/>
  <c r="H32" i="33" s="1"/>
  <c r="H34" i="40"/>
  <c r="H32" i="42"/>
  <c r="H34" i="31"/>
  <c r="H34" i="16"/>
  <c r="H38" i="29"/>
  <c r="H23" i="37"/>
  <c r="H23" i="26"/>
  <c r="H22" i="18"/>
  <c r="H22" i="38"/>
  <c r="H28" i="33"/>
  <c r="I157" i="1"/>
  <c r="H31" i="18" s="1"/>
  <c r="H18" i="20"/>
  <c r="H18" i="37"/>
  <c r="H18" i="30"/>
  <c r="H18" i="42"/>
  <c r="H18" i="24"/>
  <c r="H18" i="26"/>
  <c r="H18" i="41"/>
  <c r="H18" i="31"/>
  <c r="H18" i="35"/>
  <c r="H18" i="18"/>
  <c r="H18" i="15"/>
  <c r="H18" i="22"/>
  <c r="H18" i="21"/>
  <c r="H18" i="38"/>
  <c r="H18" i="25"/>
  <c r="H18" i="16"/>
  <c r="H18" i="8"/>
  <c r="H18" i="23"/>
  <c r="H18" i="39"/>
  <c r="H18" i="14"/>
  <c r="H18" i="19"/>
  <c r="H18" i="17"/>
  <c r="H18" i="36"/>
  <c r="H18" i="29"/>
  <c r="H18" i="34"/>
  <c r="H18" i="32"/>
  <c r="H18" i="27"/>
  <c r="H18" i="33"/>
  <c r="H18" i="28"/>
  <c r="H20" i="40"/>
  <c r="H19" i="20"/>
  <c r="H19" i="37"/>
  <c r="H19" i="30"/>
  <c r="H19" i="42"/>
  <c r="H19" i="24"/>
  <c r="H19" i="26"/>
  <c r="H19" i="41"/>
  <c r="H19" i="31"/>
  <c r="H19" i="35"/>
  <c r="H19" i="18"/>
  <c r="H19" i="15"/>
  <c r="H19" i="22"/>
  <c r="H19" i="21"/>
  <c r="H19" i="38"/>
  <c r="H19" i="25"/>
  <c r="H19" i="16"/>
  <c r="H19" i="8"/>
  <c r="H19" i="23"/>
  <c r="H19" i="39"/>
  <c r="H19" i="14"/>
  <c r="H19" i="19"/>
  <c r="H19" i="17"/>
  <c r="H19" i="36"/>
  <c r="H19" i="29"/>
  <c r="H19" i="34"/>
  <c r="H19" i="32"/>
  <c r="H19" i="27"/>
  <c r="H19" i="33"/>
  <c r="H19" i="28"/>
  <c r="H17" i="43"/>
  <c r="H36" i="20"/>
  <c r="H34" i="24"/>
  <c r="H34" i="38"/>
  <c r="H38" i="17"/>
  <c r="H23" i="40"/>
  <c r="H22" i="20"/>
  <c r="H23" i="24"/>
  <c r="H23" i="35"/>
  <c r="H23" i="21"/>
  <c r="H24" i="19"/>
  <c r="H24" i="34"/>
  <c r="H23" i="28"/>
  <c r="I607" i="1"/>
  <c r="H40" i="37" s="1"/>
  <c r="I611" i="1"/>
  <c r="H39" i="26" s="1"/>
  <c r="I615" i="1"/>
  <c r="H42" i="18" s="1"/>
  <c r="I619" i="1"/>
  <c r="H37" i="38" s="1"/>
  <c r="I623" i="1"/>
  <c r="H39" i="23" s="1"/>
  <c r="I627" i="1"/>
  <c r="H40" i="17" s="1"/>
  <c r="I631" i="1"/>
  <c r="H35" i="32" s="1"/>
  <c r="H37" i="40"/>
  <c r="H33" i="42"/>
  <c r="H35" i="31"/>
  <c r="I32" i="15"/>
  <c r="H32" i="15"/>
  <c r="I35" i="25"/>
  <c r="H35" i="25"/>
  <c r="I36" i="39"/>
  <c r="H36" i="39"/>
  <c r="I34" i="36"/>
  <c r="H34" i="36"/>
  <c r="I34" i="27"/>
  <c r="H34" i="27"/>
  <c r="I26" i="45"/>
  <c r="H26" i="45"/>
  <c r="I38" i="22"/>
  <c r="H38" i="22"/>
  <c r="I45" i="14"/>
  <c r="H45" i="14"/>
  <c r="I39" i="29"/>
  <c r="H39" i="29"/>
  <c r="I34" i="33"/>
  <c r="H34" i="33"/>
  <c r="I39" i="40"/>
  <c r="H39" i="40"/>
  <c r="I35" i="42"/>
  <c r="H35" i="42"/>
  <c r="I37" i="31"/>
  <c r="H37" i="31"/>
  <c r="I40" i="22"/>
  <c r="H40" i="22"/>
  <c r="I38" i="21"/>
  <c r="H38" i="21"/>
  <c r="I37" i="8"/>
  <c r="H37" i="8"/>
  <c r="I34" i="19"/>
  <c r="H34" i="19"/>
  <c r="I34" i="34"/>
  <c r="H34" i="34"/>
  <c r="I37" i="28"/>
  <c r="H37" i="28"/>
  <c r="H25" i="17"/>
  <c r="H24" i="32"/>
  <c r="H22" i="43"/>
  <c r="I608" i="1"/>
  <c r="H34" i="30" s="1"/>
  <c r="I612" i="1"/>
  <c r="H38" i="41" s="1"/>
  <c r="I616" i="1"/>
  <c r="H33" i="15" s="1"/>
  <c r="I620" i="1"/>
  <c r="H36" i="25" s="1"/>
  <c r="I624" i="1"/>
  <c r="H37" i="39" s="1"/>
  <c r="I628" i="1"/>
  <c r="H35" i="36" s="1"/>
  <c r="I632" i="1"/>
  <c r="H35" i="27" s="1"/>
  <c r="H37" i="20"/>
  <c r="H35" i="24"/>
  <c r="H40" i="35"/>
  <c r="I36" i="38"/>
  <c r="H36" i="38"/>
  <c r="I38" i="23"/>
  <c r="H38" i="23"/>
  <c r="I39" i="17"/>
  <c r="H39" i="17"/>
  <c r="I34" i="32"/>
  <c r="H34" i="32"/>
  <c r="I30" i="43"/>
  <c r="H30" i="43"/>
  <c r="I37" i="33"/>
  <c r="I40" i="20"/>
  <c r="I36" i="42"/>
  <c r="I41" i="26"/>
  <c r="I38" i="31"/>
  <c r="I43" i="35"/>
  <c r="I35" i="15"/>
  <c r="I40" i="16"/>
  <c r="I41" i="23"/>
  <c r="I42" i="17"/>
  <c r="I37" i="32"/>
  <c r="I37" i="27"/>
  <c r="I38" i="27"/>
  <c r="N45" i="1"/>
  <c r="G10" i="24"/>
  <c r="G10" i="112" s="1"/>
  <c r="H39" i="16"/>
  <c r="H47" i="14"/>
  <c r="H41" i="29"/>
  <c r="H36" i="33"/>
  <c r="I158" i="1"/>
  <c r="G10" i="20"/>
  <c r="G6" i="112" s="1"/>
  <c r="O315" i="117"/>
  <c r="O77" i="117"/>
  <c r="O44" i="117"/>
  <c r="O372" i="117"/>
  <c r="G63" i="29" l="1"/>
  <c r="F46" i="4"/>
  <c r="G16" i="37"/>
  <c r="G20" i="41"/>
  <c r="G20" i="37"/>
  <c r="G10" i="14"/>
  <c r="G25" i="112" s="1"/>
  <c r="G24" i="41"/>
  <c r="G18" i="36"/>
  <c r="G56" i="28"/>
  <c r="H50" i="36"/>
  <c r="G59" i="17"/>
  <c r="H51" i="19"/>
  <c r="N270" i="117" s="1"/>
  <c r="G53" i="32"/>
  <c r="G57" i="33"/>
  <c r="G10" i="45"/>
  <c r="G38" i="112" s="1"/>
  <c r="N261" i="117"/>
  <c r="H63" i="29"/>
  <c r="N313" i="117" s="1"/>
  <c r="H57" i="33"/>
  <c r="N362" i="117" s="1"/>
  <c r="G10" i="23"/>
  <c r="G23" i="112" s="1"/>
  <c r="G10" i="22"/>
  <c r="G17" i="112" s="1"/>
  <c r="G10" i="36"/>
  <c r="G28" i="112" s="1"/>
  <c r="G10" i="33"/>
  <c r="G33" i="112" s="1"/>
  <c r="G10" i="39"/>
  <c r="G24" i="112" s="1"/>
  <c r="G10" i="42"/>
  <c r="G9" i="112" s="1"/>
  <c r="E36" i="112"/>
  <c r="E40" i="112" s="1"/>
  <c r="E43" i="112" s="1"/>
  <c r="G10" i="40"/>
  <c r="G5" i="112" s="1"/>
  <c r="G10" i="26"/>
  <c r="G11" i="112" s="1"/>
  <c r="G10" i="29"/>
  <c r="G29" i="112" s="1"/>
  <c r="G10" i="17"/>
  <c r="G27" i="112" s="1"/>
  <c r="G10" i="19"/>
  <c r="G26" i="112" s="1"/>
  <c r="G10" i="34"/>
  <c r="G30" i="112" s="1"/>
  <c r="G10" i="37"/>
  <c r="G7" i="112" s="1"/>
  <c r="G10" i="35"/>
  <c r="G14" i="112" s="1"/>
  <c r="C36" i="112"/>
  <c r="C40" i="112" s="1"/>
  <c r="C43" i="112" s="1"/>
  <c r="D44" i="4"/>
  <c r="K46" i="4"/>
  <c r="K44" i="4"/>
  <c r="Q39" i="4"/>
  <c r="O42" i="4"/>
  <c r="Q42" i="4" s="1"/>
  <c r="O46" i="4"/>
  <c r="Q46" i="4" s="1"/>
  <c r="L73" i="14"/>
  <c r="K73" i="14"/>
  <c r="G26" i="45"/>
  <c r="G31" i="43"/>
  <c r="G36" i="27"/>
  <c r="G19" i="40"/>
  <c r="H26" i="43"/>
  <c r="H28" i="43"/>
  <c r="G22" i="45"/>
  <c r="G21" i="43"/>
  <c r="G36" i="20"/>
  <c r="G16" i="19"/>
  <c r="G37" i="27"/>
  <c r="G24" i="8"/>
  <c r="N190" i="117"/>
  <c r="N255" i="117"/>
  <c r="N300" i="117"/>
  <c r="G58" i="21"/>
  <c r="H56" i="39"/>
  <c r="N247" i="117" s="1"/>
  <c r="G22" i="24"/>
  <c r="G16" i="41"/>
  <c r="G35" i="40"/>
  <c r="G23" i="21"/>
  <c r="G19" i="39"/>
  <c r="G34" i="14"/>
  <c r="G31" i="17"/>
  <c r="G40" i="35"/>
  <c r="G28" i="8"/>
  <c r="G35" i="20"/>
  <c r="G29" i="37"/>
  <c r="G32" i="24"/>
  <c r="G26" i="15"/>
  <c r="G34" i="24"/>
  <c r="G33" i="14"/>
  <c r="G36" i="39"/>
  <c r="G30" i="32"/>
  <c r="G26" i="33"/>
  <c r="G34" i="22"/>
  <c r="G31" i="38"/>
  <c r="G19" i="25"/>
  <c r="G37" i="21"/>
  <c r="G33" i="22"/>
  <c r="G17" i="42"/>
  <c r="G34" i="15"/>
  <c r="G31" i="22"/>
  <c r="G28" i="23"/>
  <c r="G23" i="37"/>
  <c r="G34" i="20"/>
  <c r="G35" i="24"/>
  <c r="G36" i="29"/>
  <c r="G17" i="8"/>
  <c r="G23" i="39"/>
  <c r="G24" i="17"/>
  <c r="G18" i="17"/>
  <c r="G16" i="27"/>
  <c r="G34" i="27"/>
  <c r="G19" i="22"/>
  <c r="G19" i="14"/>
  <c r="G36" i="36"/>
  <c r="G29" i="17"/>
  <c r="G33" i="17"/>
  <c r="G22" i="34"/>
  <c r="G20" i="30"/>
  <c r="G31" i="24"/>
  <c r="G39" i="26"/>
  <c r="G17" i="41"/>
  <c r="G32" i="18"/>
  <c r="G36" i="18"/>
  <c r="G24" i="22"/>
  <c r="G43" i="14"/>
  <c r="G29" i="14"/>
  <c r="G36" i="26"/>
  <c r="G36" i="33"/>
  <c r="G17" i="37"/>
  <c r="G17" i="26"/>
  <c r="G34" i="18"/>
  <c r="G20" i="21"/>
  <c r="G21" i="38"/>
  <c r="G18" i="19"/>
  <c r="G48" i="14"/>
  <c r="G27" i="28"/>
  <c r="G20" i="38"/>
  <c r="G29" i="22"/>
  <c r="G20" i="14"/>
  <c r="G25" i="17"/>
  <c r="G21" i="17"/>
  <c r="G42" i="29"/>
  <c r="G23" i="34"/>
  <c r="G38" i="26"/>
  <c r="G21" i="21"/>
  <c r="G18" i="38"/>
  <c r="G24" i="25"/>
  <c r="G19" i="19"/>
  <c r="G27" i="33"/>
  <c r="G27" i="32"/>
  <c r="G31" i="32"/>
  <c r="G21" i="32"/>
  <c r="G33" i="27"/>
  <c r="G28" i="28"/>
  <c r="G32" i="28"/>
  <c r="G36" i="28"/>
  <c r="G28" i="21"/>
  <c r="G30" i="17"/>
  <c r="G28" i="32"/>
  <c r="G32" i="32"/>
  <c r="G34" i="37"/>
  <c r="G27" i="24"/>
  <c r="G37" i="35"/>
  <c r="G33" i="15"/>
  <c r="G17" i="18"/>
  <c r="G20" i="22"/>
  <c r="G40" i="26"/>
  <c r="G19" i="21"/>
  <c r="G28" i="39"/>
  <c r="G32" i="39"/>
  <c r="G26" i="14"/>
  <c r="G21" i="34"/>
  <c r="G31" i="15"/>
  <c r="G39" i="23"/>
  <c r="G40" i="37"/>
  <c r="G31" i="26"/>
  <c r="G29" i="41"/>
  <c r="G28" i="18"/>
  <c r="G29" i="8"/>
  <c r="G36" i="8"/>
  <c r="G18" i="25"/>
  <c r="G26" i="38"/>
  <c r="G30" i="38"/>
  <c r="G24" i="19"/>
  <c r="G29" i="33"/>
  <c r="G33" i="32"/>
  <c r="G37" i="34"/>
  <c r="G29" i="34"/>
  <c r="G31" i="40"/>
  <c r="G27" i="26"/>
  <c r="G26" i="31"/>
  <c r="G35" i="35"/>
  <c r="G27" i="18"/>
  <c r="G29" i="15"/>
  <c r="G28" i="36"/>
  <c r="G20" i="17"/>
  <c r="G26" i="36"/>
  <c r="G30" i="34"/>
  <c r="G34" i="34"/>
  <c r="G29" i="27"/>
  <c r="G34" i="23"/>
  <c r="G17" i="19"/>
  <c r="G32" i="35"/>
  <c r="G36" i="35"/>
  <c r="G27" i="15"/>
  <c r="G32" i="21"/>
  <c r="G36" i="21"/>
  <c r="G31" i="25"/>
  <c r="G30" i="8"/>
  <c r="G28" i="22"/>
  <c r="G37" i="38"/>
  <c r="G33" i="23"/>
  <c r="G22" i="17"/>
  <c r="G27" i="39"/>
  <c r="G31" i="39"/>
  <c r="G35" i="39"/>
  <c r="G39" i="39"/>
  <c r="G39" i="37"/>
  <c r="G33" i="37"/>
  <c r="G35" i="37"/>
  <c r="G37" i="40"/>
  <c r="G28" i="24"/>
  <c r="G31" i="28"/>
  <c r="G35" i="28"/>
  <c r="G30" i="22"/>
  <c r="G29" i="21"/>
  <c r="G33" i="21"/>
  <c r="G34" i="38"/>
  <c r="G28" i="25"/>
  <c r="G32" i="25"/>
  <c r="G37" i="20"/>
  <c r="G28" i="42"/>
  <c r="G30" i="27"/>
  <c r="G37" i="16"/>
  <c r="G38" i="25"/>
  <c r="G41" i="22"/>
  <c r="G20" i="39"/>
  <c r="G19" i="34"/>
  <c r="G36" i="34"/>
  <c r="G23" i="38"/>
  <c r="G41" i="21"/>
  <c r="G21" i="39"/>
  <c r="G47" i="14"/>
  <c r="G32" i="14"/>
  <c r="G17" i="32"/>
  <c r="G35" i="27"/>
  <c r="G37" i="33"/>
  <c r="G21" i="22"/>
  <c r="G18" i="22"/>
  <c r="G22" i="39"/>
  <c r="G21" i="19"/>
  <c r="G42" i="17"/>
  <c r="G18" i="34"/>
  <c r="G19" i="17"/>
  <c r="G23" i="17"/>
  <c r="G32" i="27"/>
  <c r="C41" i="40"/>
  <c r="G38" i="38"/>
  <c r="G38" i="37"/>
  <c r="G36" i="41"/>
  <c r="G33" i="36"/>
  <c r="G27" i="19"/>
  <c r="G23" i="16"/>
  <c r="G33" i="16"/>
  <c r="G36" i="16"/>
  <c r="G37" i="22"/>
  <c r="G40" i="18"/>
  <c r="G44" i="14"/>
  <c r="G35" i="38"/>
  <c r="G33" i="19"/>
  <c r="G17" i="16"/>
  <c r="G19" i="16"/>
  <c r="G38" i="16"/>
  <c r="G29" i="16"/>
  <c r="L65" i="14"/>
  <c r="K65" i="14"/>
  <c r="G32" i="37"/>
  <c r="G23" i="33"/>
  <c r="G23" i="27"/>
  <c r="G20" i="45"/>
  <c r="G24" i="32"/>
  <c r="G16" i="20"/>
  <c r="G20" i="36"/>
  <c r="G17" i="36"/>
  <c r="G29" i="24"/>
  <c r="G38" i="29"/>
  <c r="G31" i="23"/>
  <c r="G35" i="23"/>
  <c r="G21" i="15"/>
  <c r="G27" i="41"/>
  <c r="G31" i="41"/>
  <c r="G35" i="41"/>
  <c r="G26" i="18"/>
  <c r="G30" i="18"/>
  <c r="G30" i="15"/>
  <c r="G35" i="16"/>
  <c r="G38" i="8"/>
  <c r="G33" i="29"/>
  <c r="E41" i="20"/>
  <c r="G23" i="15"/>
  <c r="G18" i="32"/>
  <c r="G22" i="42"/>
  <c r="G20" i="42"/>
  <c r="G32" i="30"/>
  <c r="G17" i="40"/>
  <c r="G32" i="15"/>
  <c r="G32" i="8"/>
  <c r="G36" i="14"/>
  <c r="G40" i="14"/>
  <c r="G45" i="14"/>
  <c r="G33" i="30"/>
  <c r="G32" i="23"/>
  <c r="G36" i="23"/>
  <c r="G27" i="34"/>
  <c r="G31" i="34"/>
  <c r="G35" i="8"/>
  <c r="G30" i="23"/>
  <c r="G22" i="23"/>
  <c r="G29" i="20"/>
  <c r="G53" i="25"/>
  <c r="G55" i="38"/>
  <c r="G33" i="33"/>
  <c r="G52" i="27"/>
  <c r="G26" i="27"/>
  <c r="G31" i="27"/>
  <c r="H52" i="27"/>
  <c r="N347" i="117" s="1"/>
  <c r="H53" i="32"/>
  <c r="N338" i="117" s="1"/>
  <c r="G54" i="34"/>
  <c r="H54" i="34"/>
  <c r="N327" i="117" s="1"/>
  <c r="G27" i="36"/>
  <c r="G31" i="36"/>
  <c r="G51" i="19"/>
  <c r="H59" i="17"/>
  <c r="N282" i="117" s="1"/>
  <c r="G85" i="14"/>
  <c r="G35" i="14"/>
  <c r="H85" i="14"/>
  <c r="H58" i="21"/>
  <c r="N159" i="117" s="1"/>
  <c r="G56" i="39"/>
  <c r="G30" i="39"/>
  <c r="G34" i="39"/>
  <c r="G38" i="39"/>
  <c r="H62" i="23"/>
  <c r="N231" i="117" s="1"/>
  <c r="G38" i="23"/>
  <c r="G62" i="23"/>
  <c r="G33" i="8"/>
  <c r="H59" i="8"/>
  <c r="N217" i="117" s="1"/>
  <c r="G37" i="8"/>
  <c r="G59" i="8"/>
  <c r="G58" i="16"/>
  <c r="H58" i="16"/>
  <c r="N203" i="117" s="1"/>
  <c r="H53" i="25"/>
  <c r="N180" i="117" s="1"/>
  <c r="H55" i="38"/>
  <c r="N170" i="117" s="1"/>
  <c r="G27" i="38"/>
  <c r="G36" i="38"/>
  <c r="G16" i="21"/>
  <c r="H63" i="22"/>
  <c r="N147" i="117" s="1"/>
  <c r="G27" i="22"/>
  <c r="G63" i="22"/>
  <c r="G29" i="35"/>
  <c r="G33" i="35"/>
  <c r="G41" i="35"/>
  <c r="G30" i="41"/>
  <c r="G34" i="41"/>
  <c r="G29" i="26"/>
  <c r="G34" i="26"/>
  <c r="G32" i="26"/>
  <c r="G23" i="42"/>
  <c r="G21" i="42"/>
  <c r="G27" i="30"/>
  <c r="G36" i="37"/>
  <c r="G28" i="20"/>
  <c r="G33" i="20"/>
  <c r="G30" i="40"/>
  <c r="G34" i="40"/>
  <c r="G38" i="40"/>
  <c r="G29" i="18"/>
  <c r="G33" i="18"/>
  <c r="G35" i="26"/>
  <c r="G22" i="21"/>
  <c r="G19" i="38"/>
  <c r="G28" i="14"/>
  <c r="G37" i="19"/>
  <c r="G28" i="27"/>
  <c r="G19" i="33"/>
  <c r="G22" i="40"/>
  <c r="G32" i="40"/>
  <c r="G30" i="14"/>
  <c r="G41" i="29"/>
  <c r="G41" i="17"/>
  <c r="G24" i="34"/>
  <c r="G18" i="40"/>
  <c r="G20" i="40"/>
  <c r="G27" i="37"/>
  <c r="G40" i="21"/>
  <c r="G17" i="23"/>
  <c r="G18" i="14"/>
  <c r="G18" i="39"/>
  <c r="G31" i="14"/>
  <c r="G36" i="19"/>
  <c r="C37" i="15"/>
  <c r="E37" i="15"/>
  <c r="G23" i="40"/>
  <c r="G29" i="40"/>
  <c r="G33" i="40"/>
  <c r="G16" i="40"/>
  <c r="E41" i="40"/>
  <c r="G27" i="40"/>
  <c r="G39" i="40"/>
  <c r="G28" i="40"/>
  <c r="G21" i="40"/>
  <c r="G26" i="40"/>
  <c r="G36" i="40"/>
  <c r="G29" i="23"/>
  <c r="G40" i="16"/>
  <c r="G22" i="41"/>
  <c r="G21" i="36"/>
  <c r="G24" i="45"/>
  <c r="G26" i="42"/>
  <c r="G24" i="26"/>
  <c r="G21" i="26"/>
  <c r="G26" i="28"/>
  <c r="G30" i="28"/>
  <c r="G34" i="28"/>
  <c r="G38" i="28"/>
  <c r="G16" i="45"/>
  <c r="G23" i="45"/>
  <c r="G38" i="14"/>
  <c r="G42" i="14"/>
  <c r="G29" i="25"/>
  <c r="G33" i="25"/>
  <c r="G26" i="39"/>
  <c r="G30" i="20"/>
  <c r="G32" i="20"/>
  <c r="G39" i="20"/>
  <c r="G19" i="36"/>
  <c r="G30" i="35"/>
  <c r="G34" i="35"/>
  <c r="G38" i="35"/>
  <c r="G42" i="35"/>
  <c r="G29" i="38"/>
  <c r="G33" i="38"/>
  <c r="G39" i="38"/>
  <c r="G28" i="19"/>
  <c r="G27" i="8"/>
  <c r="G30" i="25"/>
  <c r="G34" i="25"/>
  <c r="G34" i="8"/>
  <c r="G35" i="17"/>
  <c r="G39" i="17"/>
  <c r="G29" i="32"/>
  <c r="G28" i="34"/>
  <c r="G32" i="34"/>
  <c r="G22" i="37"/>
  <c r="G31" i="8"/>
  <c r="G33" i="39"/>
  <c r="G37" i="39"/>
  <c r="G30" i="36"/>
  <c r="G35" i="36"/>
  <c r="G37" i="29"/>
  <c r="E39" i="34"/>
  <c r="G28" i="17"/>
  <c r="G32" i="17"/>
  <c r="G36" i="17"/>
  <c r="G40" i="17"/>
  <c r="G27" i="35"/>
  <c r="G31" i="35"/>
  <c r="G39" i="35"/>
  <c r="G37" i="41"/>
  <c r="G31" i="18"/>
  <c r="G35" i="18"/>
  <c r="G29" i="36"/>
  <c r="G34" i="36"/>
  <c r="G16" i="34"/>
  <c r="G30" i="37"/>
  <c r="G31" i="37"/>
  <c r="C43" i="37"/>
  <c r="G37" i="37"/>
  <c r="G28" i="37"/>
  <c r="G38" i="20"/>
  <c r="G26" i="30"/>
  <c r="G29" i="30"/>
  <c r="G37" i="17"/>
  <c r="G31" i="29"/>
  <c r="G29" i="28"/>
  <c r="G33" i="28"/>
  <c r="G37" i="28"/>
  <c r="G27" i="21"/>
  <c r="G31" i="21"/>
  <c r="G35" i="21"/>
  <c r="G27" i="23"/>
  <c r="G37" i="14"/>
  <c r="G41" i="14"/>
  <c r="G31" i="19"/>
  <c r="G29" i="19"/>
  <c r="G40" i="29"/>
  <c r="G34" i="17"/>
  <c r="G38" i="17"/>
  <c r="G34" i="32"/>
  <c r="G18" i="43"/>
  <c r="G37" i="24"/>
  <c r="G32" i="22"/>
  <c r="G28" i="38"/>
  <c r="G32" i="38"/>
  <c r="G30" i="26"/>
  <c r="G28" i="26"/>
  <c r="G27" i="31"/>
  <c r="G27" i="27"/>
  <c r="G28" i="41"/>
  <c r="G32" i="41"/>
  <c r="G35" i="15"/>
  <c r="G23" i="19"/>
  <c r="G34" i="19"/>
  <c r="G23" i="14"/>
  <c r="G21" i="14"/>
  <c r="G17" i="34"/>
  <c r="G17" i="27"/>
  <c r="G17" i="33"/>
  <c r="G41" i="37"/>
  <c r="G17" i="22"/>
  <c r="G17" i="15"/>
  <c r="G22" i="38"/>
  <c r="G24" i="21"/>
  <c r="G20" i="19"/>
  <c r="G22" i="14"/>
  <c r="G22" i="29"/>
  <c r="G37" i="36"/>
  <c r="G20" i="34"/>
  <c r="G36" i="32"/>
  <c r="G40" i="22"/>
  <c r="G18" i="21"/>
  <c r="G22" i="19"/>
  <c r="G49" i="14"/>
  <c r="G37" i="32"/>
  <c r="G17" i="45"/>
  <c r="G28" i="43"/>
  <c r="G18" i="27"/>
  <c r="G22" i="27"/>
  <c r="G31" i="16"/>
  <c r="G16" i="29"/>
  <c r="C39" i="34"/>
  <c r="G19" i="29"/>
  <c r="G22" i="43"/>
  <c r="G16" i="43"/>
  <c r="C33" i="43"/>
  <c r="G26" i="43"/>
  <c r="G25" i="45"/>
  <c r="G18" i="29"/>
  <c r="G19" i="43"/>
  <c r="G30" i="43"/>
  <c r="G18" i="20"/>
  <c r="G21" i="18"/>
  <c r="G22" i="18"/>
  <c r="G21" i="31"/>
  <c r="G18" i="15"/>
  <c r="G19" i="8"/>
  <c r="G19" i="23"/>
  <c r="E33" i="43"/>
  <c r="G15" i="45"/>
  <c r="C28" i="45"/>
  <c r="G25" i="43"/>
  <c r="G17" i="43"/>
  <c r="G35" i="19"/>
  <c r="G29" i="43"/>
  <c r="E28" i="45"/>
  <c r="G20" i="43"/>
  <c r="G21" i="45"/>
  <c r="E43" i="28"/>
  <c r="G20" i="31"/>
  <c r="G19" i="15"/>
  <c r="G22" i="16"/>
  <c r="G23" i="8"/>
  <c r="G18" i="23"/>
  <c r="G23" i="23"/>
  <c r="G21" i="8"/>
  <c r="G21" i="27"/>
  <c r="G19" i="32"/>
  <c r="G18" i="28"/>
  <c r="G17" i="29"/>
  <c r="G20" i="27"/>
  <c r="C43" i="28"/>
  <c r="G22" i="36"/>
  <c r="E40" i="27"/>
  <c r="G20" i="33"/>
  <c r="G21" i="28"/>
  <c r="G20" i="32"/>
  <c r="G19" i="27"/>
  <c r="G21" i="33"/>
  <c r="G22" i="28"/>
  <c r="G18" i="33"/>
  <c r="G19" i="28"/>
  <c r="G17" i="28"/>
  <c r="G20" i="28"/>
  <c r="G23" i="29"/>
  <c r="G39" i="28"/>
  <c r="G20" i="29"/>
  <c r="G22" i="33"/>
  <c r="G23" i="28"/>
  <c r="G41" i="28"/>
  <c r="G23" i="36"/>
  <c r="G24" i="29"/>
  <c r="G22" i="32"/>
  <c r="G38" i="27"/>
  <c r="G40" i="28"/>
  <c r="G17" i="38"/>
  <c r="G17" i="14"/>
  <c r="G46" i="14"/>
  <c r="G27" i="14"/>
  <c r="G35" i="32"/>
  <c r="C40" i="27"/>
  <c r="G16" i="33"/>
  <c r="C39" i="33"/>
  <c r="G34" i="33"/>
  <c r="G35" i="33"/>
  <c r="E39" i="33"/>
  <c r="G16" i="32"/>
  <c r="C39" i="32"/>
  <c r="E39" i="32"/>
  <c r="G25" i="29"/>
  <c r="E44" i="29"/>
  <c r="G17" i="39"/>
  <c r="E44" i="17"/>
  <c r="G23" i="35"/>
  <c r="G21" i="29"/>
  <c r="C44" i="29"/>
  <c r="G35" i="34"/>
  <c r="G22" i="15"/>
  <c r="E39" i="36"/>
  <c r="C39" i="36"/>
  <c r="G16" i="36"/>
  <c r="C39" i="19"/>
  <c r="G16" i="17"/>
  <c r="C44" i="17"/>
  <c r="E39" i="19"/>
  <c r="G17" i="17"/>
  <c r="G32" i="19"/>
  <c r="C51" i="14"/>
  <c r="G16" i="14"/>
  <c r="E51" i="14"/>
  <c r="E41" i="39"/>
  <c r="C41" i="39"/>
  <c r="G16" i="39"/>
  <c r="G39" i="8"/>
  <c r="E43" i="23"/>
  <c r="G16" i="23"/>
  <c r="C43" i="23"/>
  <c r="G20" i="23"/>
  <c r="G18" i="8"/>
  <c r="G21" i="23"/>
  <c r="G16" i="8"/>
  <c r="C42" i="8"/>
  <c r="G41" i="23"/>
  <c r="E42" i="8"/>
  <c r="G24" i="23"/>
  <c r="G22" i="8"/>
  <c r="G36" i="24"/>
  <c r="G17" i="25"/>
  <c r="G36" i="25"/>
  <c r="G40" i="23"/>
  <c r="G40" i="8"/>
  <c r="G37" i="25"/>
  <c r="E42" i="16"/>
  <c r="C42" i="16"/>
  <c r="G30" i="21"/>
  <c r="G34" i="21"/>
  <c r="G38" i="21"/>
  <c r="G30" i="29"/>
  <c r="G22" i="31"/>
  <c r="G20" i="18"/>
  <c r="G19" i="31"/>
  <c r="G18" i="18"/>
  <c r="G17" i="31"/>
  <c r="G20" i="15"/>
  <c r="G20" i="16"/>
  <c r="G39" i="16"/>
  <c r="G21" i="16"/>
  <c r="G28" i="16"/>
  <c r="G39" i="21"/>
  <c r="G26" i="16"/>
  <c r="G20" i="25"/>
  <c r="G32" i="16"/>
  <c r="G30" i="16"/>
  <c r="G27" i="16"/>
  <c r="G18" i="16"/>
  <c r="G16" i="16"/>
  <c r="G34" i="16"/>
  <c r="G16" i="25"/>
  <c r="C40" i="25"/>
  <c r="G21" i="25"/>
  <c r="G23" i="22"/>
  <c r="G22" i="25"/>
  <c r="E40" i="25"/>
  <c r="G23" i="25"/>
  <c r="E41" i="38"/>
  <c r="C41" i="38"/>
  <c r="G16" i="38"/>
  <c r="C43" i="21"/>
  <c r="E43" i="21"/>
  <c r="G17" i="21"/>
  <c r="G39" i="22"/>
  <c r="G22" i="22"/>
  <c r="G23" i="18"/>
  <c r="E43" i="22"/>
  <c r="G16" i="22"/>
  <c r="C43" i="22"/>
  <c r="G16" i="15"/>
  <c r="C41" i="41"/>
  <c r="G16" i="35"/>
  <c r="C45" i="35"/>
  <c r="G24" i="35"/>
  <c r="G19" i="18"/>
  <c r="G17" i="35"/>
  <c r="G18" i="31"/>
  <c r="G21" i="35"/>
  <c r="G43" i="18"/>
  <c r="G18" i="35"/>
  <c r="E40" i="31"/>
  <c r="E45" i="35"/>
  <c r="C46" i="18"/>
  <c r="G16" i="18"/>
  <c r="G42" i="18"/>
  <c r="G22" i="35"/>
  <c r="G44" i="18"/>
  <c r="G20" i="35"/>
  <c r="E46" i="18"/>
  <c r="G23" i="31"/>
  <c r="C40" i="31"/>
  <c r="G16" i="31"/>
  <c r="G19" i="35"/>
  <c r="G43" i="35"/>
  <c r="G20" i="20"/>
  <c r="G21" i="24"/>
  <c r="G18" i="41"/>
  <c r="C40" i="24"/>
  <c r="G16" i="24"/>
  <c r="G23" i="26"/>
  <c r="G23" i="41"/>
  <c r="E40" i="24"/>
  <c r="G16" i="26"/>
  <c r="C43" i="26"/>
  <c r="G17" i="24"/>
  <c r="G18" i="26"/>
  <c r="E43" i="26"/>
  <c r="G18" i="24"/>
  <c r="G20" i="26"/>
  <c r="G41" i="26"/>
  <c r="E41" i="41"/>
  <c r="G22" i="26"/>
  <c r="G19" i="26"/>
  <c r="G19" i="41"/>
  <c r="G23" i="24"/>
  <c r="G24" i="24"/>
  <c r="G19" i="42"/>
  <c r="G19" i="24"/>
  <c r="G38" i="24"/>
  <c r="G20" i="24"/>
  <c r="G18" i="42"/>
  <c r="E38" i="42"/>
  <c r="G16" i="42"/>
  <c r="C38" i="42"/>
  <c r="G36" i="42"/>
  <c r="G19" i="30"/>
  <c r="G33" i="34"/>
  <c r="G30" i="30"/>
  <c r="G19" i="20"/>
  <c r="G23" i="30"/>
  <c r="G18" i="30"/>
  <c r="E37" i="30"/>
  <c r="G21" i="30"/>
  <c r="C37" i="30"/>
  <c r="G16" i="30"/>
  <c r="G21" i="37"/>
  <c r="G19" i="37"/>
  <c r="G28" i="30"/>
  <c r="G26" i="20"/>
  <c r="G17" i="20"/>
  <c r="G22" i="20"/>
  <c r="G23" i="20"/>
  <c r="G27" i="20"/>
  <c r="G21" i="20"/>
  <c r="G34" i="30"/>
  <c r="G33" i="42"/>
  <c r="G35" i="42"/>
  <c r="G18" i="37"/>
  <c r="G22" i="30"/>
  <c r="G31" i="33"/>
  <c r="G31" i="30"/>
  <c r="G35" i="30"/>
  <c r="G32" i="42"/>
  <c r="G27" i="42"/>
  <c r="C41" i="20"/>
  <c r="G29" i="42"/>
  <c r="G34" i="42"/>
  <c r="G30" i="24"/>
  <c r="G39" i="41"/>
  <c r="G31" i="31"/>
  <c r="G35" i="31"/>
  <c r="G41" i="18"/>
  <c r="G36" i="22"/>
  <c r="G39" i="14"/>
  <c r="G28" i="33"/>
  <c r="E43" i="37"/>
  <c r="G30" i="42"/>
  <c r="G33" i="26"/>
  <c r="G37" i="26"/>
  <c r="G28" i="31"/>
  <c r="G32" i="31"/>
  <c r="G36" i="31"/>
  <c r="G37" i="18"/>
  <c r="G28" i="15"/>
  <c r="G38" i="22"/>
  <c r="G32" i="36"/>
  <c r="G16" i="28"/>
  <c r="G29" i="31"/>
  <c r="G33" i="31"/>
  <c r="G37" i="31"/>
  <c r="G38" i="18"/>
  <c r="G30" i="33"/>
  <c r="G32" i="33"/>
  <c r="G40" i="20"/>
  <c r="G17" i="30"/>
  <c r="G31" i="42"/>
  <c r="G33" i="24"/>
  <c r="G28" i="35"/>
  <c r="G33" i="41"/>
  <c r="G38" i="41"/>
  <c r="G30" i="31"/>
  <c r="G34" i="31"/>
  <c r="G38" i="31"/>
  <c r="G39" i="18"/>
  <c r="G35" i="22"/>
  <c r="G27" i="25"/>
  <c r="G35" i="25"/>
  <c r="G29" i="39"/>
  <c r="G24" i="37"/>
  <c r="O313" i="117"/>
  <c r="O327" i="117"/>
  <c r="O159" i="117"/>
  <c r="O255" i="117"/>
  <c r="O217" i="117"/>
  <c r="O362" i="117"/>
  <c r="O247" i="117"/>
  <c r="O338" i="117"/>
  <c r="O261" i="117"/>
  <c r="O170" i="117"/>
  <c r="O300" i="117"/>
  <c r="O180" i="117"/>
  <c r="O270" i="117"/>
  <c r="O203" i="117"/>
  <c r="O147" i="117"/>
  <c r="O190" i="117"/>
  <c r="O347" i="117"/>
  <c r="O231" i="117"/>
  <c r="O282" i="117"/>
  <c r="G36" i="112" l="1"/>
  <c r="G40" i="112" s="1"/>
  <c r="G43" i="112" s="1"/>
  <c r="G41" i="40"/>
  <c r="C9" i="109" s="1"/>
  <c r="F9" i="109" s="1"/>
  <c r="G41" i="20"/>
  <c r="C10" i="109" s="1"/>
  <c r="G37" i="15"/>
  <c r="C20" i="109" s="1"/>
  <c r="C47" i="109"/>
  <c r="G41" i="38"/>
  <c r="C23" i="109" s="1"/>
  <c r="G39" i="19"/>
  <c r="C30" i="109" s="1"/>
  <c r="G40" i="27"/>
  <c r="C36" i="109" s="1"/>
  <c r="G39" i="34"/>
  <c r="C34" i="109" s="1"/>
  <c r="G33" i="43"/>
  <c r="C42" i="109" s="1"/>
  <c r="G28" i="45"/>
  <c r="C43" i="109" s="1"/>
  <c r="G43" i="28"/>
  <c r="C38" i="109" s="1"/>
  <c r="G44" i="17"/>
  <c r="C31" i="109" s="1"/>
  <c r="G39" i="32"/>
  <c r="C35" i="109" s="1"/>
  <c r="G39" i="33"/>
  <c r="C37" i="109" s="1"/>
  <c r="G44" i="29"/>
  <c r="C33" i="109" s="1"/>
  <c r="G39" i="36"/>
  <c r="C32" i="109" s="1"/>
  <c r="G51" i="14"/>
  <c r="C29" i="109" s="1"/>
  <c r="G41" i="39"/>
  <c r="C28" i="109" s="1"/>
  <c r="G42" i="16"/>
  <c r="C25" i="109" s="1"/>
  <c r="G42" i="8"/>
  <c r="C26" i="109" s="1"/>
  <c r="G43" i="23"/>
  <c r="C27" i="109" s="1"/>
  <c r="G43" i="21"/>
  <c r="C22" i="109" s="1"/>
  <c r="G40" i="25"/>
  <c r="C24" i="109" s="1"/>
  <c r="G43" i="22"/>
  <c r="C21" i="109" s="1"/>
  <c r="G40" i="31"/>
  <c r="C17" i="109" s="1"/>
  <c r="G46" i="18"/>
  <c r="C19" i="109" s="1"/>
  <c r="G45" i="35"/>
  <c r="C18" i="109" s="1"/>
  <c r="G41" i="41"/>
  <c r="C16" i="109" s="1"/>
  <c r="G43" i="26"/>
  <c r="C15" i="109" s="1"/>
  <c r="G40" i="24"/>
  <c r="C14" i="109" s="1"/>
  <c r="G38" i="42"/>
  <c r="C13" i="109" s="1"/>
  <c r="G37" i="30"/>
  <c r="C12" i="109" s="1"/>
  <c r="G43" i="37"/>
  <c r="C11" i="109" s="1"/>
  <c r="C40" i="109" l="1"/>
  <c r="C45" i="109" s="1"/>
  <c r="C49" i="109" s="1"/>
  <c r="B26" i="1" l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636" i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" i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3" i="1"/>
  <c r="B4" i="1" s="1"/>
  <c r="B5" i="1" s="1"/>
  <c r="A3" i="66"/>
  <c r="A3" i="109"/>
  <c r="C9" i="4"/>
  <c r="C10" i="4" s="1"/>
  <c r="C11" i="4" s="1"/>
  <c r="C12" i="4" s="1"/>
  <c r="C13" i="4" s="1"/>
  <c r="C14" i="4" s="1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40" i="4" s="1"/>
  <c r="C41" i="4" s="1"/>
  <c r="I3" i="45" l="1"/>
  <c r="C13" i="45" s="1"/>
  <c r="I3" i="40"/>
  <c r="I3" i="17"/>
  <c r="C13" i="17" s="1"/>
  <c r="I3" i="15"/>
  <c r="C13" i="15" s="1"/>
  <c r="I3" i="25"/>
  <c r="C13" i="25" s="1"/>
  <c r="I3" i="36"/>
  <c r="C13" i="36" s="1"/>
  <c r="I3" i="30"/>
  <c r="C13" i="30" s="1"/>
  <c r="I3" i="41"/>
  <c r="C13" i="41" s="1"/>
  <c r="I3" i="18"/>
  <c r="C13" i="18" s="1"/>
  <c r="I3" i="24"/>
  <c r="C13" i="24" s="1"/>
  <c r="I3" i="23"/>
  <c r="C13" i="23" s="1"/>
  <c r="I3" i="32"/>
  <c r="C13" i="32" s="1"/>
  <c r="I3" i="31"/>
  <c r="C13" i="31" s="1"/>
  <c r="I3" i="38"/>
  <c r="C13" i="38" s="1"/>
  <c r="I3" i="19"/>
  <c r="C13" i="19" s="1"/>
  <c r="I3" i="28"/>
  <c r="C13" i="28" s="1"/>
  <c r="I3" i="34"/>
  <c r="C13" i="34" s="1"/>
  <c r="I3" i="42"/>
  <c r="C13" i="42" s="1"/>
  <c r="I3" i="26"/>
  <c r="C13" i="26" s="1"/>
  <c r="I3" i="8"/>
  <c r="C13" i="8" s="1"/>
  <c r="I3" i="22"/>
  <c r="C13" i="22" s="1"/>
  <c r="I3" i="29"/>
  <c r="C13" i="29" s="1"/>
  <c r="I3" i="39"/>
  <c r="C13" i="39" s="1"/>
  <c r="I3" i="37"/>
  <c r="C13" i="37" s="1"/>
  <c r="I3" i="43"/>
  <c r="C13" i="43" s="1"/>
  <c r="I3" i="27"/>
  <c r="C13" i="27" s="1"/>
  <c r="I3" i="20"/>
  <c r="C13" i="20" s="1"/>
  <c r="I3" i="21"/>
  <c r="C13" i="21" s="1"/>
  <c r="I3" i="16"/>
  <c r="C13" i="16" s="1"/>
  <c r="I3" i="35"/>
  <c r="C13" i="35" s="1"/>
  <c r="I3" i="14"/>
  <c r="C13" i="14" s="1"/>
  <c r="I3" i="33"/>
  <c r="C13" i="33" s="1"/>
  <c r="B293" i="1"/>
  <c r="B294" i="1" s="1"/>
  <c r="B295" i="1" s="1"/>
  <c r="B296" i="1" s="1"/>
  <c r="B297" i="1" s="1"/>
  <c r="B298" i="1" s="1"/>
  <c r="B299" i="1" s="1"/>
  <c r="B300" i="1" s="1"/>
  <c r="B301" i="1" s="1"/>
  <c r="B292" i="1"/>
  <c r="B637" i="1"/>
  <c r="A3" i="4"/>
  <c r="B303" i="1" l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02" i="1"/>
  <c r="B332" i="1" l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l="1"/>
  <c r="B427" i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</calcChain>
</file>

<file path=xl/comments1.xml><?xml version="1.0" encoding="utf-8"?>
<comments xmlns="http://schemas.openxmlformats.org/spreadsheetml/2006/main">
  <authors>
    <author>Nicholas Lutes</author>
    <author>Scherry Sinclair</author>
  </authors>
  <commentList>
    <comment ref="M8" authorId="0" shapeId="0">
      <text>
        <r>
          <rPr>
            <b/>
            <sz val="9"/>
            <color indexed="81"/>
            <rFont val="Tahoma"/>
            <family val="2"/>
          </rPr>
          <t>Nicholas Lutes:</t>
        </r>
        <r>
          <rPr>
            <sz val="9"/>
            <color indexed="81"/>
            <rFont val="Tahoma"/>
            <family val="2"/>
          </rPr>
          <t xml:space="preserve">
removed the $19,500.  need to see if this is amount is need moving forward.</t>
        </r>
      </text>
    </comment>
    <comment ref="L69" authorId="1" shapeId="0">
      <text>
        <r>
          <rPr>
            <b/>
            <sz val="9"/>
            <color indexed="81"/>
            <rFont val="Tahoma"/>
            <family val="2"/>
          </rPr>
          <t>Scherry Sinclair:</t>
        </r>
        <r>
          <rPr>
            <sz val="9"/>
            <color indexed="81"/>
            <rFont val="Tahoma"/>
            <family val="2"/>
          </rPr>
          <t xml:space="preserve">
already includes adj of 306000+27000- switch of fund for 001</t>
        </r>
      </text>
    </comment>
    <comment ref="L99" authorId="1" shapeId="0">
      <text>
        <r>
          <rPr>
            <b/>
            <sz val="9"/>
            <color indexed="81"/>
            <rFont val="Tahoma"/>
            <family val="2"/>
          </rPr>
          <t>Scherry Sinclair:</t>
        </r>
        <r>
          <rPr>
            <sz val="9"/>
            <color indexed="81"/>
            <rFont val="Tahoma"/>
            <family val="2"/>
          </rPr>
          <t xml:space="preserve">
431 pgm supRetiremnt  &amp; -3215 pgm LEAN</t>
        </r>
      </text>
    </comment>
    <comment ref="M99" authorId="0" shapeId="0">
      <text>
        <r>
          <rPr>
            <b/>
            <sz val="9"/>
            <color indexed="81"/>
            <rFont val="Tahoma"/>
            <family val="2"/>
          </rPr>
          <t>Nicholas Lutes:</t>
        </r>
        <r>
          <rPr>
            <sz val="9"/>
            <color indexed="81"/>
            <rFont val="Tahoma"/>
            <family val="2"/>
          </rPr>
          <t xml:space="preserve">
Technology Transformation in base at $1,009,270
Workforce/Aerospace at 132,000
</t>
        </r>
      </text>
    </comment>
    <comment ref="L104" authorId="0" shapeId="0">
      <text>
        <r>
          <rPr>
            <b/>
            <sz val="9"/>
            <color indexed="81"/>
            <rFont val="Tahoma"/>
            <family val="2"/>
          </rPr>
          <t>Nicholas Lutes:</t>
        </r>
        <r>
          <rPr>
            <sz val="9"/>
            <color indexed="81"/>
            <rFont val="Tahoma"/>
            <family val="2"/>
          </rPr>
          <t xml:space="preserve">
what is the 170,000?
Changed to $147,600
</t>
        </r>
      </text>
    </comment>
    <comment ref="L299" authorId="0" shapeId="0">
      <text>
        <r>
          <rPr>
            <b/>
            <sz val="9"/>
            <color indexed="81"/>
            <rFont val="Tahoma"/>
            <family val="2"/>
          </rPr>
          <t>Nicholas Lutes:</t>
        </r>
        <r>
          <rPr>
            <sz val="9"/>
            <color indexed="81"/>
            <rFont val="Tahoma"/>
            <family val="2"/>
          </rPr>
          <t xml:space="preserve">
was $43,074 in Allocation six
less $1000 due to LEAN
</t>
        </r>
      </text>
    </comment>
    <comment ref="N321" authorId="1" shapeId="0">
      <text>
        <r>
          <rPr>
            <b/>
            <sz val="9"/>
            <color indexed="81"/>
            <rFont val="Tahoma"/>
            <family val="2"/>
          </rPr>
          <t>Scherry Sinclair:</t>
        </r>
        <r>
          <rPr>
            <sz val="9"/>
            <color indexed="81"/>
            <rFont val="Tahoma"/>
            <family val="2"/>
          </rPr>
          <t xml:space="preserve">
WAS BC2</t>
        </r>
      </text>
    </comment>
    <comment ref="N322" authorId="1" shapeId="0">
      <text>
        <r>
          <rPr>
            <b/>
            <sz val="9"/>
            <color indexed="81"/>
            <rFont val="Tahoma"/>
            <family val="2"/>
          </rPr>
          <t>Scherry Sinclair:</t>
        </r>
        <r>
          <rPr>
            <sz val="9"/>
            <color indexed="81"/>
            <rFont val="Tahoma"/>
            <family val="2"/>
          </rPr>
          <t xml:space="preserve">
BK2 FY15</t>
        </r>
      </text>
    </comment>
    <comment ref="L701" authorId="1" shapeId="0">
      <text>
        <r>
          <rPr>
            <b/>
            <sz val="9"/>
            <color indexed="81"/>
            <rFont val="Tahoma"/>
            <family val="2"/>
          </rPr>
          <t>Scherry Sinclair:</t>
        </r>
        <r>
          <rPr>
            <sz val="9"/>
            <color indexed="81"/>
            <rFont val="Tahoma"/>
            <family val="2"/>
          </rPr>
          <t xml:space="preserve">
Transferred to Workforce Dev 2- Alloc #2) 2015</t>
        </r>
      </text>
    </comment>
    <comment ref="O755" authorId="1" shapeId="0">
      <text>
        <r>
          <rPr>
            <b/>
            <sz val="9"/>
            <color indexed="81"/>
            <rFont val="Tahoma"/>
            <family val="2"/>
          </rPr>
          <t>Scherry Sinclair:</t>
        </r>
        <r>
          <rPr>
            <sz val="9"/>
            <color indexed="81"/>
            <rFont val="Tahoma"/>
            <family val="2"/>
          </rPr>
          <t xml:space="preserve">
same was wing training program- added this amount to 500,000</t>
        </r>
      </text>
    </comment>
  </commentList>
</comments>
</file>

<file path=xl/comments2.xml><?xml version="1.0" encoding="utf-8"?>
<comments xmlns="http://schemas.openxmlformats.org/spreadsheetml/2006/main">
  <authors>
    <author>Lynda</author>
  </authors>
  <commentList>
    <comment ref="F43" authorId="0" shapeId="0">
      <text>
        <r>
          <rPr>
            <sz val="9"/>
            <color indexed="81"/>
            <rFont val="Tahoma"/>
            <family val="2"/>
          </rPr>
          <t>Legislative target 139,927</t>
        </r>
      </text>
    </comment>
  </commentList>
</comments>
</file>

<file path=xl/comments3.xml><?xml version="1.0" encoding="utf-8"?>
<comments xmlns="http://schemas.openxmlformats.org/spreadsheetml/2006/main">
  <authors>
    <author>Scherry Sinclair</author>
  </authors>
  <commentList>
    <comment ref="B41" authorId="0" shapeId="0">
      <text>
        <r>
          <rPr>
            <b/>
            <sz val="9"/>
            <color indexed="81"/>
            <rFont val="Tahoma"/>
            <family val="2"/>
          </rPr>
          <t>Scherry Sinclair:</t>
        </r>
        <r>
          <rPr>
            <sz val="9"/>
            <color indexed="81"/>
            <rFont val="Tahoma"/>
            <family val="2"/>
          </rPr>
          <t xml:space="preserve">
Add 08A-Benefits, Pension
</t>
        </r>
      </text>
    </comment>
    <comment ref="D41" authorId="0" shapeId="0">
      <text>
        <r>
          <rPr>
            <b/>
            <sz val="9"/>
            <color indexed="81"/>
            <rFont val="Tahoma"/>
            <family val="2"/>
          </rPr>
          <t>Scherry Sinclair:</t>
        </r>
        <r>
          <rPr>
            <sz val="9"/>
            <color indexed="81"/>
            <rFont val="Tahoma"/>
            <family val="2"/>
          </rPr>
          <t xml:space="preserve">
Posted benefits delta 
in fund 001-012 306,000. Posted Pension in Fund 001-012 27,000 
</t>
        </r>
      </text>
    </comment>
  </commentList>
</comments>
</file>

<file path=xl/comments4.xml><?xml version="1.0" encoding="utf-8"?>
<comments xmlns="http://schemas.openxmlformats.org/spreadsheetml/2006/main">
  <authors>
    <author>Scherry Sinclair</author>
  </authors>
  <commentList>
    <comment ref="F48" authorId="0" shapeId="0">
      <text>
        <r>
          <rPr>
            <b/>
            <sz val="9"/>
            <color indexed="81"/>
            <rFont val="Tahoma"/>
            <family val="2"/>
          </rPr>
          <t>Scherry Sinclair:</t>
        </r>
        <r>
          <rPr>
            <sz val="9"/>
            <color indexed="81"/>
            <rFont val="Tahoma"/>
            <family val="2"/>
          </rPr>
          <t xml:space="preserve">
Moved 75 into variable</t>
        </r>
      </text>
    </comment>
  </commentList>
</comments>
</file>

<file path=xl/sharedStrings.xml><?xml version="1.0" encoding="utf-8"?>
<sst xmlns="http://schemas.openxmlformats.org/spreadsheetml/2006/main" count="10106" uniqueCount="789">
  <si>
    <t>Total FTES</t>
  </si>
  <si>
    <t>Fund Summary by District</t>
  </si>
  <si>
    <t>Districts</t>
  </si>
  <si>
    <t>Wenatchee Valley</t>
  </si>
  <si>
    <t>System Total</t>
  </si>
  <si>
    <t>District</t>
  </si>
  <si>
    <t>Students of Color</t>
  </si>
  <si>
    <t>Period</t>
  </si>
  <si>
    <t>excel_code</t>
  </si>
  <si>
    <t>General Fund State</t>
  </si>
  <si>
    <t>Fund Appr Number</t>
  </si>
  <si>
    <t>DISTRICT</t>
  </si>
  <si>
    <t>NAME</t>
  </si>
  <si>
    <t>Category</t>
  </si>
  <si>
    <t>Peninsula</t>
  </si>
  <si>
    <t>Grays Harbor</t>
  </si>
  <si>
    <t>Olympic</t>
  </si>
  <si>
    <t>Skagit Valley</t>
  </si>
  <si>
    <t>Everett</t>
  </si>
  <si>
    <t>Seattle</t>
  </si>
  <si>
    <t>Shoreline</t>
  </si>
  <si>
    <t>Bellevue</t>
  </si>
  <si>
    <t>Highline</t>
  </si>
  <si>
    <t>Green River</t>
  </si>
  <si>
    <t>Pierce</t>
  </si>
  <si>
    <t>Centralia</t>
  </si>
  <si>
    <t>Lower Columbia</t>
  </si>
  <si>
    <t>Clark</t>
  </si>
  <si>
    <t>Wenatchee</t>
  </si>
  <si>
    <t>Yakima Valley</t>
  </si>
  <si>
    <t>Spokane</t>
  </si>
  <si>
    <t>Big Bend</t>
  </si>
  <si>
    <t>Columbia Basin</t>
  </si>
  <si>
    <t>Walla Walla</t>
  </si>
  <si>
    <t>Whatcom</t>
  </si>
  <si>
    <t>Tacoma</t>
  </si>
  <si>
    <t>Edmonds</t>
  </si>
  <si>
    <t>South Puget Sound</t>
  </si>
  <si>
    <t>Bellingham</t>
  </si>
  <si>
    <t>Lake Washington</t>
  </si>
  <si>
    <t>Renton</t>
  </si>
  <si>
    <t>Bates</t>
  </si>
  <si>
    <t>Clover Park</t>
  </si>
  <si>
    <t>Cascadia</t>
  </si>
  <si>
    <t>Total Allocation</t>
  </si>
  <si>
    <t>Fund Appr. No.</t>
  </si>
  <si>
    <t>District:</t>
  </si>
  <si>
    <t>Allocation:</t>
  </si>
  <si>
    <t>Fund</t>
  </si>
  <si>
    <t>Approp</t>
  </si>
  <si>
    <t>Fund &amp; Approp</t>
  </si>
  <si>
    <t>$</t>
  </si>
  <si>
    <t>Job Skills Program</t>
  </si>
  <si>
    <t>Current Allocation</t>
  </si>
  <si>
    <t>Current</t>
  </si>
  <si>
    <t>Attachment One</t>
  </si>
  <si>
    <t>FMS AI#</t>
  </si>
  <si>
    <t>FMS Approp Index</t>
  </si>
  <si>
    <t>FMS Appr. Index</t>
  </si>
  <si>
    <t>Attachment Three</t>
  </si>
  <si>
    <t>Total</t>
  </si>
  <si>
    <t>Base</t>
  </si>
  <si>
    <t>Allocated Total</t>
  </si>
  <si>
    <t>District Total</t>
  </si>
  <si>
    <t>Workforce Development Projects</t>
  </si>
  <si>
    <t>University Contracts (GFS)</t>
  </si>
  <si>
    <t>University Contracts (ELTA)</t>
  </si>
  <si>
    <t>Grant ID</t>
  </si>
  <si>
    <t>Adjustments</t>
  </si>
  <si>
    <t>Amount</t>
  </si>
  <si>
    <t>Grant Expires</t>
  </si>
  <si>
    <t>Total Additional Resources:</t>
  </si>
  <si>
    <t>OrgName</t>
  </si>
  <si>
    <t>ProgramName</t>
  </si>
  <si>
    <t>GrantNumber</t>
  </si>
  <si>
    <t>Starts</t>
  </si>
  <si>
    <t>Expires</t>
  </si>
  <si>
    <t>Big Bend Community College</t>
  </si>
  <si>
    <t>Columbia Basin College</t>
  </si>
  <si>
    <t>Edmonds Community College</t>
  </si>
  <si>
    <t>Peninsula College</t>
  </si>
  <si>
    <t>Skagit Valley College</t>
  </si>
  <si>
    <t>Spokane District Office</t>
  </si>
  <si>
    <t>Walla Walla Community College</t>
  </si>
  <si>
    <t>Whatcom Community College</t>
  </si>
  <si>
    <t>Yakima Valley Community College</t>
  </si>
  <si>
    <t>Bates Technical College</t>
  </si>
  <si>
    <t>Bellingham Technical College</t>
  </si>
  <si>
    <t>Cascadia Community College</t>
  </si>
  <si>
    <t>Centralia College</t>
  </si>
  <si>
    <t>Clark College</t>
  </si>
  <si>
    <t>Clover Park Technical College</t>
  </si>
  <si>
    <t>Everett Community College</t>
  </si>
  <si>
    <t>Grays Harbor College</t>
  </si>
  <si>
    <t>Green River Community College</t>
  </si>
  <si>
    <t>Highline Community College</t>
  </si>
  <si>
    <t>Lower Columbia College</t>
  </si>
  <si>
    <t>North Seattle Community College</t>
  </si>
  <si>
    <t>Olympic College</t>
  </si>
  <si>
    <t>Pierce College District</t>
  </si>
  <si>
    <t>Pierce College, Ft. Steilacoom</t>
  </si>
  <si>
    <t>Pierce College, Puyallup</t>
  </si>
  <si>
    <t>Renton Technical College</t>
  </si>
  <si>
    <t>Seattle Central Community College</t>
  </si>
  <si>
    <t>Seattle Vocational Institute</t>
  </si>
  <si>
    <t>Shoreline Community College</t>
  </si>
  <si>
    <t>South Puget Sound Community College</t>
  </si>
  <si>
    <t>South Seattle Community College</t>
  </si>
  <si>
    <t>Spokane Community College</t>
  </si>
  <si>
    <t>Spokane Falls Community College</t>
  </si>
  <si>
    <t>Spokane IEL</t>
  </si>
  <si>
    <t>Tacoma Community College</t>
  </si>
  <si>
    <t>Wenatchee Valley College</t>
  </si>
  <si>
    <t>Code</t>
  </si>
  <si>
    <t>28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</si>
  <si>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</si>
  <si>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</si>
  <si>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</si>
  <si>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</si>
  <si>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</si>
  <si>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</si>
  <si>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</si>
  <si>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</si>
  <si>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</si>
  <si>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</si>
  <si>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</si>
  <si>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</si>
  <si>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</si>
  <si>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</si>
  <si>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</si>
  <si>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</si>
  <si>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</si>
  <si>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</si>
  <si>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</si>
  <si>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</si>
  <si>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</si>
  <si>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</si>
  <si>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</si>
  <si>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</si>
  <si>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</si>
  <si>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</si>
  <si>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</si>
  <si>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29</t>
  </si>
  <si>
    <t>30</t>
  </si>
  <si>
    <t>89</t>
  </si>
  <si>
    <t>Seattle Community Colleges</t>
  </si>
  <si>
    <t>Community Colleges of Spokane</t>
  </si>
  <si>
    <t>State Board for Community and Technical Colleges</t>
  </si>
  <si>
    <t>3E0</t>
  </si>
  <si>
    <t>08A3E0</t>
  </si>
  <si>
    <t>Opportunity Grants (GFS)</t>
  </si>
  <si>
    <t>Opportunity Grants (ELTA)</t>
  </si>
  <si>
    <t>Future Allocations</t>
  </si>
  <si>
    <t>total</t>
  </si>
  <si>
    <t>Prior</t>
  </si>
  <si>
    <t>Check Figures</t>
  </si>
  <si>
    <t>Grant Name</t>
  </si>
  <si>
    <t>Employment Resource Center</t>
  </si>
  <si>
    <t>Gateway Center</t>
  </si>
  <si>
    <t>Workplace-Based Instructional Programs</t>
  </si>
  <si>
    <t>Aerospace Apprenticeships</t>
  </si>
  <si>
    <t>BA0</t>
  </si>
  <si>
    <t>Hospital Employee Education &amp; Training</t>
  </si>
  <si>
    <t>Current Adjustments</t>
  </si>
  <si>
    <t>Grant Total</t>
  </si>
  <si>
    <t>Bellevue College</t>
  </si>
  <si>
    <t>Washington State Community and Technical Colleges</t>
  </si>
  <si>
    <t>Operating Base</t>
  </si>
  <si>
    <t>Earmarks and Provisos</t>
  </si>
  <si>
    <t>Enrollments</t>
  </si>
  <si>
    <t>Disability Accommodations</t>
  </si>
  <si>
    <t>Base Allocation (ELTA)</t>
  </si>
  <si>
    <t>Applied Baccalaureates</t>
  </si>
  <si>
    <t>Centers of Excellence</t>
  </si>
  <si>
    <t>State Allocation Total</t>
  </si>
  <si>
    <t>UCNPS (ELTA)</t>
  </si>
  <si>
    <t>UCNPS (GFS)</t>
  </si>
  <si>
    <t>Aerospace Apprenticeship</t>
  </si>
  <si>
    <t>U-Contracts</t>
  </si>
  <si>
    <t>Growth/Variable</t>
  </si>
  <si>
    <t>00</t>
  </si>
  <si>
    <t>Future Allocations/Reserves</t>
  </si>
  <si>
    <t>Student Achievement Initiative</t>
  </si>
  <si>
    <t>Ongoing Reserves</t>
  </si>
  <si>
    <t>Basic Skills Enhancement (ELTA)</t>
  </si>
  <si>
    <t>Basic Skills Enhancement (GFS)</t>
  </si>
  <si>
    <t>Base Allocation (GF-State)</t>
  </si>
  <si>
    <t>North</t>
  </si>
  <si>
    <t>Central</t>
  </si>
  <si>
    <t>Hospital Empl Educ &amp; Trng</t>
  </si>
  <si>
    <t>Earmarked Enrollments</t>
  </si>
  <si>
    <t>General &amp; High Demand</t>
  </si>
  <si>
    <t>Worker Retraining (Base)</t>
  </si>
  <si>
    <t>Grand Total</t>
  </si>
  <si>
    <t>Sum of total</t>
  </si>
  <si>
    <t>(All)</t>
  </si>
  <si>
    <t>08A-3E0</t>
  </si>
  <si>
    <t>EA Schedule</t>
  </si>
  <si>
    <t>Variance</t>
  </si>
  <si>
    <t>Allocation Total</t>
  </si>
  <si>
    <t>Education Legacy Account Fund 08A</t>
  </si>
  <si>
    <t>Prior Allocation</t>
  </si>
  <si>
    <t>General Fund 
State 001</t>
  </si>
  <si>
    <t>Supplemental Retirement Payments</t>
  </si>
  <si>
    <t>SBCTC Admin</t>
  </si>
  <si>
    <t>SBCTC Program</t>
  </si>
  <si>
    <t>Capital Projects Account
Fund 060</t>
  </si>
  <si>
    <t>PERS/TRS Pension Rate Changes</t>
  </si>
  <si>
    <t>Alt. Finance Project Debt Svc.</t>
  </si>
  <si>
    <t>060BA0</t>
  </si>
  <si>
    <t>060-BA0</t>
  </si>
  <si>
    <t>Aerospace Training</t>
  </si>
  <si>
    <t>90</t>
  </si>
  <si>
    <t>DOC Compensation</t>
  </si>
  <si>
    <t>ABE Enrollments</t>
  </si>
  <si>
    <t>Worker Retraining - Variable (AC1)</t>
  </si>
  <si>
    <t>Ft. Steilacoom</t>
  </si>
  <si>
    <t>South</t>
  </si>
  <si>
    <t>SCC</t>
  </si>
  <si>
    <t>Spokane Falls</t>
  </si>
  <si>
    <t>001</t>
  </si>
  <si>
    <t>Technology Transformation</t>
  </si>
  <si>
    <t>Basic Skills Enhancement</t>
  </si>
  <si>
    <t>Lake WA Institute of Technology</t>
  </si>
  <si>
    <t>Labor Education &amp; Research Center (ELTA)</t>
  </si>
  <si>
    <t>Labor Education &amp; Research Center (GFS)</t>
  </si>
  <si>
    <t>Lake Washington Institute of Technology</t>
  </si>
  <si>
    <t>Facilities M&amp;O - FY 2013</t>
  </si>
  <si>
    <t>Workforce Training/Aerospace</t>
  </si>
  <si>
    <t>08A</t>
  </si>
  <si>
    <t>060</t>
  </si>
  <si>
    <t>Perkins Plan</t>
  </si>
  <si>
    <t>WorkFirst Delivery Agreement</t>
  </si>
  <si>
    <t>Perkins Leadership Block Grant</t>
  </si>
  <si>
    <t>Perkins Innovation Project</t>
  </si>
  <si>
    <t>Misc. General Grant</t>
  </si>
  <si>
    <t>Puyallup</t>
  </si>
  <si>
    <t>SVI</t>
  </si>
  <si>
    <t>Revolving Funds - Self Insurance Premium</t>
  </si>
  <si>
    <t>Revolving Funds - Central Service Agency Charges</t>
  </si>
  <si>
    <t>Basic Food Employment and Training Grant</t>
  </si>
  <si>
    <t>Early Achievers Opportunity Grant Application</t>
  </si>
  <si>
    <t>I-DEA Grant</t>
  </si>
  <si>
    <t>118-IDEA-13</t>
  </si>
  <si>
    <t>Misc. Detailed Grant</t>
  </si>
  <si>
    <t>126-IDEA-13</t>
  </si>
  <si>
    <t>132-IDEA-13</t>
  </si>
  <si>
    <t>127-IDEA-13</t>
  </si>
  <si>
    <t>131-IDEA-13</t>
  </si>
  <si>
    <t>117-IDEA-13</t>
  </si>
  <si>
    <t>122-IDEA-13</t>
  </si>
  <si>
    <t>120-IDEA-13</t>
  </si>
  <si>
    <t>Facilities M&amp;O - FY 2014</t>
  </si>
  <si>
    <t>Leases and Assessments</t>
  </si>
  <si>
    <t>COE for Aerospace</t>
  </si>
  <si>
    <t>Maritime Industries</t>
  </si>
  <si>
    <t>Opportunity Center IT Project</t>
  </si>
  <si>
    <t>BA1</t>
  </si>
  <si>
    <t>BB1</t>
  </si>
  <si>
    <t>BC1</t>
  </si>
  <si>
    <t>BD1</t>
  </si>
  <si>
    <t>430</t>
  </si>
  <si>
    <t>08A430</t>
  </si>
  <si>
    <t>Student Achievement Initiative (P)</t>
  </si>
  <si>
    <t>08A-430</t>
  </si>
  <si>
    <t>Facilities M&amp;O</t>
  </si>
  <si>
    <t>Worker Retraining (Variable)</t>
  </si>
  <si>
    <t>Correctional Education Grant</t>
  </si>
  <si>
    <t>ABE Special Projects Grant</t>
  </si>
  <si>
    <t>Job Skills Program Grant</t>
  </si>
  <si>
    <t>Basic Skills Enhancement (001)</t>
  </si>
  <si>
    <t>Basic Skills Enhancement (08A)</t>
  </si>
  <si>
    <t>Student Achievement Initiative (permanent)</t>
  </si>
  <si>
    <t>Student Achievement Initiative (variable)</t>
  </si>
  <si>
    <t>Faculty Learning Communities Initiative Grant</t>
  </si>
  <si>
    <t>Pierce College Fort Steilacoom</t>
  </si>
  <si>
    <t>135-IDEA-13</t>
  </si>
  <si>
    <t>CA1</t>
  </si>
  <si>
    <t>Bates Technical College Total</t>
  </si>
  <si>
    <t>Bellevue College Total</t>
  </si>
  <si>
    <t>Bellingham Technical College Total</t>
  </si>
  <si>
    <t>Big Bend Community College Total</t>
  </si>
  <si>
    <t>Cascadia Community College Total</t>
  </si>
  <si>
    <t>Centralia College Total</t>
  </si>
  <si>
    <t>Clark College Total</t>
  </si>
  <si>
    <t>Clover Park Technical College Total</t>
  </si>
  <si>
    <t>Columbia Basin College Total</t>
  </si>
  <si>
    <t>Edmonds Community College Total</t>
  </si>
  <si>
    <t>Everett Community College Total</t>
  </si>
  <si>
    <t>Grays Harbor College Total</t>
  </si>
  <si>
    <t>Green River Community College Total</t>
  </si>
  <si>
    <t>Highline Community College Total</t>
  </si>
  <si>
    <t>Lake Washington Institute of Technology Total</t>
  </si>
  <si>
    <t>Lower Columbia College Total</t>
  </si>
  <si>
    <t>North Seattle Community College Total</t>
  </si>
  <si>
    <t>Olympic College Total</t>
  </si>
  <si>
    <t>Peninsula College Total</t>
  </si>
  <si>
    <t>Pierce College District Total</t>
  </si>
  <si>
    <t>Pierce College, Ft. Steilacoom Total</t>
  </si>
  <si>
    <t>Renton Technical College Total</t>
  </si>
  <si>
    <t>Seattle Central Community College Total</t>
  </si>
  <si>
    <t>Seattle Vocational Institute Total</t>
  </si>
  <si>
    <t>Shoreline Community College Total</t>
  </si>
  <si>
    <t>Skagit Valley College Total</t>
  </si>
  <si>
    <t>South Puget Sound Community College Total</t>
  </si>
  <si>
    <t>South Seattle Community College Total</t>
  </si>
  <si>
    <t>Spokane District Office Total</t>
  </si>
  <si>
    <t>Spokane Falls Community College Total</t>
  </si>
  <si>
    <t>Tacoma Community College Total</t>
  </si>
  <si>
    <t>Walla Walla Community College Total</t>
  </si>
  <si>
    <t>Wenatchee Valley College Total</t>
  </si>
  <si>
    <t>Whatcom Community College Total</t>
  </si>
  <si>
    <t>Yakima Valley Community College Total</t>
  </si>
  <si>
    <t>Sum of Adjustments</t>
  </si>
  <si>
    <t>Data</t>
  </si>
  <si>
    <t>Sum of Amount</t>
  </si>
  <si>
    <t>Pierce College Fort Steilacoom Total</t>
  </si>
  <si>
    <t>Pierce College, Puyallup Total</t>
  </si>
  <si>
    <t>District Tab</t>
  </si>
  <si>
    <t>FinalBillingDate</t>
  </si>
  <si>
    <t>North Seattle College</t>
  </si>
  <si>
    <t>Pierce College Puyallup</t>
  </si>
  <si>
    <t>Seattle Central College</t>
  </si>
  <si>
    <t>South Seattle College</t>
  </si>
  <si>
    <t>North Seattle College Total</t>
  </si>
  <si>
    <t>Pierce College Puyallup Total</t>
  </si>
  <si>
    <t>Seattle Central College Total</t>
  </si>
  <si>
    <t>South Seattle College Total</t>
  </si>
  <si>
    <t>TOTAL BASE</t>
  </si>
  <si>
    <t>TOTAL GROWTH and VARIABLE</t>
  </si>
  <si>
    <t>TOTAL FTE ALLOCATION</t>
  </si>
  <si>
    <t>TAB 3</t>
  </si>
  <si>
    <t>Worker Retraining - Base (AC1)</t>
  </si>
  <si>
    <t>Worker Retraining - Base (101)</t>
  </si>
  <si>
    <t>BB2</t>
  </si>
  <si>
    <t>BC2</t>
  </si>
  <si>
    <t>CA2</t>
  </si>
  <si>
    <t>BF2</t>
  </si>
  <si>
    <t>BH2</t>
  </si>
  <si>
    <t>BK2</t>
  </si>
  <si>
    <t>Health Rate Changes</t>
  </si>
  <si>
    <t>Fabrication Wing Training Program</t>
  </si>
  <si>
    <t>Facilities M&amp;O - FY 2015</t>
  </si>
  <si>
    <t>UCNPS Transfer</t>
  </si>
  <si>
    <t>LEAN Reduction</t>
  </si>
  <si>
    <t>Aerospace Enrollments (1000 FTEs)</t>
  </si>
  <si>
    <t>Aerospace Enrollments
 (1000 FTEs)</t>
  </si>
  <si>
    <t>128-BFET-15</t>
  </si>
  <si>
    <t>108-BFET-15</t>
  </si>
  <si>
    <t>125-BFET-15</t>
  </si>
  <si>
    <t>125-IDEA-15</t>
  </si>
  <si>
    <t>118-BFET-15</t>
  </si>
  <si>
    <t>130-BFET-15</t>
  </si>
  <si>
    <t>112-BFET-15</t>
  </si>
  <si>
    <t>Perkins Special Project</t>
  </si>
  <si>
    <t>114-BFET-15</t>
  </si>
  <si>
    <t>114-IDEA-15</t>
  </si>
  <si>
    <t>129-BFET-15</t>
  </si>
  <si>
    <t>119-BFET-15</t>
  </si>
  <si>
    <t>Perkins Non-Traditional Employment &amp; Training Gran</t>
  </si>
  <si>
    <t>123-BFET-15</t>
  </si>
  <si>
    <t>123-IDEA-15</t>
  </si>
  <si>
    <t>105-BFET-15</t>
  </si>
  <si>
    <t>102-BFET-15</t>
  </si>
  <si>
    <t>102-IDEA-15</t>
  </si>
  <si>
    <t>110-BFET-15</t>
  </si>
  <si>
    <t>110-IDEA-15</t>
  </si>
  <si>
    <t>109-BFET-15</t>
  </si>
  <si>
    <t>126-BFET-15</t>
  </si>
  <si>
    <t>113-BFET-15</t>
  </si>
  <si>
    <t>113-IDEA-15</t>
  </si>
  <si>
    <t>132-BFET-15</t>
  </si>
  <si>
    <t>103-BFET-15</t>
  </si>
  <si>
    <t>103-IDEA-15</t>
  </si>
  <si>
    <t>101-BFET-15</t>
  </si>
  <si>
    <t>101-IDEA-15</t>
  </si>
  <si>
    <t>111-BFET-15</t>
  </si>
  <si>
    <t>136-IDEA-15</t>
  </si>
  <si>
    <t>127-BFET-15</t>
  </si>
  <si>
    <t>131-BFET-15</t>
  </si>
  <si>
    <t>134-BFET-15</t>
  </si>
  <si>
    <t>107-BFET-15</t>
  </si>
  <si>
    <t>104-BFET-15</t>
  </si>
  <si>
    <t>124-BFET-15</t>
  </si>
  <si>
    <t>133-BFET-15</t>
  </si>
  <si>
    <t>117-BFET-15</t>
  </si>
  <si>
    <t>122-BFET-15</t>
  </si>
  <si>
    <t>120-BFET-15</t>
  </si>
  <si>
    <t>115-BFET-15</t>
  </si>
  <si>
    <t>115-IDEA-15</t>
  </si>
  <si>
    <t>121-BFET-15</t>
  </si>
  <si>
    <t>116-BFET-15</t>
  </si>
  <si>
    <t>Highline College</t>
  </si>
  <si>
    <t>Highline College Total</t>
  </si>
  <si>
    <t>(blank)</t>
  </si>
  <si>
    <t>(blank) Total</t>
  </si>
  <si>
    <t>FY 2015 Base Enrollments</t>
  </si>
  <si>
    <t>MESA Community College Programs - MCCP</t>
  </si>
  <si>
    <t>Cascadia  College</t>
  </si>
  <si>
    <t>Cascadia  College Total</t>
  </si>
  <si>
    <t>GRANT #</t>
  </si>
  <si>
    <t>DISTRICT CHECK</t>
  </si>
  <si>
    <t>ADJUST</t>
  </si>
  <si>
    <t xml:space="preserve"> </t>
  </si>
  <si>
    <t>Base Total</t>
  </si>
  <si>
    <t>Growth &amp; Variable Total</t>
  </si>
  <si>
    <t>System Totals</t>
  </si>
  <si>
    <t>FY 2015 Growth &amp; Variable Enrollments</t>
  </si>
  <si>
    <t>FY 2015 FTES Allocation</t>
  </si>
  <si>
    <t xml:space="preserve">Basic Skills Enhancement </t>
  </si>
  <si>
    <t xml:space="preserve">Student Achievement Initiative (variable) </t>
  </si>
  <si>
    <t>OTHER RESOURCE DATA</t>
  </si>
  <si>
    <t>BEdA State Plan Innovations Grant</t>
  </si>
  <si>
    <t>128-BSPI-15</t>
  </si>
  <si>
    <t>118-BSPI-15</t>
  </si>
  <si>
    <t>129-BSPI-15</t>
  </si>
  <si>
    <t>102-BPSI-15</t>
  </si>
  <si>
    <t>110-BSPI-15</t>
  </si>
  <si>
    <t>109-BSPI-15</t>
  </si>
  <si>
    <t>126-BSPI-15</t>
  </si>
  <si>
    <t>101-BSPI-15</t>
  </si>
  <si>
    <t>111-BSPI-15</t>
  </si>
  <si>
    <t>104-BSPI-15</t>
  </si>
  <si>
    <t>122-BSPI-15</t>
  </si>
  <si>
    <t>116-BSPI-15</t>
  </si>
  <si>
    <t>Variable</t>
  </si>
  <si>
    <t>Allocations</t>
  </si>
  <si>
    <t>130-B2C-15</t>
  </si>
  <si>
    <t>107-B2C-15</t>
  </si>
  <si>
    <t>Transcript Grid for Placement Project</t>
  </si>
  <si>
    <t>118-TG-15</t>
  </si>
  <si>
    <t>110-TG-15</t>
  </si>
  <si>
    <t>101-TG-15</t>
  </si>
  <si>
    <t>Seattle College District</t>
  </si>
  <si>
    <t>122-TG-15</t>
  </si>
  <si>
    <t>Green River College</t>
  </si>
  <si>
    <t>Green River College Total</t>
  </si>
  <si>
    <t>FY16</t>
  </si>
  <si>
    <t>Remove FY15</t>
  </si>
  <si>
    <t>Delta ADJ</t>
  </si>
  <si>
    <t>Facilities M&amp;O - FY 2016</t>
  </si>
  <si>
    <t>Bates Rebasing Phase One</t>
  </si>
  <si>
    <t>WPEA Agreement- Highline</t>
  </si>
  <si>
    <t>WPEA Agreement- Yakima (001)</t>
  </si>
  <si>
    <t>WPEA Agreement- Yakima (08A)</t>
  </si>
  <si>
    <t>Bellevue 4-Year Degree Prog</t>
  </si>
  <si>
    <t>Feasibility Study</t>
  </si>
  <si>
    <t>College Affordability Program (Tuition reduction)</t>
  </si>
  <si>
    <t>General Wage Increase (GL9)</t>
  </si>
  <si>
    <t>WFSE Agreement (001)</t>
  </si>
  <si>
    <t>WFSE Agreement (08A)</t>
  </si>
  <si>
    <t>WPEA Agreement  (001)</t>
  </si>
  <si>
    <t>WPEA Agreement  (08A)</t>
  </si>
  <si>
    <t>Allied Health Programs</t>
  </si>
  <si>
    <t>Workers Compensation Changes</t>
  </si>
  <si>
    <t>Nonrep Job Class Specific Increases</t>
  </si>
  <si>
    <t>FY 2016 Allocation Schedule</t>
  </si>
  <si>
    <t>BK1</t>
  </si>
  <si>
    <t>BH1</t>
  </si>
  <si>
    <t>BF1</t>
  </si>
  <si>
    <t>BG1</t>
  </si>
  <si>
    <t>BL1</t>
  </si>
  <si>
    <t>001BG1</t>
  </si>
  <si>
    <t>001-BG1</t>
  </si>
  <si>
    <t>AC1</t>
  </si>
  <si>
    <t>001BD1</t>
  </si>
  <si>
    <t>001-BD1</t>
  </si>
  <si>
    <t>BJ1</t>
  </si>
  <si>
    <t>001BJ1</t>
  </si>
  <si>
    <t>001-BJ1</t>
  </si>
  <si>
    <t>001BQ1</t>
  </si>
  <si>
    <t>BQ1</t>
  </si>
  <si>
    <t>001-BQ1</t>
  </si>
  <si>
    <t>001BP1</t>
  </si>
  <si>
    <t>BP1</t>
  </si>
  <si>
    <t>001-BP1</t>
  </si>
  <si>
    <t>001BR1</t>
  </si>
  <si>
    <t>BR1</t>
  </si>
  <si>
    <t>001-BR1</t>
  </si>
  <si>
    <t>001BA1</t>
  </si>
  <si>
    <t>001-BA1</t>
  </si>
  <si>
    <t>001AC1</t>
  </si>
  <si>
    <t>001-AC1</t>
  </si>
  <si>
    <t>BA2</t>
  </si>
  <si>
    <t>BP2</t>
  </si>
  <si>
    <t>BQ2</t>
  </si>
  <si>
    <t>BR2</t>
  </si>
  <si>
    <t>Workers Compensation changes</t>
  </si>
  <si>
    <t>001BK1</t>
  </si>
  <si>
    <t>001-BK1</t>
  </si>
  <si>
    <t>011</t>
  </si>
  <si>
    <t>001011</t>
  </si>
  <si>
    <t>001-011</t>
  </si>
  <si>
    <t>Health Rate Chg</t>
  </si>
  <si>
    <t>NEW AMOUNT</t>
  </si>
  <si>
    <t>X</t>
  </si>
  <si>
    <t>FY 2016
Allocation Total</t>
  </si>
  <si>
    <t>BEdA Leadership Block Grant</t>
  </si>
  <si>
    <t>BEdA Master Grant</t>
  </si>
  <si>
    <t>128-BLBG-16</t>
  </si>
  <si>
    <t>128-BEDA-16</t>
  </si>
  <si>
    <t>128-EAOG-16</t>
  </si>
  <si>
    <t>128-PLB-16</t>
  </si>
  <si>
    <t>128-PRK-16</t>
  </si>
  <si>
    <t>128-WFDA-16</t>
  </si>
  <si>
    <t>BEdA Program – EL Civics Grant Budget</t>
  </si>
  <si>
    <t>Phase III I-DEA Grant</t>
  </si>
  <si>
    <t>108-BLBG-16</t>
  </si>
  <si>
    <t>108-BEDA-16</t>
  </si>
  <si>
    <t>108-ELC-16</t>
  </si>
  <si>
    <t>108-EAOG-16</t>
  </si>
  <si>
    <t>108-PLB-16</t>
  </si>
  <si>
    <t>108-PRK-16</t>
  </si>
  <si>
    <t>108-IDEA-16</t>
  </si>
  <si>
    <t>108-TG-15</t>
  </si>
  <si>
    <t>108-WFDA-16</t>
  </si>
  <si>
    <t>125-BLBG-16</t>
  </si>
  <si>
    <t>125-BEDA-16</t>
  </si>
  <si>
    <t>125-ELC-16</t>
  </si>
  <si>
    <t>125-PLB-16</t>
  </si>
  <si>
    <t>125-PRK-16</t>
  </si>
  <si>
    <t>125-WFDA-16</t>
  </si>
  <si>
    <t>118-BLBG-16</t>
  </si>
  <si>
    <t>118-BEDA-16</t>
  </si>
  <si>
    <t>118-ELC-16</t>
  </si>
  <si>
    <t>118-JSP-16SH</t>
  </si>
  <si>
    <t>118-PRK-16</t>
  </si>
  <si>
    <t>118-WFDA-16</t>
  </si>
  <si>
    <t>130-BLBG-16</t>
  </si>
  <si>
    <t>130-BEDA-16</t>
  </si>
  <si>
    <t>130-ELC-16</t>
  </si>
  <si>
    <t>130-ELRN-16</t>
  </si>
  <si>
    <t>130-PLB-16</t>
  </si>
  <si>
    <t>130-IDEA-16</t>
  </si>
  <si>
    <t>112-BLBG-16</t>
  </si>
  <si>
    <t>112-BEDA-16</t>
  </si>
  <si>
    <t>112-ELC-16</t>
  </si>
  <si>
    <t>112-CE-16</t>
  </si>
  <si>
    <t>112-EAOG-16</t>
  </si>
  <si>
    <t>112-PIP-16</t>
  </si>
  <si>
    <t>112-PLB-16</t>
  </si>
  <si>
    <t>112-PRK-16</t>
  </si>
  <si>
    <t>112-IDEA-16</t>
  </si>
  <si>
    <t>112-WFDA-16</t>
  </si>
  <si>
    <t>114-BLBG-16</t>
  </si>
  <si>
    <t>114-BEDA-16</t>
  </si>
  <si>
    <t>114-ELC-16</t>
  </si>
  <si>
    <t>114-CE-16</t>
  </si>
  <si>
    <t>114-EAOG-16</t>
  </si>
  <si>
    <t>114-FLCA-16IL</t>
  </si>
  <si>
    <t>114-PLB-16</t>
  </si>
  <si>
    <t>114-PRK-16</t>
  </si>
  <si>
    <t>114-WFDA-16</t>
  </si>
  <si>
    <t>129-BLBG-16</t>
  </si>
  <si>
    <t>129-BEDA-16</t>
  </si>
  <si>
    <t>129-ELC-16</t>
  </si>
  <si>
    <t>129-PRK-16</t>
  </si>
  <si>
    <t>129-IDEA-16</t>
  </si>
  <si>
    <t>129-WFDA-16</t>
  </si>
  <si>
    <t>119-BLBG-16</t>
  </si>
  <si>
    <t>119-BEDA-16</t>
  </si>
  <si>
    <t>119-ELC-16</t>
  </si>
  <si>
    <t>119-PRK-16</t>
  </si>
  <si>
    <t>119-IDEA-16</t>
  </si>
  <si>
    <t>119-WFDA-16</t>
  </si>
  <si>
    <t>123-BLBG-16</t>
  </si>
  <si>
    <t>123-BEDA-16</t>
  </si>
  <si>
    <t>123-ELC-16</t>
  </si>
  <si>
    <t>123-CE-16</t>
  </si>
  <si>
    <t>123-EAOG-16</t>
  </si>
  <si>
    <t>123-B2C-15</t>
  </si>
  <si>
    <t>123-PLB-16</t>
  </si>
  <si>
    <t>123-PRK-16</t>
  </si>
  <si>
    <t>123-WFDA-16</t>
  </si>
  <si>
    <t>105-BLBG-16</t>
  </si>
  <si>
    <t>105-BEDA-16</t>
  </si>
  <si>
    <t>105-ELC-16</t>
  </si>
  <si>
    <t>105-EAOG-16</t>
  </si>
  <si>
    <t>105-NGCC-15</t>
  </si>
  <si>
    <t>105-NGST-15</t>
  </si>
  <si>
    <t>105-PLB-16</t>
  </si>
  <si>
    <t>105-PNT-16</t>
  </si>
  <si>
    <t>105-PRK-16</t>
  </si>
  <si>
    <t>105-IDEA-16</t>
  </si>
  <si>
    <t>105-WFDA-16</t>
  </si>
  <si>
    <t>102-BEDA-16</t>
  </si>
  <si>
    <t>102-ELC-16</t>
  </si>
  <si>
    <t>102-CE-16</t>
  </si>
  <si>
    <t>102-IDRV4-15</t>
  </si>
  <si>
    <t>102-PLB-16</t>
  </si>
  <si>
    <t>102-PRK-16</t>
  </si>
  <si>
    <t>102-WFDA-16</t>
  </si>
  <si>
    <t>110-BLBG-16</t>
  </si>
  <si>
    <t>110-BEDA-16</t>
  </si>
  <si>
    <t>110-ELC-16</t>
  </si>
  <si>
    <t>110-EAOG-16</t>
  </si>
  <si>
    <t>110-JSP-16BC</t>
  </si>
  <si>
    <t>110-JSP-16CG</t>
  </si>
  <si>
    <t>110-JSP-16EK</t>
  </si>
  <si>
    <t>110-JSP-16HC</t>
  </si>
  <si>
    <t>110-JSP-16TAS</t>
  </si>
  <si>
    <t>110-PRK-16</t>
  </si>
  <si>
    <t>110-PSP-16</t>
  </si>
  <si>
    <t>110-WFDA-16</t>
  </si>
  <si>
    <t>109-BLBG-16</t>
  </si>
  <si>
    <t>109-BEDA-16</t>
  </si>
  <si>
    <t>109-ELC-16</t>
  </si>
  <si>
    <t>109-EAOG-16</t>
  </si>
  <si>
    <t>109-FLCA-16CRE</t>
  </si>
  <si>
    <t>109-FLCE-16OER</t>
  </si>
  <si>
    <t>109-PLB-16</t>
  </si>
  <si>
    <t>109-PRK-16</t>
  </si>
  <si>
    <t>109-WFDA-16</t>
  </si>
  <si>
    <t>126-BLBG-16</t>
  </si>
  <si>
    <t>126-BEDA-16</t>
  </si>
  <si>
    <t>126-ELC-16</t>
  </si>
  <si>
    <t>126-EAOG-16</t>
  </si>
  <si>
    <t>126-FLCA-16</t>
  </si>
  <si>
    <t>126-PRK-16</t>
  </si>
  <si>
    <t>126-WFDA-16</t>
  </si>
  <si>
    <t>113-BLBG-16</t>
  </si>
  <si>
    <t>113-BEDA-16</t>
  </si>
  <si>
    <t>113-ELC-16</t>
  </si>
  <si>
    <t>113-EAOG-16</t>
  </si>
  <si>
    <t>113-PNT-16</t>
  </si>
  <si>
    <t>113-PRK-16</t>
  </si>
  <si>
    <t>113-WFDA-16</t>
  </si>
  <si>
    <t>132-BLBG-16</t>
  </si>
  <si>
    <t>132-BEDA-16</t>
  </si>
  <si>
    <t>132-ELC-16</t>
  </si>
  <si>
    <t>132-EAOG-16</t>
  </si>
  <si>
    <t>132-IDRV-15</t>
  </si>
  <si>
    <t>132-PRK-16</t>
  </si>
  <si>
    <t>132-WFDA-16</t>
  </si>
  <si>
    <t>103-BLBG-16</t>
  </si>
  <si>
    <t>103-BEDA-16</t>
  </si>
  <si>
    <t>103-ELC-16</t>
  </si>
  <si>
    <t>103-EAOG-16</t>
  </si>
  <si>
    <t>103-D2L-15</t>
  </si>
  <si>
    <t>103-PLB-16</t>
  </si>
  <si>
    <t>103-PNT-16</t>
  </si>
  <si>
    <t>103-PRK-16</t>
  </si>
  <si>
    <t>103-PSP-16</t>
  </si>
  <si>
    <t>103-WFDA-16</t>
  </si>
  <si>
    <t>101-BLBG-16</t>
  </si>
  <si>
    <t>101-BEDA-16</t>
  </si>
  <si>
    <t>101-ELC-16</t>
  </si>
  <si>
    <t>101-CE-16</t>
  </si>
  <si>
    <t>101-EAOG-16</t>
  </si>
  <si>
    <t>101-FLCA-16</t>
  </si>
  <si>
    <t>101-PLB-16</t>
  </si>
  <si>
    <t>101-PRK-16</t>
  </si>
  <si>
    <t>101-WFDA-16</t>
  </si>
  <si>
    <t>111-BLBG-16</t>
  </si>
  <si>
    <t>111-BEDA-16</t>
  </si>
  <si>
    <t>111-ELC-16</t>
  </si>
  <si>
    <t>111-EAOG-16</t>
  </si>
  <si>
    <t>111-FLCA-16</t>
  </si>
  <si>
    <t>111-ELRN-16</t>
  </si>
  <si>
    <t>111-PLB-16</t>
  </si>
  <si>
    <t>111-PNT-16</t>
  </si>
  <si>
    <t>111-PRK-16</t>
  </si>
  <si>
    <t>111-PSP-16</t>
  </si>
  <si>
    <t>111-WFDA-16</t>
  </si>
  <si>
    <t>127-ASP-15RA</t>
  </si>
  <si>
    <t>127-BLBG-16</t>
  </si>
  <si>
    <t>127-BEDA-16</t>
  </si>
  <si>
    <t>127-ELC-16</t>
  </si>
  <si>
    <t>127-EAOG-16</t>
  </si>
  <si>
    <t>127-FLCE-16</t>
  </si>
  <si>
    <t>127-PLB-16</t>
  </si>
  <si>
    <t>127-PRK-16</t>
  </si>
  <si>
    <t>127-WFDA-16</t>
  </si>
  <si>
    <t>131-BLBG-16</t>
  </si>
  <si>
    <t>131-BEDA-16</t>
  </si>
  <si>
    <t>131-ELC-16</t>
  </si>
  <si>
    <t>131-PRK-16</t>
  </si>
  <si>
    <t>131-WFDA-16</t>
  </si>
  <si>
    <t>134-BLBG-16</t>
  </si>
  <si>
    <t>134-BEDA-16</t>
  </si>
  <si>
    <t>134-PRK-16</t>
  </si>
  <si>
    <t>134-WFDA-16</t>
  </si>
  <si>
    <t>107-BLBG-16</t>
  </si>
  <si>
    <t>107-BEDA-16</t>
  </si>
  <si>
    <t>107-ELC-16</t>
  </si>
  <si>
    <t>107-PRK-16</t>
  </si>
  <si>
    <t>107-IDEA-16</t>
  </si>
  <si>
    <t>107-WFDA-16</t>
  </si>
  <si>
    <t>104-BLBG-16</t>
  </si>
  <si>
    <t>104-BEDA-16</t>
  </si>
  <si>
    <t>104-ELC-16</t>
  </si>
  <si>
    <t>104-EAOG-16</t>
  </si>
  <si>
    <t>104-PIP-16</t>
  </si>
  <si>
    <t>104-PLB-16</t>
  </si>
  <si>
    <t>104-PRK-16</t>
  </si>
  <si>
    <t>104-IDEA-16</t>
  </si>
  <si>
    <t>104-WFDA-16</t>
  </si>
  <si>
    <t>124-BLBG-16</t>
  </si>
  <si>
    <t>124-BEDA-16</t>
  </si>
  <si>
    <t>124-EAOG-16</t>
  </si>
  <si>
    <t>124-PRK-16</t>
  </si>
  <si>
    <t>124-IDEA-16</t>
  </si>
  <si>
    <t>124-WFDA-16</t>
  </si>
  <si>
    <t>133-BLBG-16</t>
  </si>
  <si>
    <t>133-BEDA-16</t>
  </si>
  <si>
    <t>133-ELC-16</t>
  </si>
  <si>
    <t>133-JSP-16BP</t>
  </si>
  <si>
    <t>133-JSP-16NWH</t>
  </si>
  <si>
    <t>133-PRK-16</t>
  </si>
  <si>
    <t>133-IDEA-16</t>
  </si>
  <si>
    <t>133-WFDA-16</t>
  </si>
  <si>
    <t>117-BLBG-16</t>
  </si>
  <si>
    <t>117-BEDA-16</t>
  </si>
  <si>
    <t>117-ELC-16</t>
  </si>
  <si>
    <t>117-CE-16</t>
  </si>
  <si>
    <t>117-NGCC-15</t>
  </si>
  <si>
    <t>117-NGST-15</t>
  </si>
  <si>
    <t>117-WAOL-16</t>
  </si>
  <si>
    <t>117-PNT-16</t>
  </si>
  <si>
    <t>117-PRK-16</t>
  </si>
  <si>
    <t>117-WFDA-16</t>
  </si>
  <si>
    <t>138-PLB-16</t>
  </si>
  <si>
    <t>122-BEDA-16</t>
  </si>
  <si>
    <t>122-ELC-16</t>
  </si>
  <si>
    <t>122-CE-16</t>
  </si>
  <si>
    <t>122-FLCE-16</t>
  </si>
  <si>
    <t>122-PLB-16</t>
  </si>
  <si>
    <t>122-PRK-16</t>
  </si>
  <si>
    <t>122-WFDA-16</t>
  </si>
  <si>
    <t>120-BLBG-16</t>
  </si>
  <si>
    <t>120-BEDA-16</t>
  </si>
  <si>
    <t>120-ELC-16</t>
  </si>
  <si>
    <t>120-CE-16</t>
  </si>
  <si>
    <t>120-WFAD-16</t>
  </si>
  <si>
    <t>120-PLB-16</t>
  </si>
  <si>
    <t>120-PRK-16</t>
  </si>
  <si>
    <t>120-WFDA-16</t>
  </si>
  <si>
    <t>115-BLBG-16</t>
  </si>
  <si>
    <t>115-BEDA-16</t>
  </si>
  <si>
    <t>115-ELC-16</t>
  </si>
  <si>
    <t>115-PNT-16</t>
  </si>
  <si>
    <t>115-PRK-16</t>
  </si>
  <si>
    <t>115-WFDA-16</t>
  </si>
  <si>
    <t>121-BLBG-16</t>
  </si>
  <si>
    <t>121-BEDA-16</t>
  </si>
  <si>
    <t>121-ELC-16</t>
  </si>
  <si>
    <t>121-EAOG-16</t>
  </si>
  <si>
    <t>121-FLCA-16FF</t>
  </si>
  <si>
    <t>121-FLCA-16SUS</t>
  </si>
  <si>
    <t>121-DEL-16</t>
  </si>
  <si>
    <t>121-PIP-16</t>
  </si>
  <si>
    <t>121-PLB-16</t>
  </si>
  <si>
    <t>121-PNT-16</t>
  </si>
  <si>
    <t>121-PRK-16</t>
  </si>
  <si>
    <t>121-IDEA-16</t>
  </si>
  <si>
    <t>121-WFDA-16</t>
  </si>
  <si>
    <t>116-BLBG-16</t>
  </si>
  <si>
    <t>116-BEDA-16</t>
  </si>
  <si>
    <t>116-ELC-16</t>
  </si>
  <si>
    <t>116-EAOG-16</t>
  </si>
  <si>
    <t>116-PRK-16</t>
  </si>
  <si>
    <t>116-IDEA-16</t>
  </si>
  <si>
    <t>116-WFDA-16</t>
  </si>
  <si>
    <t xml:space="preserve">  Total</t>
  </si>
  <si>
    <t>GRANT Title</t>
  </si>
  <si>
    <t>CURRENT GRANT DATA</t>
  </si>
  <si>
    <t>DIFFERENCE</t>
  </si>
  <si>
    <t>Worker Retraining - Variable (101)</t>
  </si>
  <si>
    <t>GENERAL FUND STATE FUND 001</t>
  </si>
  <si>
    <t>EDUCATION LEGACY FUND 08A</t>
  </si>
  <si>
    <t>CAPITAL PROJECTS FUND 060</t>
  </si>
  <si>
    <t>Row Labels</t>
  </si>
  <si>
    <t>Column Labels</t>
  </si>
  <si>
    <t>8Worker Retraining - Variable (AC1)</t>
  </si>
  <si>
    <t>28Worker Retraining - Variable (AC1)</t>
  </si>
  <si>
    <t>hb swap</t>
  </si>
  <si>
    <t>pension swap</t>
  </si>
  <si>
    <t>yv wpea</t>
  </si>
  <si>
    <t>system wpea</t>
  </si>
  <si>
    <t>system wfse</t>
  </si>
  <si>
    <t>General comp</t>
  </si>
  <si>
    <t>Compensation Tuition Backfill - State Support (CS1)</t>
  </si>
  <si>
    <t>x</t>
  </si>
  <si>
    <t>?</t>
  </si>
  <si>
    <t>switch between state and ELTA</t>
  </si>
  <si>
    <t>Initial Allocation V.3</t>
  </si>
  <si>
    <t xml:space="preserve">Worker Retraining Emergency Fund </t>
  </si>
  <si>
    <t>Reconciliation Tab Attachment 1</t>
  </si>
  <si>
    <t>(Multiple Items)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</si>
</sst>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;\(&quot;$&quot;#,##0.00\)"/>
    <numFmt numFmtId="167" formatCode="dd\-mmm\-yy"/>
    <numFmt numFmtId="168" formatCode="m/d/yy;@"/>
    <numFmt numFmtId="169" formatCode="[$-409]dd\-mmm\-yy;@"/>
    <numFmt numFmtId="170" formatCode="&quot;$&quot;#,##0.00"/>
    <numFmt numFmtId="171" formatCode="_(* #,##0.000_);_(* \(#,##0.000\);_(* &quot;-&quot;??_);_(@_)"/>
    <numFmt numFmtId="172" formatCode="0.0%"/>
    <numFmt numFmtId="173" formatCode="_(#,##0.000\ _);_(\(\ #,##0.000\ \);_(0.000\ _);_(@\ _)"/>
    <numFmt numFmtId="174" formatCode="0.\);0.\);0.\);@&quot;.)&quot;"/>
    <numFmt numFmtId="175" formatCode="\(0\);\(\-0\);\(0\);&quot;(&quot;@&quot;)&quot;"/>
    <numFmt numFmtId="176" formatCode="_(&quot;$&quot;* #,##0.00_);_(&quot;$&quot;* \(#,##0.00\);_(&quot;$&quot;* &quot;-&quot;_);_(@_)"/>
    <numFmt numFmtId="177" formatCode="_(* #,##0.0_);_(* \(#,##0.0\);_(* &quot;-&quot;??_);_(@_)"/>
    <numFmt numFmtId="178" formatCode="_(* #,##0.00_);_(* \(#,##0.00\);_(* &quot;-&quot;_);_(@_)"/>
  </numFmts>
  <fonts count="13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0"/>
      <name val="Tahoma"/>
      <family val="2"/>
    </font>
    <font>
      <b/>
      <sz val="18"/>
      <name val="CG Times"/>
      <family val="1"/>
    </font>
    <font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0"/>
      <color indexed="8"/>
      <name val="Arial Narrow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16"/>
      <name val="Arial"/>
      <family val="2"/>
    </font>
    <font>
      <b/>
      <sz val="10"/>
      <color indexed="32"/>
      <name val="Arial"/>
      <family val="2"/>
    </font>
    <font>
      <sz val="11"/>
      <name val="CG Times"/>
      <family val="1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2"/>
      <color indexed="8"/>
      <name val="Times New Roman"/>
      <family val="2"/>
    </font>
    <font>
      <sz val="11"/>
      <color indexed="8"/>
      <name val="Arial Narrow"/>
      <family val="2"/>
    </font>
    <font>
      <sz val="11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8"/>
      <name val="Arial Narrow"/>
      <family val="2"/>
    </font>
    <font>
      <sz val="12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i/>
      <sz val="12"/>
      <name val="Calibri"/>
      <family val="2"/>
    </font>
    <font>
      <i/>
      <sz val="10"/>
      <name val="Calibri"/>
      <family val="2"/>
    </font>
    <font>
      <sz val="10"/>
      <color indexed="8"/>
      <name val="Calibri"/>
      <family val="2"/>
    </font>
    <font>
      <sz val="10"/>
      <color indexed="9"/>
      <name val="Calibri"/>
      <family val="2"/>
    </font>
    <font>
      <b/>
      <sz val="10"/>
      <color indexed="8"/>
      <name val="Calibri"/>
      <family val="2"/>
    </font>
    <font>
      <b/>
      <i/>
      <sz val="10"/>
      <name val="Calibri"/>
      <family val="2"/>
    </font>
    <font>
      <b/>
      <i/>
      <sz val="10"/>
      <color indexed="9"/>
      <name val="Calibri"/>
      <family val="2"/>
    </font>
    <font>
      <b/>
      <i/>
      <sz val="10"/>
      <color indexed="8"/>
      <name val="Calibri"/>
      <family val="2"/>
    </font>
    <font>
      <b/>
      <sz val="12"/>
      <name val="Calibri"/>
      <family val="2"/>
    </font>
    <font>
      <sz val="10"/>
      <color indexed="60"/>
      <name val="Calibri"/>
      <family val="2"/>
    </font>
    <font>
      <i/>
      <sz val="12"/>
      <name val="Calibri"/>
      <family val="2"/>
    </font>
    <font>
      <b/>
      <i/>
      <u/>
      <sz val="10"/>
      <name val="Calibri"/>
      <family val="2"/>
    </font>
    <font>
      <sz val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8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8"/>
      <name val="Arial Narrow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8"/>
      <name val="Arial Narrow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8"/>
      <name val="Arial Narrow"/>
      <family val="2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0"/>
      <color theme="1"/>
      <name val="Arial"/>
      <family val="2"/>
    </font>
    <font>
      <sz val="11"/>
      <color theme="1"/>
      <name val="Arial Narrow"/>
      <family val="2"/>
    </font>
    <font>
      <sz val="11"/>
      <color theme="1"/>
      <name val="Times New Roman"/>
      <family val="1"/>
    </font>
    <font>
      <b/>
      <sz val="18"/>
      <color theme="3"/>
      <name val="Cambria"/>
      <family val="2"/>
      <scheme val="major"/>
    </font>
    <font>
      <sz val="8"/>
      <color indexed="8"/>
      <name val="Arial"/>
      <family val="2"/>
    </font>
    <font>
      <sz val="10"/>
      <name val="Times New Roman"/>
      <family val="1"/>
    </font>
    <font>
      <b/>
      <sz val="12"/>
      <color indexed="10"/>
      <name val="Verdana"/>
      <family val="2"/>
    </font>
    <font>
      <sz val="8"/>
      <color indexed="18"/>
      <name val="Arial Unicode MS"/>
      <family val="2"/>
    </font>
    <font>
      <sz val="10"/>
      <color theme="0"/>
      <name val="Calibri"/>
      <family val="2"/>
    </font>
    <font>
      <sz val="8"/>
      <color theme="1"/>
      <name val="Arial"/>
      <family val="2"/>
    </font>
    <font>
      <sz val="10"/>
      <color theme="1"/>
      <name val="Calibri"/>
      <family val="2"/>
    </font>
    <font>
      <b/>
      <sz val="9"/>
      <color indexed="81"/>
      <name val="Tahoma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sz val="10"/>
      <color theme="3" tint="0.39997558519241921"/>
      <name val="Arial Narrow"/>
      <family val="2"/>
    </font>
    <font>
      <sz val="10"/>
      <color indexed="8"/>
      <name val="Arial"/>
      <family val="2"/>
    </font>
    <font>
      <sz val="10"/>
      <color rgb="FFFF0000"/>
      <name val="Calibri"/>
      <family val="2"/>
    </font>
    <font>
      <sz val="8"/>
      <name val="Calibri"/>
      <family val="2"/>
      <scheme val="minor"/>
    </font>
    <font>
      <sz val="8"/>
      <color rgb="FFFF000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38788">
    <xf numFmtId="0" fontId="0" fillId="0" borderId="0"/>
    <xf numFmtId="38" fontId="22" fillId="0" borderId="0"/>
    <xf numFmtId="43" fontId="1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>
      <alignment wrapText="1"/>
    </xf>
    <xf numFmtId="43" fontId="5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23" fillId="0" borderId="0" applyFont="0" applyFill="0" applyBorder="0" applyAlignment="0" applyProtection="0">
      <alignment wrapText="1"/>
    </xf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>
      <alignment wrapTex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>
      <alignment wrapTex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>
      <alignment wrapTex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3" fillId="0" borderId="0" applyFont="0" applyFill="0" applyBorder="0" applyAlignment="0" applyProtection="0">
      <alignment wrapText="1"/>
    </xf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>
      <alignment wrapText="1"/>
    </xf>
    <xf numFmtId="4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5" fillId="2" borderId="0" applyNumberFormat="0" applyFill="0" applyBorder="0" applyAlignment="0">
      <alignment horizontal="left"/>
    </xf>
    <xf numFmtId="44" fontId="2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7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7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7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7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7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7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38" fontId="36" fillId="3" borderId="0" applyBorder="0"/>
    <xf numFmtId="38" fontId="37" fillId="0" borderId="1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18" fillId="0" borderId="0"/>
    <xf numFmtId="0" fontId="111" fillId="0" borderId="0"/>
    <xf numFmtId="0" fontId="111" fillId="0" borderId="0"/>
    <xf numFmtId="0" fontId="18" fillId="0" borderId="0"/>
    <xf numFmtId="0" fontId="111" fillId="0" borderId="0"/>
    <xf numFmtId="0" fontId="18" fillId="0" borderId="0"/>
    <xf numFmtId="0" fontId="111" fillId="0" borderId="0"/>
    <xf numFmtId="0" fontId="111" fillId="0" borderId="0"/>
    <xf numFmtId="0" fontId="111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>
      <alignment wrapText="1"/>
    </xf>
    <xf numFmtId="0" fontId="23" fillId="0" borderId="0">
      <alignment wrapText="1"/>
    </xf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46" fillId="0" borderId="0"/>
    <xf numFmtId="0" fontId="18" fillId="0" borderId="0"/>
    <xf numFmtId="0" fontId="48" fillId="0" borderId="0"/>
    <xf numFmtId="0" fontId="18" fillId="0" borderId="0"/>
    <xf numFmtId="0" fontId="48" fillId="0" borderId="0"/>
    <xf numFmtId="0" fontId="18" fillId="0" borderId="0"/>
    <xf numFmtId="0" fontId="18" fillId="0" borderId="0"/>
    <xf numFmtId="0" fontId="51" fillId="0" borderId="0"/>
    <xf numFmtId="0" fontId="18" fillId="0" borderId="0"/>
    <xf numFmtId="0" fontId="18" fillId="0" borderId="0"/>
    <xf numFmtId="0" fontId="18" fillId="0" borderId="0"/>
    <xf numFmtId="0" fontId="48" fillId="0" borderId="0"/>
    <xf numFmtId="0" fontId="18" fillId="0" borderId="0"/>
    <xf numFmtId="0" fontId="48" fillId="0" borderId="0"/>
    <xf numFmtId="0" fontId="18" fillId="0" borderId="0"/>
    <xf numFmtId="0" fontId="18" fillId="0" borderId="0"/>
    <xf numFmtId="0" fontId="51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112" fillId="0" borderId="0"/>
    <xf numFmtId="0" fontId="23" fillId="0" borderId="0"/>
    <xf numFmtId="0" fontId="23" fillId="0" borderId="0"/>
    <xf numFmtId="0" fontId="23" fillId="0" borderId="0"/>
    <xf numFmtId="0" fontId="112" fillId="0" borderId="0"/>
    <xf numFmtId="0" fontId="23" fillId="0" borderId="0"/>
    <xf numFmtId="0" fontId="23" fillId="0" borderId="0"/>
    <xf numFmtId="0" fontId="106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94" fillId="0" borderId="0"/>
    <xf numFmtId="0" fontId="18" fillId="0" borderId="0"/>
    <xf numFmtId="0" fontId="111" fillId="0" borderId="0"/>
    <xf numFmtId="0" fontId="18" fillId="0" borderId="0"/>
    <xf numFmtId="0" fontId="111" fillId="0" borderId="0"/>
    <xf numFmtId="0" fontId="23" fillId="0" borderId="0">
      <alignment wrapText="1"/>
    </xf>
    <xf numFmtId="0" fontId="23" fillId="0" borderId="0"/>
    <xf numFmtId="0" fontId="23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3" fillId="0" borderId="0"/>
    <xf numFmtId="0" fontId="23" fillId="0" borderId="0"/>
    <xf numFmtId="0" fontId="111" fillId="0" borderId="0"/>
    <xf numFmtId="0" fontId="111" fillId="0" borderId="0"/>
    <xf numFmtId="0" fontId="23" fillId="0" borderId="0">
      <alignment wrapText="1"/>
    </xf>
    <xf numFmtId="0" fontId="111" fillId="0" borderId="0"/>
    <xf numFmtId="0" fontId="111" fillId="0" borderId="0"/>
    <xf numFmtId="0" fontId="111" fillId="0" borderId="0"/>
    <xf numFmtId="0" fontId="111" fillId="0" borderId="0"/>
    <xf numFmtId="0" fontId="23" fillId="0" borderId="0">
      <alignment wrapText="1"/>
    </xf>
    <xf numFmtId="0" fontId="111" fillId="0" borderId="0"/>
    <xf numFmtId="0" fontId="111" fillId="0" borderId="0"/>
    <xf numFmtId="0" fontId="23" fillId="0" borderId="0">
      <alignment wrapText="1"/>
    </xf>
    <xf numFmtId="0" fontId="23" fillId="0" borderId="0">
      <alignment wrapText="1"/>
    </xf>
    <xf numFmtId="0" fontId="111" fillId="0" borderId="0"/>
    <xf numFmtId="0" fontId="111" fillId="0" borderId="0"/>
    <xf numFmtId="0" fontId="23" fillId="0" borderId="0">
      <alignment wrapText="1"/>
    </xf>
    <xf numFmtId="0" fontId="23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3" fillId="0" borderId="0"/>
    <xf numFmtId="0" fontId="23" fillId="0" borderId="0"/>
    <xf numFmtId="0" fontId="23" fillId="0" borderId="0"/>
    <xf numFmtId="0" fontId="111" fillId="0" borderId="0"/>
    <xf numFmtId="0" fontId="111" fillId="0" borderId="0"/>
    <xf numFmtId="0" fontId="23" fillId="0" borderId="0"/>
    <xf numFmtId="0" fontId="111" fillId="0" borderId="0"/>
    <xf numFmtId="0" fontId="111" fillId="0" borderId="0"/>
    <xf numFmtId="0" fontId="23" fillId="0" borderId="0"/>
    <xf numFmtId="0" fontId="23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3" fillId="0" borderId="0">
      <alignment wrapText="1"/>
    </xf>
    <xf numFmtId="0" fontId="23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3" fillId="0" borderId="0"/>
    <xf numFmtId="0" fontId="23" fillId="0" borderId="0"/>
    <xf numFmtId="0" fontId="111" fillId="0" borderId="0"/>
    <xf numFmtId="0" fontId="111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11" fillId="0" borderId="0"/>
    <xf numFmtId="0" fontId="111" fillId="0" borderId="0"/>
    <xf numFmtId="0" fontId="23" fillId="0" borderId="0"/>
    <xf numFmtId="0" fontId="23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40" fillId="0" borderId="0"/>
    <xf numFmtId="0" fontId="40" fillId="0" borderId="0"/>
    <xf numFmtId="0" fontId="40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3" fillId="0" borderId="0"/>
    <xf numFmtId="0" fontId="23" fillId="0" borderId="0"/>
    <xf numFmtId="0" fontId="111" fillId="0" borderId="0"/>
    <xf numFmtId="0" fontId="111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11" fillId="0" borderId="0"/>
    <xf numFmtId="0" fontId="111" fillId="0" borderId="0"/>
    <xf numFmtId="0" fontId="23" fillId="0" borderId="0">
      <alignment wrapText="1"/>
    </xf>
    <xf numFmtId="0" fontId="111" fillId="0" borderId="0"/>
    <xf numFmtId="0" fontId="111" fillId="0" borderId="0"/>
    <xf numFmtId="0" fontId="23" fillId="0" borderId="0"/>
    <xf numFmtId="0" fontId="23" fillId="0" borderId="0">
      <alignment wrapText="1"/>
    </xf>
    <xf numFmtId="0" fontId="23" fillId="0" borderId="0"/>
    <xf numFmtId="0" fontId="23" fillId="0" borderId="0"/>
    <xf numFmtId="0" fontId="23" fillId="0" borderId="0"/>
    <xf numFmtId="0" fontId="23" fillId="0" borderId="0">
      <alignment wrapText="1"/>
    </xf>
    <xf numFmtId="0" fontId="111" fillId="0" borderId="0"/>
    <xf numFmtId="0" fontId="111" fillId="0" borderId="0"/>
    <xf numFmtId="0" fontId="23" fillId="0" borderId="0"/>
    <xf numFmtId="0" fontId="23" fillId="0" borderId="0"/>
    <xf numFmtId="0" fontId="111" fillId="0" borderId="0"/>
    <xf numFmtId="0" fontId="111" fillId="0" borderId="0"/>
    <xf numFmtId="0" fontId="23" fillId="0" borderId="0"/>
    <xf numFmtId="0" fontId="20" fillId="0" borderId="0"/>
    <xf numFmtId="0" fontId="23" fillId="0" borderId="0"/>
    <xf numFmtId="0" fontId="20" fillId="0" borderId="0"/>
    <xf numFmtId="0" fontId="23" fillId="0" borderId="0">
      <alignment wrapText="1"/>
    </xf>
    <xf numFmtId="0" fontId="111" fillId="0" borderId="0"/>
    <xf numFmtId="0" fontId="23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94" fillId="0" borderId="0"/>
    <xf numFmtId="0" fontId="18" fillId="0" borderId="0"/>
    <xf numFmtId="0" fontId="18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23" fillId="0" borderId="0"/>
    <xf numFmtId="0" fontId="113" fillId="0" borderId="0"/>
    <xf numFmtId="0" fontId="111" fillId="0" borderId="0"/>
    <xf numFmtId="0" fontId="23" fillId="0" borderId="0"/>
    <xf numFmtId="0" fontId="111" fillId="0" borderId="0"/>
    <xf numFmtId="0" fontId="111" fillId="0" borderId="0"/>
    <xf numFmtId="0" fontId="113" fillId="0" borderId="0"/>
    <xf numFmtId="0" fontId="111" fillId="0" borderId="0"/>
    <xf numFmtId="0" fontId="111" fillId="0" borderId="0"/>
    <xf numFmtId="0" fontId="111" fillId="0" borderId="0"/>
    <xf numFmtId="0" fontId="23" fillId="0" borderId="0"/>
    <xf numFmtId="0" fontId="23" fillId="0" borderId="0"/>
    <xf numFmtId="0" fontId="40" fillId="0" borderId="0"/>
    <xf numFmtId="0" fontId="111" fillId="0" borderId="0"/>
    <xf numFmtId="0" fontId="111" fillId="0" borderId="0"/>
    <xf numFmtId="0" fontId="112" fillId="0" borderId="0"/>
    <xf numFmtId="0" fontId="113" fillId="0" borderId="0"/>
    <xf numFmtId="0" fontId="112" fillId="0" borderId="0"/>
    <xf numFmtId="0" fontId="112" fillId="0" borderId="0"/>
    <xf numFmtId="0" fontId="113" fillId="0" borderId="0"/>
    <xf numFmtId="0" fontId="111" fillId="0" borderId="0"/>
    <xf numFmtId="0" fontId="23" fillId="0" borderId="0"/>
    <xf numFmtId="0" fontId="23" fillId="0" borderId="0">
      <alignment wrapText="1"/>
    </xf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3" fillId="0" borderId="0">
      <alignment wrapText="1"/>
    </xf>
    <xf numFmtId="0" fontId="111" fillId="0" borderId="0"/>
    <xf numFmtId="0" fontId="111" fillId="0" borderId="0"/>
    <xf numFmtId="0" fontId="76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11" fillId="0" borderId="0"/>
    <xf numFmtId="0" fontId="23" fillId="0" borderId="0">
      <alignment wrapText="1"/>
    </xf>
    <xf numFmtId="0" fontId="18" fillId="0" borderId="0"/>
    <xf numFmtId="0" fontId="23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111" fillId="0" borderId="0"/>
    <xf numFmtId="0" fontId="113" fillId="0" borderId="0"/>
    <xf numFmtId="0" fontId="111" fillId="0" borderId="0"/>
    <xf numFmtId="0" fontId="111" fillId="0" borderId="0"/>
    <xf numFmtId="0" fontId="111" fillId="0" borderId="0"/>
    <xf numFmtId="0" fontId="23" fillId="0" borderId="0"/>
    <xf numFmtId="0" fontId="113" fillId="0" borderId="0"/>
    <xf numFmtId="0" fontId="23" fillId="0" borderId="0"/>
    <xf numFmtId="0" fontId="23" fillId="0" borderId="0"/>
    <xf numFmtId="0" fontId="23" fillId="0" borderId="0"/>
    <xf numFmtId="0" fontId="113" fillId="0" borderId="0"/>
    <xf numFmtId="0" fontId="112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111" fillId="0" borderId="0"/>
    <xf numFmtId="0" fontId="23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23" fillId="0" borderId="0"/>
    <xf numFmtId="0" fontId="111" fillId="0" borderId="0"/>
    <xf numFmtId="0" fontId="114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111" fillId="0" borderId="0"/>
    <xf numFmtId="165" fontId="115" fillId="0" borderId="0"/>
    <xf numFmtId="0" fontId="111" fillId="0" borderId="0"/>
    <xf numFmtId="0" fontId="111" fillId="0" borderId="0"/>
    <xf numFmtId="0" fontId="111" fillId="0" borderId="0"/>
    <xf numFmtId="0" fontId="20" fillId="0" borderId="0"/>
    <xf numFmtId="0" fontId="23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31" fillId="0" borderId="0"/>
    <xf numFmtId="0" fontId="18" fillId="0" borderId="0"/>
    <xf numFmtId="0" fontId="23" fillId="0" borderId="0"/>
    <xf numFmtId="0" fontId="18" fillId="0" borderId="0"/>
    <xf numFmtId="0" fontId="23" fillId="0" borderId="0">
      <alignment wrapText="1"/>
    </xf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31" fillId="0" borderId="0"/>
    <xf numFmtId="0" fontId="18" fillId="0" borderId="0"/>
    <xf numFmtId="0" fontId="23" fillId="0" borderId="0"/>
    <xf numFmtId="0" fontId="18" fillId="0" borderId="0"/>
    <xf numFmtId="0" fontId="114" fillId="0" borderId="0"/>
    <xf numFmtId="0" fontId="32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47" fillId="0" borderId="0"/>
    <xf numFmtId="0" fontId="23" fillId="0" borderId="0"/>
    <xf numFmtId="0" fontId="47" fillId="0" borderId="0"/>
    <xf numFmtId="0" fontId="23" fillId="0" borderId="0"/>
    <xf numFmtId="0" fontId="23" fillId="0" borderId="0"/>
    <xf numFmtId="0" fontId="50" fillId="0" borderId="0"/>
    <xf numFmtId="0" fontId="23" fillId="0" borderId="0"/>
    <xf numFmtId="0" fontId="23" fillId="0" borderId="0"/>
    <xf numFmtId="0" fontId="23" fillId="0" borderId="0"/>
    <xf numFmtId="0" fontId="47" fillId="0" borderId="0"/>
    <xf numFmtId="0" fontId="23" fillId="0" borderId="0"/>
    <xf numFmtId="0" fontId="47" fillId="0" borderId="0"/>
    <xf numFmtId="0" fontId="23" fillId="0" borderId="0"/>
    <xf numFmtId="0" fontId="23" fillId="0" borderId="0"/>
    <xf numFmtId="0" fontId="50" fillId="0" borderId="0"/>
    <xf numFmtId="0" fontId="23" fillId="0" borderId="0"/>
    <xf numFmtId="0" fontId="23" fillId="0" borderId="0"/>
    <xf numFmtId="0" fontId="41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47" fillId="0" borderId="0"/>
    <xf numFmtId="0" fontId="23" fillId="0" borderId="0"/>
    <xf numFmtId="0" fontId="47" fillId="0" borderId="0"/>
    <xf numFmtId="0" fontId="23" fillId="0" borderId="0"/>
    <xf numFmtId="0" fontId="23" fillId="0" borderId="0"/>
    <xf numFmtId="0" fontId="50" fillId="0" borderId="0"/>
    <xf numFmtId="0" fontId="23" fillId="0" borderId="0"/>
    <xf numFmtId="0" fontId="23" fillId="0" borderId="0"/>
    <xf numFmtId="0" fontId="23" fillId="0" borderId="0"/>
    <xf numFmtId="0" fontId="47" fillId="0" borderId="0"/>
    <xf numFmtId="0" fontId="23" fillId="0" borderId="0"/>
    <xf numFmtId="0" fontId="47" fillId="0" borderId="0"/>
    <xf numFmtId="0" fontId="23" fillId="0" borderId="0"/>
    <xf numFmtId="0" fontId="23" fillId="0" borderId="0"/>
    <xf numFmtId="0" fontId="5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47" fillId="0" borderId="0"/>
    <xf numFmtId="0" fontId="23" fillId="0" borderId="0"/>
    <xf numFmtId="0" fontId="47" fillId="0" borderId="0"/>
    <xf numFmtId="0" fontId="23" fillId="0" borderId="0"/>
    <xf numFmtId="0" fontId="23" fillId="0" borderId="0"/>
    <xf numFmtId="0" fontId="50" fillId="0" borderId="0"/>
    <xf numFmtId="0" fontId="23" fillId="0" borderId="0"/>
    <xf numFmtId="0" fontId="23" fillId="0" borderId="0"/>
    <xf numFmtId="0" fontId="23" fillId="0" borderId="0"/>
    <xf numFmtId="0" fontId="47" fillId="0" borderId="0"/>
    <xf numFmtId="0" fontId="23" fillId="0" borderId="0"/>
    <xf numFmtId="0" fontId="47" fillId="0" borderId="0"/>
    <xf numFmtId="0" fontId="23" fillId="0" borderId="0"/>
    <xf numFmtId="0" fontId="23" fillId="0" borderId="0"/>
    <xf numFmtId="0" fontId="50" fillId="0" borderId="0"/>
    <xf numFmtId="0" fontId="23" fillId="0" borderId="0"/>
    <xf numFmtId="0" fontId="23" fillId="0" borderId="0"/>
    <xf numFmtId="0" fontId="41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47" fillId="0" borderId="0"/>
    <xf numFmtId="0" fontId="23" fillId="0" borderId="0"/>
    <xf numFmtId="0" fontId="47" fillId="0" borderId="0"/>
    <xf numFmtId="0" fontId="23" fillId="0" borderId="0"/>
    <xf numFmtId="0" fontId="23" fillId="0" borderId="0"/>
    <xf numFmtId="0" fontId="50" fillId="0" borderId="0"/>
    <xf numFmtId="0" fontId="23" fillId="0" borderId="0"/>
    <xf numFmtId="0" fontId="23" fillId="0" borderId="0"/>
    <xf numFmtId="0" fontId="23" fillId="0" borderId="0"/>
    <xf numFmtId="0" fontId="47" fillId="0" borderId="0"/>
    <xf numFmtId="0" fontId="23" fillId="0" borderId="0"/>
    <xf numFmtId="0" fontId="47" fillId="0" borderId="0"/>
    <xf numFmtId="0" fontId="23" fillId="0" borderId="0"/>
    <xf numFmtId="0" fontId="23" fillId="0" borderId="0"/>
    <xf numFmtId="0" fontId="50" fillId="0" borderId="0"/>
    <xf numFmtId="0" fontId="23" fillId="0" borderId="0"/>
    <xf numFmtId="0" fontId="23" fillId="0" borderId="0"/>
    <xf numFmtId="0" fontId="23" fillId="0" borderId="0">
      <alignment wrapText="1"/>
    </xf>
    <xf numFmtId="0" fontId="18" fillId="0" borderId="0"/>
    <xf numFmtId="0" fontId="114" fillId="0" borderId="0"/>
    <xf numFmtId="0" fontId="23" fillId="0" borderId="0">
      <alignment wrapText="1"/>
    </xf>
    <xf numFmtId="0" fontId="114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31" fillId="0" borderId="0"/>
    <xf numFmtId="0" fontId="18" fillId="0" borderId="0"/>
    <xf numFmtId="0" fontId="114" fillId="0" borderId="0"/>
    <xf numFmtId="0" fontId="18" fillId="0" borderId="0"/>
    <xf numFmtId="0" fontId="114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94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20" fillId="0" borderId="0"/>
    <xf numFmtId="0" fontId="18" fillId="0" borderId="0"/>
    <xf numFmtId="0" fontId="19" fillId="0" borderId="0"/>
    <xf numFmtId="9" fontId="1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>
      <alignment wrapText="1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>
      <alignment wrapText="1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>
      <alignment wrapText="1"/>
    </xf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>
      <alignment wrapText="1"/>
    </xf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>
      <alignment wrapText="1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>
      <alignment wrapText="1"/>
    </xf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>
      <alignment wrapText="1"/>
    </xf>
    <xf numFmtId="9" fontId="5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>
      <alignment wrapText="1"/>
    </xf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>
      <alignment wrapText="1"/>
    </xf>
    <xf numFmtId="9" fontId="2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37" fontId="21" fillId="0" borderId="0" applyNumberFormat="0" applyFill="0" applyBorder="0" applyProtection="0">
      <alignment horizontal="centerContinuous"/>
    </xf>
    <xf numFmtId="37" fontId="21" fillId="0" borderId="0" applyNumberFormat="0" applyFill="0" applyBorder="0" applyProtection="0">
      <alignment horizontal="centerContinuous"/>
    </xf>
    <xf numFmtId="37" fontId="21" fillId="0" borderId="0" applyNumberFormat="0" applyFill="0" applyBorder="0" applyProtection="0">
      <alignment horizontal="centerContinuous"/>
    </xf>
    <xf numFmtId="37" fontId="21" fillId="0" borderId="0" applyNumberFormat="0" applyFill="0" applyBorder="0" applyProtection="0">
      <alignment horizontal="centerContinuous"/>
    </xf>
    <xf numFmtId="37" fontId="21" fillId="0" borderId="0" applyNumberFormat="0" applyFill="0" applyBorder="0" applyProtection="0">
      <alignment horizontal="centerContinuous"/>
    </xf>
    <xf numFmtId="0" fontId="116" fillId="0" borderId="0" applyNumberForma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7" fillId="0" borderId="0"/>
    <xf numFmtId="37" fontId="21" fillId="0" borderId="0" applyNumberFormat="0" applyFill="0" applyBorder="0" applyProtection="0">
      <alignment horizontal="centerContinuous"/>
    </xf>
    <xf numFmtId="0" fontId="17" fillId="0" borderId="0"/>
    <xf numFmtId="9" fontId="15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30" fillId="0" borderId="0" applyFont="0" applyFill="0" applyBorder="0" applyAlignment="0" applyProtection="0"/>
    <xf numFmtId="0" fontId="2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3" fillId="0" borderId="0">
      <alignment wrapText="1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14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3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>
      <alignment wrapText="1"/>
    </xf>
    <xf numFmtId="43" fontId="12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>
      <alignment wrapText="1"/>
    </xf>
    <xf numFmtId="0" fontId="17" fillId="0" borderId="0">
      <alignment wrapText="1"/>
    </xf>
    <xf numFmtId="0" fontId="12" fillId="0" borderId="0"/>
    <xf numFmtId="0" fontId="12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>
      <alignment wrapText="1"/>
    </xf>
    <xf numFmtId="9" fontId="17" fillId="0" borderId="0" applyFont="0" applyFill="0" applyBorder="0" applyAlignment="0" applyProtection="0">
      <alignment wrapText="1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>
      <alignment wrapText="1"/>
    </xf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7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>
      <alignment wrapText="1"/>
    </xf>
    <xf numFmtId="0" fontId="17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>
      <alignment wrapText="1"/>
    </xf>
    <xf numFmtId="0" fontId="17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>
      <alignment wrapText="1"/>
    </xf>
    <xf numFmtId="0" fontId="17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>
      <alignment wrapText="1"/>
    </xf>
    <xf numFmtId="0" fontId="17" fillId="0" borderId="0">
      <alignment wrapText="1"/>
    </xf>
    <xf numFmtId="0" fontId="17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>
      <alignment wrapText="1"/>
    </xf>
    <xf numFmtId="0" fontId="17" fillId="0" borderId="0">
      <alignment wrapText="1"/>
    </xf>
    <xf numFmtId="0" fontId="17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>
      <alignment wrapText="1"/>
    </xf>
    <xf numFmtId="0" fontId="17" fillId="0" borderId="0">
      <alignment wrapText="1"/>
    </xf>
    <xf numFmtId="0" fontId="17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>
      <alignment wrapText="1"/>
    </xf>
    <xf numFmtId="0" fontId="11" fillId="0" borderId="0"/>
    <xf numFmtId="0" fontId="11" fillId="0" borderId="0"/>
    <xf numFmtId="0" fontId="11" fillId="0" borderId="0"/>
    <xf numFmtId="0" fontId="17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7" fillId="0" borderId="0">
      <alignment wrapText="1"/>
    </xf>
    <xf numFmtId="0" fontId="17" fillId="0" borderId="0"/>
    <xf numFmtId="0" fontId="17" fillId="0" borderId="0"/>
    <xf numFmtId="0" fontId="17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wrapText="1"/>
    </xf>
    <xf numFmtId="0" fontId="17" fillId="0" borderId="0">
      <alignment wrapText="1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>
      <alignment wrapText="1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>
      <alignment wrapText="1"/>
    </xf>
    <xf numFmtId="9" fontId="17" fillId="0" borderId="0" applyFont="0" applyFill="0" applyBorder="0" applyAlignment="0" applyProtection="0">
      <alignment wrapText="1"/>
    </xf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>
      <alignment wrapText="1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>
      <alignment wrapText="1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>
      <alignment wrapText="1"/>
    </xf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>
      <alignment wrapText="1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>
      <alignment wrapText="1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7" fillId="0" borderId="0"/>
    <xf numFmtId="0" fontId="121" fillId="7" borderId="0" applyNumberFormat="0" applyBorder="0" applyAlignment="0" applyProtection="0"/>
    <xf numFmtId="0" fontId="121" fillId="8" borderId="0" applyNumberFormat="0" applyBorder="0" applyAlignment="0" applyProtection="0"/>
    <xf numFmtId="0" fontId="121" fillId="9" borderId="0" applyNumberFormat="0" applyBorder="0" applyAlignment="0" applyProtection="0"/>
    <xf numFmtId="0" fontId="121" fillId="10" borderId="0" applyNumberFormat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7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7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>
      <alignment wrapText="1"/>
    </xf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4" fontId="118" fillId="0" borderId="0" applyFont="0" applyFill="0" applyBorder="0" applyAlignment="0" applyProtection="0">
      <alignment horizont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17" fillId="0" borderId="0">
      <alignment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17" fillId="0" borderId="0">
      <alignment wrapText="1"/>
    </xf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Fill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>
      <alignment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17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17" fillId="0" borderId="0">
      <alignment wrapText="1"/>
    </xf>
    <xf numFmtId="0" fontId="17" fillId="0" borderId="0">
      <alignment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>
      <alignment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20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8" fillId="0" borderId="0"/>
    <xf numFmtId="0" fontId="40" fillId="0" borderId="0"/>
    <xf numFmtId="0" fontId="20" fillId="0" borderId="0"/>
    <xf numFmtId="0" fontId="20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4" fillId="0" borderId="0"/>
    <xf numFmtId="0" fontId="8" fillId="0" borderId="0"/>
    <xf numFmtId="0" fontId="8" fillId="0" borderId="0"/>
    <xf numFmtId="0" fontId="8" fillId="0" borderId="0"/>
    <xf numFmtId="0" fontId="114" fillId="0" borderId="0"/>
    <xf numFmtId="0" fontId="12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0"/>
    <xf numFmtId="0" fontId="114" fillId="0" borderId="0"/>
    <xf numFmtId="0" fontId="18" fillId="0" borderId="0"/>
    <xf numFmtId="0" fontId="114" fillId="0" borderId="0"/>
    <xf numFmtId="0" fontId="18" fillId="0" borderId="0"/>
    <xf numFmtId="0" fontId="114" fillId="0" borderId="0"/>
    <xf numFmtId="172" fontId="11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7" fillId="0" borderId="0" applyFont="0" applyFill="0" applyBorder="0" applyAlignment="0" applyProtection="0">
      <alignment wrapText="1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7" fillId="0" borderId="0" applyFont="0" applyFill="0" applyBorder="0" applyAlignment="0" applyProtection="0">
      <alignment wrapText="1"/>
    </xf>
    <xf numFmtId="175" fontId="120" fillId="0" borderId="0" applyFill="0" applyBorder="0" applyProtection="0">
      <alignment horizontal="center" vertical="center"/>
    </xf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7" fillId="0" borderId="0">
      <alignment wrapText="1"/>
    </xf>
    <xf numFmtId="0" fontId="17" fillId="0" borderId="0">
      <alignment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>
      <alignment wrapText="1"/>
    </xf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17" fillId="0" borderId="0">
      <alignment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>
      <alignment wrapText="1"/>
    </xf>
    <xf numFmtId="0" fontId="7" fillId="0" borderId="0"/>
    <xf numFmtId="0" fontId="7" fillId="0" borderId="0"/>
    <xf numFmtId="0" fontId="17" fillId="0" borderId="0">
      <alignment wrapText="1"/>
    </xf>
    <xf numFmtId="0" fontId="17" fillId="0" borderId="0">
      <alignment wrapText="1"/>
    </xf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>
      <alignment wrapText="1"/>
    </xf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17" fillId="0" borderId="0">
      <alignment wrapText="1"/>
    </xf>
    <xf numFmtId="0" fontId="17" fillId="0" borderId="0">
      <alignment wrapText="1"/>
    </xf>
    <xf numFmtId="0" fontId="17" fillId="0" borderId="0">
      <alignment wrapText="1"/>
    </xf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17" fillId="0" borderId="0">
      <alignment wrapText="1"/>
    </xf>
    <xf numFmtId="0" fontId="17" fillId="0" borderId="0">
      <alignment wrapText="1"/>
    </xf>
    <xf numFmtId="0" fontId="17" fillId="0" borderId="0">
      <alignment wrapText="1"/>
    </xf>
    <xf numFmtId="0" fontId="7" fillId="0" borderId="0"/>
    <xf numFmtId="0" fontId="7" fillId="0" borderId="0"/>
    <xf numFmtId="0" fontId="17" fillId="0" borderId="0">
      <alignment wrapText="1"/>
    </xf>
    <xf numFmtId="0" fontId="7" fillId="0" borderId="0"/>
    <xf numFmtId="0" fontId="7" fillId="0" borderId="0"/>
    <xf numFmtId="0" fontId="17" fillId="0" borderId="0"/>
    <xf numFmtId="0" fontId="17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>
      <alignment wrapText="1"/>
    </xf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7" fillId="0" borderId="0">
      <alignment wrapText="1"/>
    </xf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>
      <alignment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>
      <alignment wrapText="1"/>
    </xf>
    <xf numFmtId="0" fontId="7" fillId="0" borderId="0"/>
    <xf numFmtId="0" fontId="7" fillId="0" borderId="0"/>
    <xf numFmtId="0" fontId="17" fillId="0" borderId="0">
      <alignment wrapText="1"/>
    </xf>
    <xf numFmtId="0" fontId="17" fillId="0" borderId="0">
      <alignment wrapText="1"/>
    </xf>
    <xf numFmtId="0" fontId="17" fillId="0" borderId="0">
      <alignment wrapText="1"/>
    </xf>
    <xf numFmtId="0" fontId="7" fillId="0" borderId="0"/>
    <xf numFmtId="0" fontId="17" fillId="0" borderId="0">
      <alignment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7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wrapText="1"/>
    </xf>
    <xf numFmtId="0" fontId="17" fillId="0" borderId="0">
      <alignment wrapText="1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>
      <alignment wrapText="1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>
      <alignment wrapText="1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>
      <alignment wrapText="1"/>
    </xf>
    <xf numFmtId="9" fontId="17" fillId="0" borderId="0" applyFont="0" applyFill="0" applyBorder="0" applyAlignment="0" applyProtection="0">
      <alignment wrapText="1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>
      <alignment wrapText="1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>
      <alignment wrapText="1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>
      <alignment wrapText="1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>
      <alignment wrapText="1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>
      <alignment wrapText="1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3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1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1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9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>
      <alignment wrapText="1"/>
    </xf>
    <xf numFmtId="43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>
      <alignment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>
      <alignment wrapText="1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7" fillId="0" borderId="0" applyFont="0" applyFill="0" applyBorder="0" applyAlignment="0" applyProtection="0">
      <alignment wrapText="1"/>
    </xf>
    <xf numFmtId="9" fontId="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>
      <alignment wrapText="1"/>
    </xf>
    <xf numFmtId="9" fontId="17" fillId="0" borderId="0" applyFont="0" applyFill="0" applyBorder="0" applyAlignment="0" applyProtection="0"/>
    <xf numFmtId="0" fontId="1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>
      <alignment wrapText="1"/>
    </xf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>
      <alignment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>
      <alignment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7" fillId="0" borderId="0" applyFont="0" applyFill="0" applyBorder="0" applyAlignment="0" applyProtection="0">
      <alignment wrapText="1"/>
    </xf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6" fillId="0" borderId="0"/>
    <xf numFmtId="0" fontId="126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0" fontId="12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08">
    <xf numFmtId="0" fontId="0" fillId="0" borderId="0" xfId="0"/>
    <xf numFmtId="0" fontId="60" fillId="0" borderId="0" xfId="2174" applyFont="1" applyAlignment="1"/>
    <xf numFmtId="0" fontId="60" fillId="0" borderId="0" xfId="2174" applyFont="1"/>
    <xf numFmtId="0" fontId="61" fillId="0" borderId="0" xfId="2174" applyFont="1" applyAlignment="1">
      <alignment wrapText="1"/>
    </xf>
    <xf numFmtId="41" fontId="61" fillId="0" borderId="3" xfId="2" quotePrefix="1" applyNumberFormat="1" applyFont="1" applyBorder="1" applyAlignment="1">
      <alignment horizontal="center" vertical="center" wrapText="1"/>
    </xf>
    <xf numFmtId="41" fontId="61" fillId="0" borderId="4" xfId="2" applyNumberFormat="1" applyFont="1" applyBorder="1" applyAlignment="1">
      <alignment horizontal="center" vertical="center" wrapText="1"/>
    </xf>
    <xf numFmtId="0" fontId="62" fillId="0" borderId="0" xfId="2174" applyFont="1"/>
    <xf numFmtId="41" fontId="62" fillId="0" borderId="5" xfId="2" applyNumberFormat="1" applyFont="1" applyBorder="1" applyAlignment="1">
      <alignment wrapText="1"/>
    </xf>
    <xf numFmtId="41" fontId="62" fillId="0" borderId="6" xfId="2" applyNumberFormat="1" applyFont="1" applyBorder="1" applyAlignment="1">
      <alignment wrapText="1"/>
    </xf>
    <xf numFmtId="41" fontId="62" fillId="0" borderId="7" xfId="2" applyNumberFormat="1" applyFont="1" applyBorder="1" applyAlignment="1">
      <alignment wrapText="1"/>
    </xf>
    <xf numFmtId="41" fontId="62" fillId="0" borderId="9" xfId="2" applyNumberFormat="1" applyFont="1" applyBorder="1" applyAlignment="1">
      <alignment wrapText="1"/>
    </xf>
    <xf numFmtId="0" fontId="62" fillId="0" borderId="10" xfId="2174" applyFont="1" applyBorder="1"/>
    <xf numFmtId="41" fontId="62" fillId="0" borderId="10" xfId="2" applyNumberFormat="1" applyFont="1" applyBorder="1" applyAlignment="1">
      <alignment wrapText="1"/>
    </xf>
    <xf numFmtId="41" fontId="62" fillId="0" borderId="4" xfId="2" applyNumberFormat="1" applyFont="1" applyBorder="1" applyAlignment="1">
      <alignment wrapText="1"/>
    </xf>
    <xf numFmtId="41" fontId="62" fillId="0" borderId="0" xfId="2174" applyNumberFormat="1" applyFont="1"/>
    <xf numFmtId="41" fontId="62" fillId="0" borderId="0" xfId="2" applyNumberFormat="1" applyFont="1" applyAlignment="1">
      <alignment wrapText="1"/>
    </xf>
    <xf numFmtId="41" fontId="62" fillId="0" borderId="0" xfId="2" applyNumberFormat="1" applyFont="1" applyAlignment="1">
      <alignment horizontal="right"/>
    </xf>
    <xf numFmtId="0" fontId="60" fillId="0" borderId="0" xfId="2174" applyFont="1" applyAlignment="1">
      <alignment horizontal="centerContinuous"/>
    </xf>
    <xf numFmtId="41" fontId="60" fillId="0" borderId="0" xfId="2" applyNumberFormat="1" applyFont="1" applyAlignment="1">
      <alignment horizontal="centerContinuous" wrapText="1"/>
    </xf>
    <xf numFmtId="41" fontId="60" fillId="0" borderId="0" xfId="2174" applyNumberFormat="1" applyFont="1" applyAlignment="1">
      <alignment horizontal="centerContinuous"/>
    </xf>
    <xf numFmtId="41" fontId="60" fillId="0" borderId="0" xfId="2" applyNumberFormat="1" applyFont="1" applyAlignment="1">
      <alignment horizontal="centerContinuous"/>
    </xf>
    <xf numFmtId="41" fontId="62" fillId="0" borderId="0" xfId="2" applyNumberFormat="1" applyFont="1" applyFill="1" applyAlignment="1">
      <alignment horizontal="right"/>
    </xf>
    <xf numFmtId="164" fontId="60" fillId="0" borderId="0" xfId="2" applyNumberFormat="1" applyFont="1" applyAlignment="1">
      <alignment horizontal="centerContinuous"/>
    </xf>
    <xf numFmtId="0" fontId="62" fillId="0" borderId="0" xfId="0" applyFont="1"/>
    <xf numFmtId="0" fontId="62" fillId="0" borderId="1" xfId="0" applyFont="1" applyBorder="1"/>
    <xf numFmtId="164" fontId="62" fillId="0" borderId="0" xfId="2" applyNumberFormat="1" applyFont="1"/>
    <xf numFmtId="0" fontId="62" fillId="0" borderId="0" xfId="0" applyFont="1" applyBorder="1"/>
    <xf numFmtId="164" fontId="62" fillId="0" borderId="0" xfId="2" applyNumberFormat="1" applyFont="1" applyBorder="1"/>
    <xf numFmtId="41" fontId="62" fillId="0" borderId="0" xfId="0" applyNumberFormat="1" applyFont="1" applyBorder="1"/>
    <xf numFmtId="43" fontId="62" fillId="0" borderId="0" xfId="0" applyNumberFormat="1" applyFont="1"/>
    <xf numFmtId="41" fontId="62" fillId="0" borderId="0" xfId="0" applyNumberFormat="1" applyFont="1"/>
    <xf numFmtId="0" fontId="60" fillId="0" borderId="0" xfId="0" applyFont="1" applyAlignment="1">
      <alignment horizontal="left"/>
    </xf>
    <xf numFmtId="0" fontId="60" fillId="0" borderId="0" xfId="0" applyFont="1" applyAlignment="1">
      <alignment horizontal="centerContinuous"/>
    </xf>
    <xf numFmtId="0" fontId="62" fillId="0" borderId="0" xfId="0" applyFont="1" applyFill="1" applyBorder="1"/>
    <xf numFmtId="0" fontId="61" fillId="0" borderId="0" xfId="0" applyFont="1" applyFill="1" applyBorder="1"/>
    <xf numFmtId="164" fontId="62" fillId="0" borderId="0" xfId="2" applyNumberFormat="1" applyFont="1" applyFill="1" applyBorder="1" applyAlignment="1">
      <alignment horizontal="right"/>
    </xf>
    <xf numFmtId="0" fontId="63" fillId="0" borderId="0" xfId="0" applyFont="1" applyAlignment="1">
      <alignment horizontal="right"/>
    </xf>
    <xf numFmtId="164" fontId="63" fillId="0" borderId="0" xfId="2" applyNumberFormat="1" applyFont="1" applyAlignment="1">
      <alignment horizontal="right"/>
    </xf>
    <xf numFmtId="49" fontId="62" fillId="0" borderId="0" xfId="0" applyNumberFormat="1" applyFont="1"/>
    <xf numFmtId="0" fontId="62" fillId="0" borderId="15" xfId="0" applyFont="1" applyBorder="1"/>
    <xf numFmtId="0" fontId="62" fillId="0" borderId="13" xfId="0" applyFont="1" applyBorder="1"/>
    <xf numFmtId="164" fontId="62" fillId="0" borderId="13" xfId="2" applyNumberFormat="1" applyFont="1" applyBorder="1"/>
    <xf numFmtId="49" fontId="62" fillId="0" borderId="16" xfId="0" applyNumberFormat="1" applyFont="1" applyBorder="1"/>
    <xf numFmtId="164" fontId="64" fillId="0" borderId="0" xfId="2" applyNumberFormat="1" applyFont="1" applyBorder="1" applyAlignment="1">
      <alignment horizontal="center" wrapText="1"/>
    </xf>
    <xf numFmtId="0" fontId="64" fillId="0" borderId="0" xfId="0" applyFont="1" applyAlignment="1">
      <alignment horizontal="center" wrapText="1"/>
    </xf>
    <xf numFmtId="0" fontId="64" fillId="0" borderId="11" xfId="0" applyFont="1" applyBorder="1" applyAlignment="1">
      <alignment horizontal="center" wrapText="1"/>
    </xf>
    <xf numFmtId="3" fontId="61" fillId="0" borderId="17" xfId="0" applyNumberFormat="1" applyFont="1" applyBorder="1" applyAlignment="1">
      <alignment horizontal="center"/>
    </xf>
    <xf numFmtId="3" fontId="61" fillId="0" borderId="0" xfId="0" applyNumberFormat="1" applyFont="1" applyBorder="1" applyAlignment="1">
      <alignment horizontal="center"/>
    </xf>
    <xf numFmtId="164" fontId="61" fillId="0" borderId="0" xfId="2" applyNumberFormat="1" applyFont="1" applyBorder="1" applyAlignment="1">
      <alignment horizontal="center"/>
    </xf>
    <xf numFmtId="49" fontId="62" fillId="0" borderId="11" xfId="0" applyNumberFormat="1" applyFont="1" applyBorder="1"/>
    <xf numFmtId="0" fontId="62" fillId="0" borderId="18" xfId="0" applyFont="1" applyBorder="1"/>
    <xf numFmtId="0" fontId="62" fillId="0" borderId="19" xfId="0" applyFont="1" applyBorder="1"/>
    <xf numFmtId="164" fontId="62" fillId="0" borderId="19" xfId="2" applyNumberFormat="1" applyFont="1" applyBorder="1"/>
    <xf numFmtId="49" fontId="62" fillId="0" borderId="20" xfId="0" applyNumberFormat="1" applyFont="1" applyBorder="1"/>
    <xf numFmtId="0" fontId="65" fillId="0" borderId="0" xfId="2173" applyFont="1" applyFill="1" applyBorder="1" applyAlignment="1">
      <alignment wrapText="1"/>
    </xf>
    <xf numFmtId="164" fontId="62" fillId="0" borderId="0" xfId="2" applyNumberFormat="1" applyFont="1" applyAlignment="1">
      <alignment horizontal="center"/>
    </xf>
    <xf numFmtId="0" fontId="62" fillId="0" borderId="0" xfId="2" applyNumberFormat="1" applyFont="1" applyAlignment="1">
      <alignment horizontal="center"/>
    </xf>
    <xf numFmtId="164" fontId="61" fillId="0" borderId="0" xfId="2" applyNumberFormat="1" applyFont="1" applyFill="1" applyBorder="1" applyAlignment="1">
      <alignment horizontal="right"/>
    </xf>
    <xf numFmtId="164" fontId="66" fillId="0" borderId="0" xfId="2" applyNumberFormat="1" applyFont="1" applyFill="1" applyBorder="1" applyAlignment="1">
      <alignment horizontal="right"/>
    </xf>
    <xf numFmtId="0" fontId="67" fillId="0" borderId="10" xfId="2172" applyFont="1" applyFill="1" applyBorder="1" applyAlignment="1">
      <alignment horizontal="left"/>
    </xf>
    <xf numFmtId="0" fontId="67" fillId="0" borderId="21" xfId="2172" applyFont="1" applyFill="1" applyBorder="1" applyAlignment="1">
      <alignment horizontal="left"/>
    </xf>
    <xf numFmtId="0" fontId="61" fillId="0" borderId="21" xfId="0" applyFont="1" applyBorder="1"/>
    <xf numFmtId="0" fontId="62" fillId="0" borderId="21" xfId="0" applyFont="1" applyBorder="1" applyAlignment="1"/>
    <xf numFmtId="0" fontId="61" fillId="0" borderId="21" xfId="0" applyFont="1" applyBorder="1" applyAlignment="1">
      <alignment horizontal="center"/>
    </xf>
    <xf numFmtId="0" fontId="61" fillId="0" borderId="21" xfId="0" applyFont="1" applyBorder="1" applyAlignment="1">
      <alignment horizontal="center" wrapText="1"/>
    </xf>
    <xf numFmtId="0" fontId="62" fillId="0" borderId="0" xfId="0" applyFont="1" applyBorder="1" applyAlignment="1"/>
    <xf numFmtId="0" fontId="65" fillId="0" borderId="0" xfId="2175" applyFont="1" applyFill="1" applyBorder="1" applyAlignment="1"/>
    <xf numFmtId="0" fontId="67" fillId="0" borderId="0" xfId="2172" applyFont="1" applyFill="1" applyBorder="1" applyAlignment="1">
      <alignment horizontal="left"/>
    </xf>
    <xf numFmtId="0" fontId="61" fillId="0" borderId="0" xfId="0" applyFont="1" applyBorder="1"/>
    <xf numFmtId="14" fontId="62" fillId="0" borderId="0" xfId="0" applyNumberFormat="1" applyFont="1" applyFill="1"/>
    <xf numFmtId="164" fontId="62" fillId="0" borderId="0" xfId="2" applyNumberFormat="1" applyFont="1" applyBorder="1" applyAlignment="1"/>
    <xf numFmtId="41" fontId="62" fillId="0" borderId="1" xfId="2" applyNumberFormat="1" applyFont="1" applyBorder="1" applyAlignment="1"/>
    <xf numFmtId="41" fontId="62" fillId="0" borderId="1" xfId="0" applyNumberFormat="1" applyFont="1" applyBorder="1" applyAlignment="1"/>
    <xf numFmtId="49" fontId="62" fillId="0" borderId="0" xfId="0" applyNumberFormat="1" applyFont="1" applyBorder="1" applyAlignment="1"/>
    <xf numFmtId="164" fontId="61" fillId="0" borderId="0" xfId="2" applyNumberFormat="1" applyFont="1" applyBorder="1" applyAlignment="1"/>
    <xf numFmtId="42" fontId="62" fillId="0" borderId="0" xfId="0" applyNumberFormat="1" applyFont="1" applyBorder="1" applyAlignment="1"/>
    <xf numFmtId="0" fontId="64" fillId="0" borderId="17" xfId="0" applyFont="1" applyBorder="1" applyAlignment="1">
      <alignment horizontal="center" wrapText="1"/>
    </xf>
    <xf numFmtId="0" fontId="64" fillId="0" borderId="0" xfId="0" applyFont="1" applyBorder="1" applyAlignment="1">
      <alignment horizontal="center" wrapText="1"/>
    </xf>
    <xf numFmtId="0" fontId="68" fillId="0" borderId="22" xfId="0" applyFont="1" applyBorder="1" applyAlignment="1">
      <alignment wrapText="1"/>
    </xf>
    <xf numFmtId="164" fontId="68" fillId="0" borderId="22" xfId="2" applyNumberFormat="1" applyFont="1" applyBorder="1" applyAlignment="1">
      <alignment horizontal="center" wrapText="1"/>
    </xf>
    <xf numFmtId="164" fontId="69" fillId="0" borderId="22" xfId="2" applyNumberFormat="1" applyFont="1" applyBorder="1" applyAlignment="1">
      <alignment horizontal="center" wrapText="1"/>
    </xf>
    <xf numFmtId="0" fontId="68" fillId="0" borderId="22" xfId="0" applyFont="1" applyBorder="1" applyAlignment="1">
      <alignment horizontal="center" wrapText="1"/>
    </xf>
    <xf numFmtId="49" fontId="68" fillId="0" borderId="22" xfId="0" applyNumberFormat="1" applyFont="1" applyBorder="1" applyAlignment="1">
      <alignment horizontal="center" wrapText="1"/>
    </xf>
    <xf numFmtId="0" fontId="68" fillId="0" borderId="0" xfId="0" applyFont="1" applyAlignment="1">
      <alignment wrapText="1"/>
    </xf>
    <xf numFmtId="0" fontId="68" fillId="0" borderId="0" xfId="0" applyFont="1" applyBorder="1" applyAlignment="1">
      <alignment wrapText="1"/>
    </xf>
    <xf numFmtId="164" fontId="69" fillId="0" borderId="0" xfId="2" applyNumberFormat="1" applyFont="1" applyBorder="1" applyAlignment="1">
      <alignment horizontal="center" wrapText="1"/>
    </xf>
    <xf numFmtId="164" fontId="68" fillId="0" borderId="0" xfId="2" applyNumberFormat="1" applyFont="1" applyBorder="1" applyAlignment="1">
      <alignment horizontal="center" wrapText="1"/>
    </xf>
    <xf numFmtId="0" fontId="68" fillId="0" borderId="0" xfId="0" applyFont="1" applyBorder="1" applyAlignment="1">
      <alignment horizontal="center" wrapText="1"/>
    </xf>
    <xf numFmtId="49" fontId="68" fillId="0" borderId="0" xfId="0" applyNumberFormat="1" applyFont="1" applyBorder="1" applyAlignment="1">
      <alignment horizontal="center" wrapText="1"/>
    </xf>
    <xf numFmtId="0" fontId="70" fillId="0" borderId="0" xfId="2173" applyFont="1" applyFill="1" applyBorder="1" applyAlignment="1">
      <alignment wrapText="1"/>
    </xf>
    <xf numFmtId="164" fontId="61" fillId="0" borderId="0" xfId="2" applyNumberFormat="1" applyFont="1" applyBorder="1"/>
    <xf numFmtId="49" fontId="60" fillId="0" borderId="0" xfId="0" applyNumberFormat="1" applyFont="1" applyAlignment="1">
      <alignment horizontal="centerContinuous"/>
    </xf>
    <xf numFmtId="0" fontId="60" fillId="0" borderId="0" xfId="0" applyFont="1"/>
    <xf numFmtId="0" fontId="71" fillId="0" borderId="0" xfId="0" applyFont="1" applyAlignment="1">
      <alignment horizontal="centerContinuous"/>
    </xf>
    <xf numFmtId="0" fontId="71" fillId="0" borderId="0" xfId="0" applyFont="1" applyAlignment="1"/>
    <xf numFmtId="164" fontId="60" fillId="0" borderId="0" xfId="2" applyNumberFormat="1" applyFont="1"/>
    <xf numFmtId="0" fontId="60" fillId="0" borderId="0" xfId="0" applyFont="1" applyAlignment="1"/>
    <xf numFmtId="49" fontId="60" fillId="0" borderId="0" xfId="0" applyNumberFormat="1" applyFont="1"/>
    <xf numFmtId="0" fontId="61" fillId="0" borderId="4" xfId="0" applyFont="1" applyBorder="1" applyAlignment="1">
      <alignment horizontal="center" wrapText="1"/>
    </xf>
    <xf numFmtId="0" fontId="65" fillId="2" borderId="0" xfId="2176" applyFont="1" applyFill="1" applyBorder="1" applyAlignment="1">
      <alignment horizontal="center"/>
    </xf>
    <xf numFmtId="0" fontId="65" fillId="0" borderId="0" xfId="2176" quotePrefix="1" applyFont="1" applyFill="1" applyBorder="1" applyAlignment="1">
      <alignment horizontal="right"/>
    </xf>
    <xf numFmtId="0" fontId="65" fillId="0" borderId="0" xfId="2176" applyFont="1" applyFill="1" applyBorder="1" applyAlignment="1">
      <alignment horizontal="left"/>
    </xf>
    <xf numFmtId="0" fontId="62" fillId="0" borderId="0" xfId="0" applyFont="1" applyAlignment="1">
      <alignment horizontal="center"/>
    </xf>
    <xf numFmtId="41" fontId="62" fillId="0" borderId="0" xfId="2" applyNumberFormat="1" applyFont="1" applyFill="1" applyBorder="1" applyAlignment="1">
      <alignment wrapText="1"/>
    </xf>
    <xf numFmtId="41" fontId="62" fillId="0" borderId="0" xfId="2" applyNumberFormat="1" applyFont="1" applyBorder="1"/>
    <xf numFmtId="164" fontId="72" fillId="0" borderId="0" xfId="2" applyNumberFormat="1" applyFont="1" applyBorder="1"/>
    <xf numFmtId="164" fontId="62" fillId="4" borderId="3" xfId="2" applyNumberFormat="1" applyFont="1" applyFill="1" applyBorder="1" applyAlignment="1">
      <alignment horizontal="center"/>
    </xf>
    <xf numFmtId="41" fontId="62" fillId="0" borderId="3" xfId="2" applyNumberFormat="1" applyFont="1" applyFill="1" applyBorder="1" applyAlignment="1">
      <alignment horizontal="right" wrapText="1"/>
    </xf>
    <xf numFmtId="41" fontId="62" fillId="0" borderId="10" xfId="2" applyNumberFormat="1" applyFont="1" applyBorder="1"/>
    <xf numFmtId="164" fontId="62" fillId="0" borderId="10" xfId="2" applyNumberFormat="1" applyFont="1" applyBorder="1"/>
    <xf numFmtId="41" fontId="62" fillId="0" borderId="5" xfId="2" applyNumberFormat="1" applyFont="1" applyFill="1" applyBorder="1" applyAlignment="1">
      <alignment horizontal="left"/>
    </xf>
    <xf numFmtId="41" fontId="61" fillId="0" borderId="12" xfId="2" applyNumberFormat="1" applyFont="1" applyBorder="1"/>
    <xf numFmtId="41" fontId="62" fillId="0" borderId="0" xfId="2" applyNumberFormat="1" applyFont="1" applyFill="1" applyBorder="1" applyAlignment="1">
      <alignment horizontal="right"/>
    </xf>
    <xf numFmtId="41" fontId="61" fillId="0" borderId="0" xfId="2" applyNumberFormat="1" applyFont="1" applyFill="1" applyBorder="1" applyAlignment="1">
      <alignment horizontal="right"/>
    </xf>
    <xf numFmtId="49" fontId="74" fillId="0" borderId="0" xfId="0" applyNumberFormat="1" applyFont="1" applyBorder="1" applyAlignment="1">
      <alignment wrapText="1"/>
    </xf>
    <xf numFmtId="49" fontId="65" fillId="0" borderId="0" xfId="2173" applyNumberFormat="1" applyFont="1" applyFill="1" applyBorder="1" applyAlignment="1">
      <alignment wrapText="1"/>
    </xf>
    <xf numFmtId="41" fontId="61" fillId="0" borderId="10" xfId="2" applyNumberFormat="1" applyFont="1" applyBorder="1" applyAlignment="1">
      <alignment horizontal="center" vertical="center" wrapText="1"/>
    </xf>
    <xf numFmtId="0" fontId="61" fillId="0" borderId="0" xfId="0" quotePrefix="1" applyNumberFormat="1" applyFont="1" applyBorder="1"/>
    <xf numFmtId="41" fontId="61" fillId="0" borderId="0" xfId="0" applyNumberFormat="1" applyFont="1" applyBorder="1"/>
    <xf numFmtId="168" fontId="61" fillId="0" borderId="0" xfId="0" quotePrefix="1" applyNumberFormat="1" applyFont="1" applyBorder="1"/>
    <xf numFmtId="0" fontId="62" fillId="0" borderId="0" xfId="0" quotePrefix="1" applyFont="1" applyBorder="1"/>
    <xf numFmtId="0" fontId="62" fillId="0" borderId="0" xfId="0" quotePrefix="1" applyNumberFormat="1" applyFont="1" applyBorder="1"/>
    <xf numFmtId="41" fontId="65" fillId="0" borderId="0" xfId="0" applyNumberFormat="1" applyFont="1" applyFill="1" applyBorder="1" applyAlignment="1">
      <alignment horizontal="right" wrapText="1"/>
    </xf>
    <xf numFmtId="168" fontId="65" fillId="0" borderId="0" xfId="0" applyNumberFormat="1" applyFont="1" applyFill="1" applyBorder="1" applyAlignment="1">
      <alignment horizontal="right" wrapText="1"/>
    </xf>
    <xf numFmtId="5" fontId="62" fillId="0" borderId="0" xfId="0" applyNumberFormat="1" applyFont="1" applyBorder="1"/>
    <xf numFmtId="168" fontId="62" fillId="0" borderId="0" xfId="0" applyNumberFormat="1" applyFont="1" applyBorder="1"/>
    <xf numFmtId="0" fontId="62" fillId="0" borderId="1" xfId="0" quotePrefix="1" applyFont="1" applyBorder="1"/>
    <xf numFmtId="0" fontId="62" fillId="0" borderId="1" xfId="0" quotePrefix="1" applyNumberFormat="1" applyFont="1" applyBorder="1"/>
    <xf numFmtId="41" fontId="65" fillId="0" borderId="1" xfId="0" applyNumberFormat="1" applyFont="1" applyFill="1" applyBorder="1" applyAlignment="1">
      <alignment horizontal="right" wrapText="1"/>
    </xf>
    <xf numFmtId="168" fontId="62" fillId="0" borderId="1" xfId="0" applyNumberFormat="1" applyFont="1" applyBorder="1"/>
    <xf numFmtId="168" fontId="65" fillId="0" borderId="0" xfId="2175" applyNumberFormat="1" applyFont="1" applyFill="1" applyBorder="1" applyAlignment="1">
      <alignment horizontal="right"/>
    </xf>
    <xf numFmtId="0" fontId="65" fillId="0" borderId="1" xfId="2175" applyFont="1" applyFill="1" applyBorder="1" applyAlignment="1"/>
    <xf numFmtId="168" fontId="65" fillId="0" borderId="1" xfId="2175" applyNumberFormat="1" applyFont="1" applyFill="1" applyBorder="1" applyAlignment="1">
      <alignment horizontal="right"/>
    </xf>
    <xf numFmtId="0" fontId="62" fillId="0" borderId="0" xfId="0" applyNumberFormat="1" applyFont="1" applyBorder="1"/>
    <xf numFmtId="41" fontId="61" fillId="5" borderId="3" xfId="0" applyNumberFormat="1" applyFont="1" applyFill="1" applyBorder="1"/>
    <xf numFmtId="2" fontId="62" fillId="0" borderId="0" xfId="0" applyNumberFormat="1" applyFont="1" applyBorder="1"/>
    <xf numFmtId="0" fontId="62" fillId="0" borderId="1" xfId="0" applyNumberFormat="1" applyFont="1" applyBorder="1"/>
    <xf numFmtId="0" fontId="75" fillId="0" borderId="0" xfId="0" applyFont="1"/>
    <xf numFmtId="0" fontId="75" fillId="2" borderId="27" xfId="0" applyFont="1" applyFill="1" applyBorder="1"/>
    <xf numFmtId="41" fontId="75" fillId="2" borderId="0" xfId="0" applyNumberFormat="1" applyFont="1" applyFill="1" applyBorder="1"/>
    <xf numFmtId="41" fontId="75" fillId="0" borderId="0" xfId="0" applyNumberFormat="1" applyFont="1" applyBorder="1"/>
    <xf numFmtId="0" fontId="62" fillId="0" borderId="0" xfId="0" quotePrefix="1" applyFont="1" applyFill="1" applyBorder="1"/>
    <xf numFmtId="41" fontId="62" fillId="0" borderId="0" xfId="2" applyNumberFormat="1" applyFont="1" applyFill="1" applyAlignment="1">
      <alignment wrapText="1"/>
    </xf>
    <xf numFmtId="41" fontId="75" fillId="0" borderId="0" xfId="0" applyNumberFormat="1" applyFont="1"/>
    <xf numFmtId="164" fontId="62" fillId="0" borderId="8" xfId="157" applyNumberFormat="1" applyFont="1" applyFill="1" applyBorder="1"/>
    <xf numFmtId="164" fontId="62" fillId="0" borderId="5" xfId="157" applyNumberFormat="1" applyFont="1" applyBorder="1"/>
    <xf numFmtId="5" fontId="62" fillId="0" borderId="0" xfId="0" applyNumberFormat="1" applyFont="1" applyFill="1" applyBorder="1"/>
    <xf numFmtId="164" fontId="62" fillId="0" borderId="0" xfId="2" applyNumberFormat="1" applyFont="1" applyFill="1"/>
    <xf numFmtId="41" fontId="0" fillId="0" borderId="0" xfId="0" applyNumberFormat="1"/>
    <xf numFmtId="41" fontId="62" fillId="0" borderId="0" xfId="0" applyNumberFormat="1" applyFont="1" applyFill="1" applyBorder="1"/>
    <xf numFmtId="41" fontId="62" fillId="0" borderId="0" xfId="0" applyNumberFormat="1" applyFont="1" applyFill="1"/>
    <xf numFmtId="11" fontId="62" fillId="0" borderId="0" xfId="0" quotePrefix="1" applyNumberFormat="1" applyFont="1" applyFill="1" applyAlignment="1">
      <alignment horizontal="center"/>
    </xf>
    <xf numFmtId="0" fontId="62" fillId="0" borderId="0" xfId="0" applyFont="1" applyFill="1" applyAlignment="1">
      <alignment horizontal="center"/>
    </xf>
    <xf numFmtId="0" fontId="62" fillId="0" borderId="0" xfId="0" quotePrefix="1" applyFont="1" applyFill="1" applyAlignment="1">
      <alignment horizontal="center"/>
    </xf>
    <xf numFmtId="0" fontId="26" fillId="0" borderId="0" xfId="0" applyFont="1" applyFill="1" applyBorder="1" applyAlignment="1">
      <alignment horizontal="right"/>
    </xf>
    <xf numFmtId="49" fontId="26" fillId="0" borderId="0" xfId="0" applyNumberFormat="1" applyFont="1" applyFill="1" applyBorder="1"/>
    <xf numFmtId="41" fontId="26" fillId="0" borderId="0" xfId="0" applyNumberFormat="1" applyFont="1" applyFill="1" applyBorder="1"/>
    <xf numFmtId="0" fontId="26" fillId="0" borderId="0" xfId="0" applyFont="1" applyFill="1" applyBorder="1" applyAlignment="1">
      <alignment horizontal="center"/>
    </xf>
    <xf numFmtId="37" fontId="26" fillId="0" borderId="0" xfId="2" applyNumberFormat="1" applyFont="1" applyFill="1" applyBorder="1"/>
    <xf numFmtId="0" fontId="26" fillId="0" borderId="0" xfId="0" applyFont="1" applyFill="1" applyBorder="1"/>
    <xf numFmtId="0" fontId="28" fillId="0" borderId="0" xfId="2173" quotePrefix="1" applyFont="1" applyFill="1" applyBorder="1" applyAlignment="1">
      <alignment horizontal="right" wrapText="1"/>
    </xf>
    <xf numFmtId="0" fontId="28" fillId="0" borderId="0" xfId="2173" applyFont="1" applyFill="1" applyBorder="1" applyAlignment="1">
      <alignment wrapText="1"/>
    </xf>
    <xf numFmtId="0" fontId="28" fillId="0" borderId="0" xfId="2173" quotePrefix="1" applyFont="1" applyFill="1" applyBorder="1" applyAlignment="1">
      <alignment wrapText="1"/>
    </xf>
    <xf numFmtId="0" fontId="28" fillId="0" borderId="0" xfId="2173" applyFont="1" applyFill="1" applyBorder="1" applyAlignment="1">
      <alignment horizontal="right" wrapText="1"/>
    </xf>
    <xf numFmtId="164" fontId="62" fillId="0" borderId="0" xfId="0" applyNumberFormat="1" applyFont="1"/>
    <xf numFmtId="41" fontId="26" fillId="0" borderId="0" xfId="2" applyNumberFormat="1" applyFont="1" applyFill="1" applyBorder="1"/>
    <xf numFmtId="41" fontId="27" fillId="0" borderId="0" xfId="2" applyNumberFormat="1" applyFont="1" applyFill="1" applyBorder="1"/>
    <xf numFmtId="41" fontId="27" fillId="0" borderId="0" xfId="0" applyNumberFormat="1" applyFont="1" applyFill="1" applyBorder="1" applyAlignment="1">
      <alignment horizontal="right"/>
    </xf>
    <xf numFmtId="0" fontId="75" fillId="0" borderId="0" xfId="0" applyFont="1" applyFill="1"/>
    <xf numFmtId="0" fontId="65" fillId="0" borderId="2" xfId="1988" applyFont="1" applyFill="1" applyBorder="1" applyAlignment="1">
      <alignment wrapText="1"/>
    </xf>
    <xf numFmtId="41" fontId="65" fillId="0" borderId="2" xfId="1988" applyNumberFormat="1" applyFont="1" applyFill="1" applyBorder="1" applyAlignment="1">
      <alignment horizontal="right" wrapText="1"/>
    </xf>
    <xf numFmtId="168" fontId="65" fillId="0" borderId="2" xfId="1988" applyNumberFormat="1" applyFont="1" applyFill="1" applyBorder="1" applyAlignment="1">
      <alignment horizontal="right" wrapText="1"/>
    </xf>
    <xf numFmtId="0" fontId="65" fillId="0" borderId="2" xfId="2137" applyFont="1" applyFill="1" applyBorder="1" applyAlignment="1">
      <alignment wrapText="1"/>
    </xf>
    <xf numFmtId="0" fontId="65" fillId="0" borderId="2" xfId="1541" applyFont="1" applyFill="1" applyBorder="1" applyAlignment="1">
      <alignment wrapText="1"/>
    </xf>
    <xf numFmtId="41" fontId="65" fillId="0" borderId="2" xfId="1541" applyNumberFormat="1" applyFont="1" applyFill="1" applyBorder="1" applyAlignment="1">
      <alignment horizontal="right" wrapText="1"/>
    </xf>
    <xf numFmtId="168" fontId="65" fillId="0" borderId="2" xfId="2137" applyNumberFormat="1" applyFont="1" applyFill="1" applyBorder="1" applyAlignment="1">
      <alignment horizontal="right" wrapText="1"/>
    </xf>
    <xf numFmtId="0" fontId="65" fillId="0" borderId="2" xfId="1262" applyFont="1" applyFill="1" applyBorder="1" applyAlignment="1">
      <alignment wrapText="1"/>
    </xf>
    <xf numFmtId="41" fontId="65" fillId="0" borderId="2" xfId="1262" applyNumberFormat="1" applyFont="1" applyFill="1" applyBorder="1" applyAlignment="1">
      <alignment horizontal="right" wrapText="1"/>
    </xf>
    <xf numFmtId="168" fontId="65" fillId="0" borderId="2" xfId="1262" applyNumberFormat="1" applyFont="1" applyFill="1" applyBorder="1" applyAlignment="1">
      <alignment horizontal="right" wrapText="1"/>
    </xf>
    <xf numFmtId="168" fontId="65" fillId="0" borderId="30" xfId="1988" applyNumberFormat="1" applyFont="1" applyFill="1" applyBorder="1" applyAlignment="1">
      <alignment horizontal="right" wrapText="1"/>
    </xf>
    <xf numFmtId="168" fontId="65" fillId="0" borderId="2" xfId="1541" applyNumberFormat="1" applyFont="1" applyFill="1" applyBorder="1" applyAlignment="1">
      <alignment horizontal="right" wrapText="1"/>
    </xf>
    <xf numFmtId="0" fontId="65" fillId="0" borderId="30" xfId="1262" applyFont="1" applyFill="1" applyBorder="1" applyAlignment="1">
      <alignment wrapText="1"/>
    </xf>
    <xf numFmtId="42" fontId="62" fillId="0" borderId="25" xfId="0" applyNumberFormat="1" applyFont="1" applyBorder="1" applyAlignment="1"/>
    <xf numFmtId="0" fontId="62" fillId="0" borderId="0" xfId="2" applyNumberFormat="1" applyFont="1" applyBorder="1" applyAlignment="1"/>
    <xf numFmtId="41" fontId="62" fillId="0" borderId="5" xfId="157" applyNumberFormat="1" applyFont="1" applyFill="1" applyBorder="1"/>
    <xf numFmtId="41" fontId="62" fillId="0" borderId="8" xfId="14" applyNumberFormat="1" applyFont="1" applyBorder="1"/>
    <xf numFmtId="41" fontId="62" fillId="0" borderId="0" xfId="14" applyNumberFormat="1" applyFont="1" applyBorder="1"/>
    <xf numFmtId="41" fontId="62" fillId="0" borderId="9" xfId="14" applyNumberFormat="1" applyFont="1" applyBorder="1"/>
    <xf numFmtId="41" fontId="62" fillId="0" borderId="5" xfId="14" applyNumberFormat="1" applyFont="1" applyBorder="1"/>
    <xf numFmtId="41" fontId="62" fillId="0" borderId="8" xfId="14" applyNumberFormat="1" applyFont="1" applyFill="1" applyBorder="1"/>
    <xf numFmtId="41" fontId="62" fillId="0" borderId="10" xfId="2" applyNumberFormat="1" applyFont="1" applyFill="1" applyBorder="1" applyAlignment="1">
      <alignment horizontal="right" wrapText="1"/>
    </xf>
    <xf numFmtId="41" fontId="62" fillId="0" borderId="3" xfId="2" applyNumberFormat="1" applyFont="1" applyBorder="1"/>
    <xf numFmtId="41" fontId="62" fillId="0" borderId="9" xfId="2" applyNumberFormat="1" applyFont="1" applyFill="1" applyBorder="1" applyAlignment="1">
      <alignment horizontal="right" wrapText="1"/>
    </xf>
    <xf numFmtId="41" fontId="62" fillId="0" borderId="4" xfId="2" applyNumberFormat="1" applyFont="1" applyBorder="1"/>
    <xf numFmtId="41" fontId="62" fillId="0" borderId="21" xfId="2" applyNumberFormat="1" applyFont="1" applyBorder="1"/>
    <xf numFmtId="0" fontId="60" fillId="0" borderId="0" xfId="2174" applyFont="1" applyFill="1"/>
    <xf numFmtId="0" fontId="62" fillId="0" borderId="0" xfId="2174" applyFont="1" applyFill="1"/>
    <xf numFmtId="41" fontId="62" fillId="0" borderId="1" xfId="0" applyNumberFormat="1" applyFont="1" applyFill="1" applyBorder="1" applyAlignment="1"/>
    <xf numFmtId="41" fontId="62" fillId="0" borderId="0" xfId="0" applyNumberFormat="1" applyFont="1" applyBorder="1" applyAlignment="1"/>
    <xf numFmtId="164" fontId="63" fillId="0" borderId="0" xfId="2" quotePrefix="1" applyNumberFormat="1" applyFont="1" applyAlignment="1">
      <alignment horizontal="center"/>
    </xf>
    <xf numFmtId="41" fontId="61" fillId="0" borderId="3" xfId="2" applyNumberFormat="1" applyFont="1" applyBorder="1" applyAlignment="1">
      <alignment horizontal="center" vertical="center" wrapText="1"/>
    </xf>
    <xf numFmtId="41" fontId="62" fillId="0" borderId="23" xfId="2" applyNumberFormat="1" applyFont="1" applyBorder="1" applyAlignment="1">
      <alignment wrapText="1"/>
    </xf>
    <xf numFmtId="41" fontId="62" fillId="0" borderId="3" xfId="2" applyNumberFormat="1" applyFont="1" applyBorder="1" applyAlignment="1">
      <alignment wrapText="1"/>
    </xf>
    <xf numFmtId="164" fontId="26" fillId="0" borderId="0" xfId="157" applyNumberFormat="1" applyFont="1" applyBorder="1"/>
    <xf numFmtId="41" fontId="75" fillId="0" borderId="0" xfId="0" applyNumberFormat="1" applyFont="1" applyFill="1" applyBorder="1"/>
    <xf numFmtId="41" fontId="62" fillId="0" borderId="8" xfId="2" applyNumberFormat="1" applyFont="1" applyBorder="1"/>
    <xf numFmtId="41" fontId="65" fillId="0" borderId="0" xfId="1988" applyNumberFormat="1" applyFont="1" applyFill="1" applyBorder="1" applyAlignment="1">
      <alignment horizontal="right" wrapText="1"/>
    </xf>
    <xf numFmtId="0" fontId="95" fillId="0" borderId="2" xfId="1381" applyFont="1" applyFill="1" applyBorder="1" applyAlignment="1">
      <alignment wrapText="1"/>
    </xf>
    <xf numFmtId="0" fontId="30" fillId="0" borderId="0" xfId="1381" applyFont="1" applyFill="1" applyBorder="1" applyAlignment="1">
      <alignment wrapText="1"/>
    </xf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1" xfId="0" pivotButton="1" applyBorder="1"/>
    <xf numFmtId="0" fontId="0" fillId="0" borderId="27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164" fontId="0" fillId="0" borderId="31" xfId="0" applyNumberFormat="1" applyBorder="1"/>
    <xf numFmtId="164" fontId="0" fillId="0" borderId="37" xfId="0" applyNumberFormat="1" applyBorder="1"/>
    <xf numFmtId="164" fontId="0" fillId="0" borderId="27" xfId="0" applyNumberFormat="1" applyBorder="1"/>
    <xf numFmtId="164" fontId="0" fillId="0" borderId="38" xfId="0" applyNumberFormat="1" applyBorder="1"/>
    <xf numFmtId="164" fontId="0" fillId="0" borderId="35" xfId="0" applyNumberFormat="1" applyBorder="1"/>
    <xf numFmtId="164" fontId="0" fillId="0" borderId="39" xfId="0" applyNumberFormat="1" applyBorder="1"/>
    <xf numFmtId="0" fontId="62" fillId="0" borderId="0" xfId="0" applyFont="1" applyFill="1" applyBorder="1" applyAlignment="1"/>
    <xf numFmtId="164" fontId="62" fillId="0" borderId="9" xfId="157" applyNumberFormat="1" applyFont="1" applyBorder="1"/>
    <xf numFmtId="0" fontId="106" fillId="0" borderId="0" xfId="1602"/>
    <xf numFmtId="7" fontId="0" fillId="0" borderId="0" xfId="1075" applyNumberFormat="1" applyFont="1"/>
    <xf numFmtId="169" fontId="106" fillId="0" borderId="0" xfId="1602" applyNumberFormat="1"/>
    <xf numFmtId="170" fontId="0" fillId="0" borderId="0" xfId="1075" applyNumberFormat="1" applyFont="1"/>
    <xf numFmtId="43" fontId="0" fillId="0" borderId="31" xfId="0" applyNumberFormat="1" applyBorder="1"/>
    <xf numFmtId="43" fontId="0" fillId="0" borderId="37" xfId="0" applyNumberFormat="1" applyBorder="1"/>
    <xf numFmtId="43" fontId="0" fillId="0" borderId="27" xfId="0" applyNumberFormat="1" applyBorder="1"/>
    <xf numFmtId="43" fontId="0" fillId="0" borderId="38" xfId="0" applyNumberFormat="1" applyBorder="1"/>
    <xf numFmtId="43" fontId="0" fillId="0" borderId="35" xfId="0" applyNumberFormat="1" applyBorder="1"/>
    <xf numFmtId="43" fontId="0" fillId="0" borderId="39" xfId="0" applyNumberFormat="1" applyBorder="1"/>
    <xf numFmtId="164" fontId="61" fillId="0" borderId="41" xfId="157" applyNumberFormat="1" applyFont="1" applyBorder="1" applyAlignment="1">
      <alignment horizontal="center"/>
    </xf>
    <xf numFmtId="41" fontId="61" fillId="0" borderId="42" xfId="157" applyNumberFormat="1" applyFont="1" applyBorder="1"/>
    <xf numFmtId="164" fontId="62" fillId="0" borderId="43" xfId="157" applyNumberFormat="1" applyFont="1" applyFill="1" applyBorder="1" applyAlignment="1">
      <alignment horizontal="left"/>
    </xf>
    <xf numFmtId="164" fontId="62" fillId="0" borderId="8" xfId="157" quotePrefix="1" applyNumberFormat="1" applyFont="1" applyFill="1" applyBorder="1" applyAlignment="1">
      <alignment horizontal="left"/>
    </xf>
    <xf numFmtId="164" fontId="62" fillId="0" borderId="8" xfId="157" applyNumberFormat="1" applyFont="1" applyFill="1" applyBorder="1" applyAlignment="1">
      <alignment horizontal="left"/>
    </xf>
    <xf numFmtId="164" fontId="62" fillId="0" borderId="28" xfId="157" applyNumberFormat="1" applyFont="1" applyFill="1" applyBorder="1"/>
    <xf numFmtId="164" fontId="62" fillId="0" borderId="29" xfId="157" applyNumberFormat="1" applyFont="1" applyFill="1" applyBorder="1"/>
    <xf numFmtId="41" fontId="61" fillId="0" borderId="44" xfId="157" applyNumberFormat="1" applyFont="1" applyFill="1" applyBorder="1"/>
    <xf numFmtId="41" fontId="61" fillId="0" borderId="45" xfId="157" applyNumberFormat="1" applyFont="1" applyBorder="1"/>
    <xf numFmtId="164" fontId="61" fillId="0" borderId="43" xfId="157" applyNumberFormat="1" applyFont="1" applyBorder="1" applyAlignment="1">
      <alignment horizontal="center"/>
    </xf>
    <xf numFmtId="41" fontId="61" fillId="0" borderId="46" xfId="157" applyNumberFormat="1" applyFont="1" applyBorder="1"/>
    <xf numFmtId="41" fontId="61" fillId="0" borderId="47" xfId="157" applyNumberFormat="1" applyFont="1" applyBorder="1"/>
    <xf numFmtId="41" fontId="61" fillId="0" borderId="48" xfId="157" applyNumberFormat="1" applyFont="1" applyBorder="1"/>
    <xf numFmtId="41" fontId="61" fillId="0" borderId="49" xfId="157" applyNumberFormat="1" applyFont="1" applyBorder="1"/>
    <xf numFmtId="164" fontId="61" fillId="2" borderId="50" xfId="157" applyNumberFormat="1" applyFont="1" applyFill="1" applyBorder="1" applyAlignment="1">
      <alignment horizontal="center"/>
    </xf>
    <xf numFmtId="164" fontId="61" fillId="2" borderId="41" xfId="157" applyNumberFormat="1" applyFont="1" applyFill="1" applyBorder="1" applyAlignment="1">
      <alignment horizontal="center"/>
    </xf>
    <xf numFmtId="164" fontId="61" fillId="2" borderId="46" xfId="157" applyNumberFormat="1" applyFont="1" applyFill="1" applyBorder="1"/>
    <xf numFmtId="164" fontId="61" fillId="2" borderId="44" xfId="157" applyNumberFormat="1" applyFont="1" applyFill="1" applyBorder="1"/>
    <xf numFmtId="41" fontId="61" fillId="2" borderId="46" xfId="157" applyNumberFormat="1" applyFont="1" applyFill="1" applyBorder="1"/>
    <xf numFmtId="41" fontId="61" fillId="2" borderId="44" xfId="157" applyNumberFormat="1" applyFont="1" applyFill="1" applyBorder="1"/>
    <xf numFmtId="41" fontId="61" fillId="2" borderId="47" xfId="157" applyNumberFormat="1" applyFont="1" applyFill="1" applyBorder="1"/>
    <xf numFmtId="41" fontId="61" fillId="2" borderId="48" xfId="157" applyNumberFormat="1" applyFont="1" applyFill="1" applyBorder="1"/>
    <xf numFmtId="41" fontId="61" fillId="2" borderId="49" xfId="157" applyNumberFormat="1" applyFont="1" applyFill="1" applyBorder="1"/>
    <xf numFmtId="41" fontId="61" fillId="2" borderId="42" xfId="157" applyNumberFormat="1" applyFont="1" applyFill="1" applyBorder="1"/>
    <xf numFmtId="164" fontId="61" fillId="2" borderId="22" xfId="157" applyNumberFormat="1" applyFont="1" applyFill="1" applyBorder="1" applyAlignment="1">
      <alignment horizontal="center"/>
    </xf>
    <xf numFmtId="164" fontId="61" fillId="2" borderId="51" xfId="157" applyNumberFormat="1" applyFont="1" applyFill="1" applyBorder="1" applyAlignment="1">
      <alignment horizontal="center"/>
    </xf>
    <xf numFmtId="41" fontId="61" fillId="2" borderId="0" xfId="157" applyNumberFormat="1" applyFont="1" applyFill="1" applyBorder="1"/>
    <xf numFmtId="41" fontId="61" fillId="2" borderId="52" xfId="157" applyNumberFormat="1" applyFont="1" applyFill="1" applyBorder="1"/>
    <xf numFmtId="41" fontId="61" fillId="2" borderId="26" xfId="157" applyNumberFormat="1" applyFont="1" applyFill="1" applyBorder="1"/>
    <xf numFmtId="41" fontId="61" fillId="2" borderId="53" xfId="157" applyNumberFormat="1" applyFont="1" applyFill="1" applyBorder="1"/>
    <xf numFmtId="41" fontId="61" fillId="2" borderId="54" xfId="157" applyNumberFormat="1" applyFont="1" applyFill="1" applyBorder="1"/>
    <xf numFmtId="41" fontId="61" fillId="2" borderId="55" xfId="157" applyNumberFormat="1" applyFont="1" applyFill="1" applyBorder="1"/>
    <xf numFmtId="9" fontId="62" fillId="0" borderId="0" xfId="2177" applyFont="1"/>
    <xf numFmtId="0" fontId="62" fillId="0" borderId="0" xfId="0" applyFont="1"/>
    <xf numFmtId="41" fontId="62" fillId="0" borderId="0" xfId="0" applyNumberFormat="1" applyFont="1"/>
    <xf numFmtId="0" fontId="62" fillId="0" borderId="0" xfId="0" applyFont="1"/>
    <xf numFmtId="0" fontId="62" fillId="0" borderId="0" xfId="0" applyFont="1"/>
    <xf numFmtId="41" fontId="62" fillId="0" borderId="4" xfId="14" applyNumberFormat="1" applyFont="1" applyBorder="1" applyAlignment="1">
      <alignment horizontal="center" vertical="center" wrapText="1"/>
    </xf>
    <xf numFmtId="41" fontId="62" fillId="0" borderId="21" xfId="14" applyNumberFormat="1" applyFont="1" applyBorder="1" applyAlignment="1">
      <alignment horizontal="center" vertical="center" wrapText="1"/>
    </xf>
    <xf numFmtId="41" fontId="62" fillId="0" borderId="3" xfId="14" applyNumberFormat="1" applyFont="1" applyBorder="1" applyAlignment="1">
      <alignment horizontal="center" vertical="center" wrapText="1"/>
    </xf>
    <xf numFmtId="41" fontId="62" fillId="0" borderId="10" xfId="14" applyNumberFormat="1" applyFont="1" applyBorder="1" applyAlignment="1">
      <alignment horizontal="center" vertical="center" wrapText="1"/>
    </xf>
    <xf numFmtId="8" fontId="65" fillId="0" borderId="0" xfId="0" applyNumberFormat="1" applyFont="1" applyFill="1" applyBorder="1" applyAlignment="1">
      <alignment horizontal="right" wrapText="1"/>
    </xf>
    <xf numFmtId="8" fontId="65" fillId="0" borderId="2" xfId="1541" applyNumberFormat="1" applyFont="1" applyFill="1" applyBorder="1" applyAlignment="1">
      <alignment horizontal="right" wrapText="1"/>
    </xf>
    <xf numFmtId="8" fontId="65" fillId="0" borderId="2" xfId="1262" applyNumberFormat="1" applyFont="1" applyFill="1" applyBorder="1" applyAlignment="1">
      <alignment horizontal="right" wrapText="1"/>
    </xf>
    <xf numFmtId="0" fontId="30" fillId="0" borderId="2" xfId="2175" applyFont="1" applyFill="1" applyBorder="1" applyAlignment="1">
      <alignment wrapText="1"/>
    </xf>
    <xf numFmtId="49" fontId="28" fillId="0" borderId="0" xfId="2173" applyNumberFormat="1" applyFont="1" applyFill="1" applyBorder="1" applyAlignment="1">
      <alignment wrapText="1"/>
    </xf>
    <xf numFmtId="164" fontId="65" fillId="0" borderId="2" xfId="2" applyNumberFormat="1" applyFont="1" applyFill="1" applyBorder="1" applyAlignment="1">
      <alignment horizontal="right" wrapText="1"/>
    </xf>
    <xf numFmtId="164" fontId="65" fillId="0" borderId="0" xfId="2" applyNumberFormat="1" applyFont="1" applyFill="1" applyBorder="1" applyAlignment="1">
      <alignment horizontal="right" wrapText="1"/>
    </xf>
    <xf numFmtId="164" fontId="65" fillId="0" borderId="1" xfId="2" applyNumberFormat="1" applyFont="1" applyFill="1" applyBorder="1" applyAlignment="1">
      <alignment horizontal="right" wrapText="1"/>
    </xf>
    <xf numFmtId="164" fontId="18" fillId="0" borderId="0" xfId="2" applyNumberFormat="1" applyFont="1"/>
    <xf numFmtId="168" fontId="65" fillId="0" borderId="0" xfId="1541" applyNumberFormat="1" applyFont="1" applyFill="1" applyBorder="1" applyAlignment="1">
      <alignment horizontal="right" wrapText="1"/>
    </xf>
    <xf numFmtId="168" fontId="65" fillId="0" borderId="0" xfId="1262" applyNumberFormat="1" applyFont="1" applyFill="1" applyBorder="1" applyAlignment="1">
      <alignment horizontal="right" wrapText="1"/>
    </xf>
    <xf numFmtId="43" fontId="0" fillId="0" borderId="0" xfId="0" applyNumberFormat="1"/>
    <xf numFmtId="43" fontId="65" fillId="0" borderId="2" xfId="2" applyNumberFormat="1" applyFont="1" applyFill="1" applyBorder="1" applyAlignment="1">
      <alignment horizontal="right" wrapText="1"/>
    </xf>
    <xf numFmtId="171" fontId="65" fillId="0" borderId="2" xfId="2" applyNumberFormat="1" applyFont="1" applyFill="1" applyBorder="1" applyAlignment="1">
      <alignment horizontal="right" wrapText="1"/>
    </xf>
    <xf numFmtId="0" fontId="0" fillId="0" borderId="0" xfId="0" applyFill="1" applyBorder="1"/>
    <xf numFmtId="43" fontId="0" fillId="0" borderId="0" xfId="2" applyFont="1" applyBorder="1"/>
    <xf numFmtId="43" fontId="0" fillId="11" borderId="0" xfId="2" applyFont="1" applyFill="1" applyBorder="1" applyAlignment="1">
      <alignment horizontal="center"/>
    </xf>
    <xf numFmtId="43" fontId="0" fillId="0" borderId="0" xfId="2" applyFont="1"/>
    <xf numFmtId="42" fontId="0" fillId="0" borderId="0" xfId="0" applyNumberFormat="1"/>
    <xf numFmtId="43" fontId="0" fillId="6" borderId="31" xfId="0" applyNumberFormat="1" applyFill="1" applyBorder="1"/>
    <xf numFmtId="43" fontId="0" fillId="6" borderId="37" xfId="0" applyNumberFormat="1" applyFill="1" applyBorder="1"/>
    <xf numFmtId="0" fontId="0" fillId="0" borderId="0" xfId="0" applyFill="1"/>
    <xf numFmtId="42" fontId="0" fillId="0" borderId="0" xfId="0" applyNumberFormat="1" applyFill="1"/>
    <xf numFmtId="43" fontId="0" fillId="12" borderId="31" xfId="0" applyNumberFormat="1" applyFill="1" applyBorder="1"/>
    <xf numFmtId="164" fontId="0" fillId="12" borderId="35" xfId="0" applyNumberFormat="1" applyFill="1" applyBorder="1"/>
    <xf numFmtId="41" fontId="62" fillId="0" borderId="0" xfId="2" applyNumberFormat="1" applyFont="1" applyBorder="1" applyAlignment="1">
      <alignment horizontal="center"/>
    </xf>
    <xf numFmtId="41" fontId="62" fillId="0" borderId="0" xfId="2" applyNumberFormat="1" applyFont="1" applyBorder="1" applyAlignment="1">
      <alignment horizontal="center"/>
    </xf>
    <xf numFmtId="41" fontId="62" fillId="4" borderId="3" xfId="2" applyNumberFormat="1" applyFont="1" applyFill="1" applyBorder="1" applyAlignment="1">
      <alignment horizontal="center" wrapText="1"/>
    </xf>
    <xf numFmtId="41" fontId="62" fillId="0" borderId="3" xfId="2" applyNumberFormat="1" applyFont="1" applyFill="1" applyBorder="1" applyAlignment="1">
      <alignment horizontal="left"/>
    </xf>
    <xf numFmtId="41" fontId="62" fillId="0" borderId="21" xfId="2" applyNumberFormat="1" applyFont="1" applyFill="1" applyBorder="1" applyAlignment="1">
      <alignment wrapText="1"/>
    </xf>
    <xf numFmtId="41" fontId="62" fillId="0" borderId="10" xfId="14" applyNumberFormat="1" applyFont="1" applyBorder="1"/>
    <xf numFmtId="41" fontId="62" fillId="0" borderId="3" xfId="14" applyNumberFormat="1" applyFont="1" applyBorder="1"/>
    <xf numFmtId="41" fontId="62" fillId="0" borderId="5" xfId="2" applyNumberFormat="1" applyFont="1" applyFill="1" applyBorder="1" applyAlignment="1">
      <alignment horizontal="right" wrapText="1"/>
    </xf>
    <xf numFmtId="164" fontId="62" fillId="4" borderId="10" xfId="2" applyNumberFormat="1" applyFont="1" applyFill="1" applyBorder="1" applyAlignment="1">
      <alignment horizontal="center"/>
    </xf>
    <xf numFmtId="41" fontId="62" fillId="0" borderId="23" xfId="2" applyNumberFormat="1" applyFont="1" applyBorder="1"/>
    <xf numFmtId="41" fontId="62" fillId="0" borderId="24" xfId="14" applyNumberFormat="1" applyFont="1" applyBorder="1" applyAlignment="1">
      <alignment horizontal="center" vertical="center" wrapText="1"/>
    </xf>
    <xf numFmtId="41" fontId="62" fillId="4" borderId="23" xfId="2" applyNumberFormat="1" applyFont="1" applyFill="1" applyBorder="1" applyAlignment="1">
      <alignment horizontal="center" wrapText="1"/>
    </xf>
    <xf numFmtId="41" fontId="62" fillId="4" borderId="24" xfId="2" applyNumberFormat="1" applyFont="1" applyFill="1" applyBorder="1" applyAlignment="1">
      <alignment horizontal="center" wrapText="1"/>
    </xf>
    <xf numFmtId="164" fontId="62" fillId="15" borderId="0" xfId="2" applyNumberFormat="1" applyFont="1" applyFill="1" applyBorder="1"/>
    <xf numFmtId="41" fontId="62" fillId="15" borderId="8" xfId="14" applyNumberFormat="1" applyFont="1" applyFill="1" applyBorder="1" applyAlignment="1">
      <alignment horizontal="center" vertical="center" wrapText="1"/>
    </xf>
    <xf numFmtId="41" fontId="62" fillId="15" borderId="0" xfId="14" applyNumberFormat="1" applyFont="1" applyFill="1" applyBorder="1" applyAlignment="1">
      <alignment horizontal="center" vertical="center" wrapText="1"/>
    </xf>
    <xf numFmtId="41" fontId="62" fillId="15" borderId="5" xfId="14" applyNumberFormat="1" applyFont="1" applyFill="1" applyBorder="1" applyAlignment="1">
      <alignment horizontal="center" vertical="center" wrapText="1"/>
    </xf>
    <xf numFmtId="41" fontId="62" fillId="15" borderId="0" xfId="2" applyNumberFormat="1" applyFont="1" applyFill="1" applyBorder="1"/>
    <xf numFmtId="0" fontId="60" fillId="15" borderId="0" xfId="2174" applyFont="1" applyFill="1"/>
    <xf numFmtId="41" fontId="62" fillId="16" borderId="23" xfId="2" applyNumberFormat="1" applyFont="1" applyFill="1" applyBorder="1" applyAlignment="1">
      <alignment horizontal="center" wrapText="1"/>
    </xf>
    <xf numFmtId="164" fontId="62" fillId="15" borderId="23" xfId="2" applyNumberFormat="1" applyFont="1" applyFill="1" applyBorder="1"/>
    <xf numFmtId="41" fontId="62" fillId="0" borderId="8" xfId="2" applyNumberFormat="1" applyFont="1" applyFill="1" applyBorder="1" applyAlignment="1">
      <alignment horizontal="left"/>
    </xf>
    <xf numFmtId="41" fontId="62" fillId="15" borderId="23" xfId="14" applyNumberFormat="1" applyFont="1" applyFill="1" applyBorder="1" applyAlignment="1">
      <alignment horizontal="center" vertical="center" wrapText="1"/>
    </xf>
    <xf numFmtId="0" fontId="62" fillId="17" borderId="0" xfId="2174" applyFont="1" applyFill="1"/>
    <xf numFmtId="41" fontId="62" fillId="17" borderId="5" xfId="157" applyNumberFormat="1" applyFont="1" applyFill="1" applyBorder="1"/>
    <xf numFmtId="41" fontId="62" fillId="17" borderId="5" xfId="2" applyNumberFormat="1" applyFont="1" applyFill="1" applyBorder="1" applyAlignment="1">
      <alignment horizontal="left"/>
    </xf>
    <xf numFmtId="41" fontId="62" fillId="17" borderId="0" xfId="2" applyNumberFormat="1" applyFont="1" applyFill="1" applyBorder="1" applyAlignment="1">
      <alignment wrapText="1"/>
    </xf>
    <xf numFmtId="41" fontId="62" fillId="17" borderId="8" xfId="14" applyNumberFormat="1" applyFont="1" applyFill="1" applyBorder="1"/>
    <xf numFmtId="41" fontId="62" fillId="17" borderId="5" xfId="14" applyNumberFormat="1" applyFont="1" applyFill="1" applyBorder="1"/>
    <xf numFmtId="41" fontId="62" fillId="17" borderId="0" xfId="14" applyNumberFormat="1" applyFont="1" applyFill="1" applyBorder="1"/>
    <xf numFmtId="41" fontId="62" fillId="17" borderId="9" xfId="14" applyNumberFormat="1" applyFont="1" applyFill="1" applyBorder="1"/>
    <xf numFmtId="41" fontId="62" fillId="17" borderId="9" xfId="2" applyNumberFormat="1" applyFont="1" applyFill="1" applyBorder="1" applyAlignment="1">
      <alignment horizontal="right" wrapText="1"/>
    </xf>
    <xf numFmtId="41" fontId="62" fillId="17" borderId="5" xfId="2" applyNumberFormat="1" applyFont="1" applyFill="1" applyBorder="1" applyAlignment="1">
      <alignment horizontal="right" wrapText="1"/>
    </xf>
    <xf numFmtId="0" fontId="0" fillId="17" borderId="0" xfId="0" applyFill="1"/>
    <xf numFmtId="0" fontId="75" fillId="17" borderId="0" xfId="0" applyFont="1" applyFill="1"/>
    <xf numFmtId="0" fontId="26" fillId="0" borderId="0" xfId="2173" applyFont="1" applyFill="1" applyBorder="1" applyAlignment="1">
      <alignment wrapText="1"/>
    </xf>
    <xf numFmtId="0" fontId="26" fillId="0" borderId="0" xfId="2173" quotePrefix="1" applyFont="1" applyFill="1" applyBorder="1" applyAlignment="1">
      <alignment wrapText="1"/>
    </xf>
    <xf numFmtId="43" fontId="125" fillId="0" borderId="0" xfId="2" applyFont="1" applyBorder="1"/>
    <xf numFmtId="176" fontId="0" fillId="0" borderId="0" xfId="0" applyNumberFormat="1"/>
    <xf numFmtId="0" fontId="0" fillId="0" borderId="31" xfId="0" applyFill="1" applyBorder="1"/>
    <xf numFmtId="43" fontId="0" fillId="0" borderId="31" xfId="0" applyNumberFormat="1" applyFill="1" applyBorder="1"/>
    <xf numFmtId="43" fontId="0" fillId="0" borderId="37" xfId="0" applyNumberFormat="1" applyFill="1" applyBorder="1"/>
    <xf numFmtId="164" fontId="62" fillId="0" borderId="5" xfId="2" applyNumberFormat="1" applyFont="1" applyBorder="1" applyAlignment="1">
      <alignment wrapText="1"/>
    </xf>
    <xf numFmtId="164" fontId="62" fillId="0" borderId="5" xfId="2" applyNumberFormat="1" applyFont="1" applyBorder="1"/>
    <xf numFmtId="164" fontId="62" fillId="0" borderId="0" xfId="2174" applyNumberFormat="1" applyFont="1"/>
    <xf numFmtId="41" fontId="62" fillId="0" borderId="0" xfId="2" applyNumberFormat="1" applyFont="1" applyBorder="1" applyAlignment="1">
      <alignment horizontal="right"/>
    </xf>
    <xf numFmtId="41" fontId="62" fillId="0" borderId="4" xfId="2" applyNumberFormat="1" applyFont="1" applyFill="1" applyBorder="1" applyAlignment="1">
      <alignment horizontal="left" wrapText="1"/>
    </xf>
    <xf numFmtId="164" fontId="62" fillId="0" borderId="4" xfId="2" applyNumberFormat="1" applyFont="1" applyBorder="1"/>
    <xf numFmtId="164" fontId="62" fillId="16" borderId="23" xfId="2" applyNumberFormat="1" applyFont="1" applyFill="1" applyBorder="1" applyAlignment="1">
      <alignment horizontal="center"/>
    </xf>
    <xf numFmtId="41" fontId="62" fillId="0" borderId="5" xfId="2" quotePrefix="1" applyNumberFormat="1" applyFont="1" applyFill="1" applyBorder="1" applyAlignment="1">
      <alignment horizontal="center" wrapText="1"/>
    </xf>
    <xf numFmtId="41" fontId="62" fillId="17" borderId="5" xfId="2" quotePrefix="1" applyNumberFormat="1" applyFont="1" applyFill="1" applyBorder="1" applyAlignment="1">
      <alignment horizontal="center" wrapText="1"/>
    </xf>
    <xf numFmtId="41" fontId="62" fillId="0" borderId="3" xfId="2" quotePrefix="1" applyNumberFormat="1" applyFont="1" applyFill="1" applyBorder="1" applyAlignment="1">
      <alignment horizontal="center" wrapText="1"/>
    </xf>
    <xf numFmtId="41" fontId="62" fillId="0" borderId="3" xfId="2" applyNumberFormat="1" applyFont="1" applyFill="1" applyBorder="1" applyAlignment="1">
      <alignment horizontal="center" wrapText="1"/>
    </xf>
    <xf numFmtId="164" fontId="62" fillId="0" borderId="3" xfId="2" applyNumberFormat="1" applyFont="1" applyBorder="1" applyAlignment="1">
      <alignment horizontal="center"/>
    </xf>
    <xf numFmtId="164" fontId="62" fillId="16" borderId="0" xfId="2" applyNumberFormat="1" applyFont="1" applyFill="1" applyBorder="1" applyAlignment="1"/>
    <xf numFmtId="14" fontId="62" fillId="0" borderId="0" xfId="0" applyNumberFormat="1" applyFont="1" applyBorder="1"/>
    <xf numFmtId="41" fontId="127" fillId="0" borderId="0" xfId="0" applyNumberFormat="1" applyFont="1" applyFill="1" applyBorder="1"/>
    <xf numFmtId="0" fontId="65" fillId="0" borderId="64" xfId="1262" applyFont="1" applyFill="1" applyBorder="1" applyAlignment="1">
      <alignment wrapText="1"/>
    </xf>
    <xf numFmtId="14" fontId="65" fillId="0" borderId="0" xfId="0" applyNumberFormat="1" applyFont="1" applyFill="1" applyBorder="1" applyAlignment="1">
      <alignment horizontal="right" wrapText="1"/>
    </xf>
    <xf numFmtId="0" fontId="30" fillId="0" borderId="2" xfId="31813" applyFont="1" applyFill="1" applyBorder="1" applyAlignment="1">
      <alignment wrapText="1"/>
    </xf>
    <xf numFmtId="166" fontId="30" fillId="0" borderId="2" xfId="31813" applyNumberFormat="1" applyFont="1" applyFill="1" applyBorder="1" applyAlignment="1">
      <alignment horizontal="right" wrapText="1"/>
    </xf>
    <xf numFmtId="167" fontId="30" fillId="0" borderId="2" xfId="31813" applyNumberFormat="1" applyFont="1" applyFill="1" applyBorder="1" applyAlignment="1">
      <alignment horizontal="right" wrapText="1"/>
    </xf>
    <xf numFmtId="177" fontId="0" fillId="0" borderId="37" xfId="0" applyNumberFormat="1" applyBorder="1"/>
    <xf numFmtId="41" fontId="26" fillId="6" borderId="0" xfId="0" applyNumberFormat="1" applyFont="1" applyFill="1" applyBorder="1"/>
    <xf numFmtId="164" fontId="26" fillId="0" borderId="0" xfId="0" applyNumberFormat="1" applyFont="1" applyFill="1" applyBorder="1"/>
    <xf numFmtId="41" fontId="27" fillId="0" borderId="0" xfId="0" applyNumberFormat="1" applyFont="1" applyFill="1" applyBorder="1"/>
    <xf numFmtId="164" fontId="75" fillId="0" borderId="0" xfId="2" applyNumberFormat="1" applyFont="1"/>
    <xf numFmtId="0" fontId="28" fillId="0" borderId="0" xfId="2173" applyFont="1" applyFill="1" applyBorder="1" applyAlignment="1">
      <alignment horizontal="center"/>
    </xf>
    <xf numFmtId="0" fontId="26" fillId="0" borderId="0" xfId="2173" applyFont="1" applyFill="1" applyBorder="1" applyAlignment="1">
      <alignment horizontal="center"/>
    </xf>
    <xf numFmtId="41" fontId="28" fillId="0" borderId="0" xfId="2173" applyNumberFormat="1" applyFont="1" applyFill="1" applyBorder="1" applyAlignment="1">
      <alignment horizontal="center"/>
    </xf>
    <xf numFmtId="164" fontId="54" fillId="0" borderId="0" xfId="157" applyNumberFormat="1" applyFont="1" applyFill="1" applyBorder="1"/>
    <xf numFmtId="164" fontId="1" fillId="0" borderId="3" xfId="38780" applyNumberFormat="1" applyFont="1" applyFill="1" applyBorder="1"/>
    <xf numFmtId="164" fontId="0" fillId="0" borderId="3" xfId="2" applyNumberFormat="1" applyFont="1" applyFill="1" applyBorder="1"/>
    <xf numFmtId="164" fontId="26" fillId="0" borderId="0" xfId="2" applyNumberFormat="1" applyFont="1" applyFill="1" applyBorder="1"/>
    <xf numFmtId="177" fontId="0" fillId="0" borderId="0" xfId="2" applyNumberFormat="1" applyFont="1"/>
    <xf numFmtId="41" fontId="129" fillId="0" borderId="0" xfId="2174" applyNumberFormat="1" applyFont="1"/>
    <xf numFmtId="0" fontId="28" fillId="6" borderId="0" xfId="2173" applyFont="1" applyFill="1" applyBorder="1" applyAlignment="1">
      <alignment wrapText="1"/>
    </xf>
    <xf numFmtId="0" fontId="28" fillId="6" borderId="0" xfId="2173" applyFont="1" applyFill="1" applyBorder="1" applyAlignment="1">
      <alignment horizontal="right" wrapText="1"/>
    </xf>
    <xf numFmtId="0" fontId="26" fillId="6" borderId="0" xfId="0" applyFont="1" applyFill="1" applyBorder="1"/>
    <xf numFmtId="41" fontId="62" fillId="6" borderId="0" xfId="2" applyNumberFormat="1" applyFont="1" applyFill="1" applyAlignment="1">
      <alignment horizontal="right"/>
    </xf>
    <xf numFmtId="43" fontId="17" fillId="0" borderId="37" xfId="0" applyNumberFormat="1" applyFont="1" applyBorder="1"/>
    <xf numFmtId="41" fontId="26" fillId="0" borderId="0" xfId="0" applyNumberFormat="1" applyFont="1" applyFill="1" applyBorder="1" applyAlignment="1">
      <alignment horizontal="center"/>
    </xf>
    <xf numFmtId="0" fontId="28" fillId="0" borderId="0" xfId="2173" applyFont="1" applyFill="1" applyBorder="1" applyAlignment="1">
      <alignment horizontal="center" wrapText="1"/>
    </xf>
    <xf numFmtId="0" fontId="26" fillId="0" borderId="0" xfId="2173" applyFont="1" applyFill="1" applyBorder="1" applyAlignment="1">
      <alignment horizontal="center" wrapText="1"/>
    </xf>
    <xf numFmtId="41" fontId="130" fillId="0" borderId="0" xfId="0" applyNumberFormat="1" applyFont="1" applyFill="1" applyBorder="1"/>
    <xf numFmtId="164" fontId="0" fillId="13" borderId="3" xfId="2" applyNumberFormat="1" applyFont="1" applyFill="1" applyBorder="1"/>
    <xf numFmtId="164" fontId="0" fillId="0" borderId="3" xfId="2" applyNumberFormat="1" applyFont="1" applyBorder="1"/>
    <xf numFmtId="0" fontId="17" fillId="0" borderId="0" xfId="0" applyFont="1"/>
    <xf numFmtId="41" fontId="130" fillId="0" borderId="57" xfId="0" applyNumberFormat="1" applyFont="1" applyBorder="1"/>
    <xf numFmtId="41" fontId="130" fillId="0" borderId="0" xfId="0" applyNumberFormat="1" applyFont="1"/>
    <xf numFmtId="41" fontId="130" fillId="17" borderId="0" xfId="0" applyNumberFormat="1" applyFont="1" applyFill="1"/>
    <xf numFmtId="43" fontId="65" fillId="0" borderId="2" xfId="1541" applyNumberFormat="1" applyFont="1" applyFill="1" applyBorder="1" applyAlignment="1">
      <alignment horizontal="right" wrapText="1"/>
    </xf>
    <xf numFmtId="0" fontId="30" fillId="4" borderId="40" xfId="2175" applyFont="1" applyFill="1" applyBorder="1" applyAlignment="1">
      <alignment horizontal="center"/>
    </xf>
    <xf numFmtId="166" fontId="30" fillId="0" borderId="2" xfId="2175" applyNumberFormat="1" applyFont="1" applyFill="1" applyBorder="1" applyAlignment="1">
      <alignment horizontal="right" wrapText="1"/>
    </xf>
    <xf numFmtId="167" fontId="30" fillId="0" borderId="2" xfId="2175" applyNumberFormat="1" applyFont="1" applyFill="1" applyBorder="1" applyAlignment="1">
      <alignment horizontal="right" wrapText="1"/>
    </xf>
    <xf numFmtId="0" fontId="17" fillId="11" borderId="0" xfId="0" applyFont="1" applyFill="1" applyBorder="1"/>
    <xf numFmtId="0" fontId="17" fillId="0" borderId="0" xfId="0" applyFont="1" applyFill="1" applyBorder="1"/>
    <xf numFmtId="41" fontId="62" fillId="0" borderId="1" xfId="0" applyNumberFormat="1" applyFont="1" applyFill="1" applyBorder="1"/>
    <xf numFmtId="41" fontId="0" fillId="0" borderId="0" xfId="0" applyNumberFormat="1" applyFill="1"/>
    <xf numFmtId="41" fontId="62" fillId="0" borderId="1" xfId="0" applyNumberFormat="1" applyFont="1" applyBorder="1"/>
    <xf numFmtId="0" fontId="17" fillId="0" borderId="0" xfId="0" applyFont="1" applyAlignment="1">
      <alignment horizontal="center" wrapText="1"/>
    </xf>
    <xf numFmtId="0" fontId="75" fillId="0" borderId="0" xfId="0" applyFont="1" applyAlignment="1">
      <alignment horizontal="center" wrapText="1"/>
    </xf>
    <xf numFmtId="164" fontId="0" fillId="0" borderId="0" xfId="2" applyNumberFormat="1" applyFont="1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18" borderId="0" xfId="0" applyFill="1" applyAlignment="1">
      <alignment horizontal="left"/>
    </xf>
    <xf numFmtId="164" fontId="0" fillId="18" borderId="0" xfId="0" applyNumberFormat="1" applyFill="1"/>
    <xf numFmtId="0" fontId="28" fillId="6" borderId="0" xfId="2173" quotePrefix="1" applyFont="1" applyFill="1" applyBorder="1" applyAlignment="1">
      <alignment horizontal="right" wrapText="1"/>
    </xf>
    <xf numFmtId="0" fontId="28" fillId="6" borderId="0" xfId="2173" quotePrefix="1" applyFont="1" applyFill="1" applyBorder="1" applyAlignment="1">
      <alignment wrapText="1"/>
    </xf>
    <xf numFmtId="0" fontId="26" fillId="6" borderId="0" xfId="0" applyFont="1" applyFill="1" applyBorder="1" applyAlignment="1">
      <alignment horizontal="center"/>
    </xf>
    <xf numFmtId="4" fontId="0" fillId="0" borderId="0" xfId="0" applyNumberFormat="1"/>
    <xf numFmtId="0" fontId="26" fillId="21" borderId="0" xfId="0" applyFont="1" applyFill="1" applyBorder="1"/>
    <xf numFmtId="4" fontId="26" fillId="21" borderId="0" xfId="0" applyNumberFormat="1" applyFont="1" applyFill="1" applyBorder="1"/>
    <xf numFmtId="43" fontId="26" fillId="0" borderId="0" xfId="2" applyFont="1" applyFill="1" applyBorder="1"/>
    <xf numFmtId="178" fontId="26" fillId="0" borderId="0" xfId="2" applyNumberFormat="1" applyFont="1" applyFill="1" applyBorder="1" applyAlignment="1">
      <alignment horizontal="center"/>
    </xf>
    <xf numFmtId="178" fontId="26" fillId="0" borderId="0" xfId="2" applyNumberFormat="1" applyFont="1" applyFill="1" applyBorder="1"/>
    <xf numFmtId="178" fontId="26" fillId="0" borderId="0" xfId="2173" applyNumberFormat="1" applyFont="1" applyFill="1" applyBorder="1" applyAlignment="1">
      <alignment horizontal="right" wrapText="1"/>
    </xf>
    <xf numFmtId="178" fontId="26" fillId="0" borderId="0" xfId="0" applyNumberFormat="1" applyFont="1" applyFill="1" applyBorder="1"/>
    <xf numFmtId="178" fontId="26" fillId="6" borderId="0" xfId="2" applyNumberFormat="1" applyFont="1" applyFill="1" applyBorder="1"/>
    <xf numFmtId="178" fontId="27" fillId="0" borderId="0" xfId="2" applyNumberFormat="1" applyFont="1" applyFill="1" applyBorder="1"/>
    <xf numFmtId="178" fontId="27" fillId="0" borderId="0" xfId="0" applyNumberFormat="1" applyFont="1" applyFill="1" applyBorder="1"/>
    <xf numFmtId="178" fontId="26" fillId="6" borderId="0" xfId="2173" applyNumberFormat="1" applyFont="1" applyFill="1" applyBorder="1" applyAlignment="1">
      <alignment horizontal="right" wrapText="1"/>
    </xf>
    <xf numFmtId="178" fontId="26" fillId="6" borderId="0" xfId="0" applyNumberFormat="1" applyFont="1" applyFill="1" applyBorder="1"/>
    <xf numFmtId="0" fontId="130" fillId="0" borderId="40" xfId="0" pivotButton="1" applyFont="1" applyBorder="1"/>
    <xf numFmtId="0" fontId="130" fillId="0" borderId="40" xfId="0" applyFont="1" applyBorder="1"/>
    <xf numFmtId="0" fontId="130" fillId="0" borderId="31" xfId="0" pivotButton="1" applyFont="1" applyBorder="1"/>
    <xf numFmtId="41" fontId="130" fillId="0" borderId="31" xfId="0" pivotButton="1" applyNumberFormat="1" applyFont="1" applyBorder="1"/>
    <xf numFmtId="0" fontId="130" fillId="0" borderId="31" xfId="0" applyFont="1" applyBorder="1"/>
    <xf numFmtId="41" fontId="130" fillId="0" borderId="58" xfId="0" applyNumberFormat="1" applyFont="1" applyBorder="1"/>
    <xf numFmtId="0" fontId="130" fillId="0" borderId="27" xfId="0" applyFont="1" applyBorder="1"/>
    <xf numFmtId="41" fontId="130" fillId="0" borderId="56" xfId="0" applyNumberFormat="1" applyFont="1" applyBorder="1"/>
    <xf numFmtId="0" fontId="130" fillId="0" borderId="35" xfId="0" applyFont="1" applyBorder="1"/>
    <xf numFmtId="41" fontId="130" fillId="0" borderId="40" xfId="0" applyNumberFormat="1" applyFont="1" applyBorder="1"/>
    <xf numFmtId="0" fontId="130" fillId="0" borderId="57" xfId="0" applyFont="1" applyBorder="1"/>
    <xf numFmtId="41" fontId="130" fillId="0" borderId="31" xfId="0" applyNumberFormat="1" applyFont="1" applyBorder="1"/>
    <xf numFmtId="41" fontId="130" fillId="0" borderId="27" xfId="0" applyNumberFormat="1" applyFont="1" applyBorder="1"/>
    <xf numFmtId="41" fontId="130" fillId="0" borderId="35" xfId="0" applyNumberFormat="1" applyFont="1" applyBorder="1"/>
    <xf numFmtId="41" fontId="130" fillId="0" borderId="59" xfId="0" applyNumberFormat="1" applyFont="1" applyBorder="1"/>
    <xf numFmtId="41" fontId="130" fillId="0" borderId="32" xfId="0" applyNumberFormat="1" applyFont="1" applyBorder="1"/>
    <xf numFmtId="41" fontId="130" fillId="0" borderId="33" xfId="0" applyNumberFormat="1" applyFont="1" applyBorder="1"/>
    <xf numFmtId="41" fontId="130" fillId="18" borderId="59" xfId="0" applyNumberFormat="1" applyFont="1" applyFill="1" applyBorder="1"/>
    <xf numFmtId="0" fontId="130" fillId="18" borderId="57" xfId="0" applyFont="1" applyFill="1" applyBorder="1"/>
    <xf numFmtId="0" fontId="130" fillId="19" borderId="57" xfId="0" applyFont="1" applyFill="1" applyBorder="1"/>
    <xf numFmtId="41" fontId="130" fillId="19" borderId="59" xfId="0" applyNumberFormat="1" applyFont="1" applyFill="1" applyBorder="1"/>
    <xf numFmtId="0" fontId="130" fillId="17" borderId="27" xfId="0" applyFont="1" applyFill="1" applyBorder="1"/>
    <xf numFmtId="41" fontId="130" fillId="17" borderId="27" xfId="0" applyNumberFormat="1" applyFont="1" applyFill="1" applyBorder="1"/>
    <xf numFmtId="41" fontId="130" fillId="17" borderId="56" xfId="0" applyNumberFormat="1" applyFont="1" applyFill="1" applyBorder="1"/>
    <xf numFmtId="41" fontId="130" fillId="20" borderId="57" xfId="0" applyNumberFormat="1" applyFont="1" applyFill="1" applyBorder="1"/>
    <xf numFmtId="41" fontId="130" fillId="20" borderId="0" xfId="0" applyNumberFormat="1" applyFont="1" applyFill="1"/>
    <xf numFmtId="41" fontId="130" fillId="19" borderId="57" xfId="0" applyNumberFormat="1" applyFont="1" applyFill="1" applyBorder="1"/>
    <xf numFmtId="41" fontId="130" fillId="19" borderId="0" xfId="0" applyNumberFormat="1" applyFont="1" applyFill="1"/>
    <xf numFmtId="41" fontId="130" fillId="0" borderId="58" xfId="0" applyNumberFormat="1" applyFont="1" applyBorder="1" applyAlignment="1">
      <alignment horizontal="center"/>
    </xf>
    <xf numFmtId="41" fontId="131" fillId="0" borderId="56" xfId="0" applyNumberFormat="1" applyFont="1" applyBorder="1"/>
    <xf numFmtId="164" fontId="17" fillId="0" borderId="8" xfId="7355" applyNumberFormat="1" applyFont="1" applyBorder="1"/>
    <xf numFmtId="164" fontId="0" fillId="0" borderId="5" xfId="2" applyNumberFormat="1" applyFont="1" applyBorder="1"/>
    <xf numFmtId="164" fontId="0" fillId="0" borderId="5" xfId="2" applyNumberFormat="1" applyFont="1" applyBorder="1" applyAlignment="1"/>
    <xf numFmtId="164" fontId="17" fillId="17" borderId="8" xfId="7355" applyNumberFormat="1" applyFont="1" applyFill="1" applyBorder="1"/>
    <xf numFmtId="164" fontId="0" fillId="17" borderId="5" xfId="2" applyNumberFormat="1" applyFont="1" applyFill="1" applyBorder="1"/>
    <xf numFmtId="164" fontId="0" fillId="17" borderId="5" xfId="2" applyNumberFormat="1" applyFont="1" applyFill="1" applyBorder="1" applyAlignment="1"/>
    <xf numFmtId="41" fontId="17" fillId="0" borderId="5" xfId="2" applyNumberFormat="1" applyFont="1" applyBorder="1" applyAlignment="1">
      <alignment wrapText="1"/>
    </xf>
    <xf numFmtId="41" fontId="62" fillId="0" borderId="8" xfId="2" applyNumberFormat="1" applyFont="1" applyBorder="1" applyAlignment="1">
      <alignment wrapText="1"/>
    </xf>
    <xf numFmtId="41" fontId="62" fillId="0" borderId="24" xfId="2" applyNumberFormat="1" applyFont="1" applyBorder="1" applyAlignment="1">
      <alignment wrapText="1"/>
    </xf>
    <xf numFmtId="41" fontId="17" fillId="0" borderId="10" xfId="2" applyNumberFormat="1" applyFont="1" applyBorder="1" applyAlignment="1">
      <alignment wrapText="1"/>
    </xf>
    <xf numFmtId="41" fontId="17" fillId="0" borderId="3" xfId="2" applyNumberFormat="1" applyFont="1" applyBorder="1" applyAlignment="1">
      <alignment wrapText="1"/>
    </xf>
    <xf numFmtId="41" fontId="17" fillId="0" borderId="4" xfId="2" applyNumberFormat="1" applyFont="1" applyBorder="1" applyAlignment="1">
      <alignment wrapText="1"/>
    </xf>
    <xf numFmtId="41" fontId="17" fillId="0" borderId="8" xfId="2" applyNumberFormat="1" applyFont="1" applyBorder="1" applyAlignment="1">
      <alignment wrapText="1"/>
    </xf>
    <xf numFmtId="41" fontId="17" fillId="0" borderId="23" xfId="2" applyNumberFormat="1" applyFont="1" applyBorder="1" applyAlignment="1">
      <alignment wrapText="1"/>
    </xf>
    <xf numFmtId="164" fontId="17" fillId="0" borderId="5" xfId="2" applyNumberFormat="1" applyFont="1" applyBorder="1"/>
    <xf numFmtId="164" fontId="17" fillId="0" borderId="9" xfId="4216" applyNumberFormat="1" applyFont="1" applyBorder="1"/>
    <xf numFmtId="41" fontId="17" fillId="17" borderId="5" xfId="2" applyNumberFormat="1" applyFont="1" applyFill="1" applyBorder="1" applyAlignment="1">
      <alignment wrapText="1"/>
    </xf>
    <xf numFmtId="164" fontId="17" fillId="17" borderId="5" xfId="2" applyNumberFormat="1" applyFont="1" applyFill="1" applyBorder="1"/>
    <xf numFmtId="164" fontId="17" fillId="17" borderId="9" xfId="4216" applyNumberFormat="1" applyFont="1" applyFill="1" applyBorder="1"/>
    <xf numFmtId="41" fontId="17" fillId="0" borderId="24" xfId="2" applyNumberFormat="1" applyFont="1" applyBorder="1" applyAlignment="1">
      <alignment wrapText="1"/>
    </xf>
    <xf numFmtId="41" fontId="17" fillId="0" borderId="9" xfId="2" applyNumberFormat="1" applyFont="1" applyBorder="1" applyAlignment="1">
      <alignment wrapText="1"/>
    </xf>
    <xf numFmtId="164" fontId="17" fillId="17" borderId="5" xfId="2" applyNumberFormat="1" applyFont="1" applyFill="1" applyBorder="1" applyAlignment="1"/>
    <xf numFmtId="0" fontId="0" fillId="0" borderId="27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61" fillId="2" borderId="10" xfId="2174" applyFont="1" applyFill="1" applyBorder="1" applyAlignment="1">
      <alignment horizontal="center"/>
    </xf>
    <xf numFmtId="0" fontId="61" fillId="2" borderId="21" xfId="2174" applyFont="1" applyFill="1" applyBorder="1" applyAlignment="1">
      <alignment horizontal="center"/>
    </xf>
    <xf numFmtId="0" fontId="61" fillId="2" borderId="4" xfId="2174" applyFont="1" applyFill="1" applyBorder="1" applyAlignment="1">
      <alignment horizontal="center"/>
    </xf>
    <xf numFmtId="0" fontId="61" fillId="2" borderId="60" xfId="0" applyFont="1" applyFill="1" applyBorder="1" applyAlignment="1">
      <alignment horizontal="center" vertical="center" wrapText="1"/>
    </xf>
    <xf numFmtId="0" fontId="61" fillId="2" borderId="61" xfId="0" applyFont="1" applyFill="1" applyBorder="1" applyAlignment="1">
      <alignment horizontal="center" vertical="center" wrapText="1"/>
    </xf>
    <xf numFmtId="0" fontId="61" fillId="2" borderId="43" xfId="0" applyFont="1" applyFill="1" applyBorder="1" applyAlignment="1">
      <alignment horizontal="center" vertical="center" wrapText="1"/>
    </xf>
    <xf numFmtId="0" fontId="61" fillId="2" borderId="62" xfId="0" applyFont="1" applyFill="1" applyBorder="1" applyAlignment="1">
      <alignment horizontal="center" vertical="center" wrapText="1"/>
    </xf>
    <xf numFmtId="0" fontId="61" fillId="0" borderId="60" xfId="0" applyFont="1" applyBorder="1" applyAlignment="1">
      <alignment horizontal="center" vertical="center" wrapText="1"/>
    </xf>
    <xf numFmtId="0" fontId="61" fillId="0" borderId="61" xfId="0" applyFont="1" applyBorder="1" applyAlignment="1">
      <alignment horizontal="center" vertical="center" wrapText="1"/>
    </xf>
    <xf numFmtId="0" fontId="61" fillId="0" borderId="43" xfId="0" applyFont="1" applyBorder="1" applyAlignment="1">
      <alignment horizontal="center" vertical="center" wrapText="1"/>
    </xf>
    <xf numFmtId="0" fontId="61" fillId="0" borderId="62" xfId="0" applyFont="1" applyBorder="1" applyAlignment="1">
      <alignment horizontal="center" vertical="center" wrapText="1"/>
    </xf>
    <xf numFmtId="0" fontId="61" fillId="2" borderId="63" xfId="0" applyFont="1" applyFill="1" applyBorder="1" applyAlignment="1">
      <alignment horizontal="center" vertical="center" wrapText="1"/>
    </xf>
    <xf numFmtId="0" fontId="61" fillId="2" borderId="22" xfId="0" applyFont="1" applyFill="1" applyBorder="1" applyAlignment="1">
      <alignment horizontal="center" vertical="center" wrapText="1"/>
    </xf>
    <xf numFmtId="41" fontId="61" fillId="13" borderId="14" xfId="2" applyNumberFormat="1" applyFont="1" applyFill="1" applyBorder="1" applyAlignment="1">
      <alignment horizontal="center"/>
    </xf>
    <xf numFmtId="41" fontId="61" fillId="13" borderId="1" xfId="2" applyNumberFormat="1" applyFont="1" applyFill="1" applyBorder="1" applyAlignment="1">
      <alignment horizontal="center"/>
    </xf>
    <xf numFmtId="41" fontId="61" fillId="14" borderId="10" xfId="2" applyNumberFormat="1" applyFont="1" applyFill="1" applyBorder="1" applyAlignment="1">
      <alignment horizontal="center"/>
    </xf>
    <xf numFmtId="41" fontId="61" fillId="14" borderId="21" xfId="2" applyNumberFormat="1" applyFont="1" applyFill="1" applyBorder="1" applyAlignment="1">
      <alignment horizontal="center"/>
    </xf>
    <xf numFmtId="41" fontId="61" fillId="14" borderId="4" xfId="2" applyNumberFormat="1" applyFont="1" applyFill="1" applyBorder="1" applyAlignment="1">
      <alignment horizontal="center"/>
    </xf>
    <xf numFmtId="41" fontId="61" fillId="2" borderId="10" xfId="2" applyNumberFormat="1" applyFont="1" applyFill="1" applyBorder="1" applyAlignment="1">
      <alignment horizontal="center"/>
    </xf>
    <xf numFmtId="41" fontId="61" fillId="2" borderId="21" xfId="2" applyNumberFormat="1" applyFont="1" applyFill="1" applyBorder="1" applyAlignment="1">
      <alignment horizontal="center"/>
    </xf>
    <xf numFmtId="41" fontId="61" fillId="2" borderId="4" xfId="2" applyNumberFormat="1" applyFont="1" applyFill="1" applyBorder="1" applyAlignment="1">
      <alignment horizontal="center"/>
    </xf>
    <xf numFmtId="41" fontId="60" fillId="0" borderId="0" xfId="2" applyNumberFormat="1" applyFont="1" applyBorder="1" applyAlignment="1">
      <alignment horizontal="center"/>
    </xf>
    <xf numFmtId="0" fontId="68" fillId="0" borderId="17" xfId="0" applyFont="1" applyBorder="1" applyAlignment="1">
      <alignment horizontal="center"/>
    </xf>
    <xf numFmtId="0" fontId="68" fillId="0" borderId="0" xfId="0" applyFont="1" applyBorder="1" applyAlignment="1">
      <alignment horizontal="center"/>
    </xf>
    <xf numFmtId="0" fontId="68" fillId="0" borderId="11" xfId="0" applyFont="1" applyBorder="1" applyAlignment="1">
      <alignment horizontal="center"/>
    </xf>
    <xf numFmtId="164" fontId="73" fillId="0" borderId="0" xfId="2" applyNumberFormat="1" applyFont="1" applyAlignment="1">
      <alignment horizontal="right"/>
    </xf>
    <xf numFmtId="164" fontId="73" fillId="0" borderId="0" xfId="2" applyNumberFormat="1" applyFont="1" applyAlignment="1">
      <alignment horizontal="center"/>
    </xf>
    <xf numFmtId="41" fontId="61" fillId="6" borderId="12" xfId="2" applyNumberFormat="1" applyFont="1" applyFill="1" applyBorder="1"/>
  </cellXfs>
  <cellStyles count="38788">
    <cellStyle name="Accent1 2" xfId="6654"/>
    <cellStyle name="Accent2 2" xfId="6655"/>
    <cellStyle name="Accent3 2" xfId="6656"/>
    <cellStyle name="Accent4 2" xfId="6657"/>
    <cellStyle name="Attachment" xfId="1"/>
    <cellStyle name="Comma" xfId="2" builtinId="3"/>
    <cellStyle name="Comma 10" xfId="3"/>
    <cellStyle name="Comma 10 2" xfId="4"/>
    <cellStyle name="Comma 10 2 2" xfId="4106"/>
    <cellStyle name="Comma 10 2 3" xfId="7250"/>
    <cellStyle name="Comma 10 3" xfId="5"/>
    <cellStyle name="Comma 10 3 2" xfId="4107"/>
    <cellStyle name="Comma 10 3 3" xfId="7251"/>
    <cellStyle name="Comma 10 4" xfId="6"/>
    <cellStyle name="Comma 10 4 2" xfId="7"/>
    <cellStyle name="Comma 10 4 2 2" xfId="4109"/>
    <cellStyle name="Comma 10 4 2 3" xfId="7253"/>
    <cellStyle name="Comma 10 4 3" xfId="4108"/>
    <cellStyle name="Comma 10 4 4" xfId="7252"/>
    <cellStyle name="Comma 10 5" xfId="8"/>
    <cellStyle name="Comma 10 5 2" xfId="9"/>
    <cellStyle name="Comma 10 5 2 2" xfId="4111"/>
    <cellStyle name="Comma 10 5 2 3" xfId="7255"/>
    <cellStyle name="Comma 10 5 3" xfId="10"/>
    <cellStyle name="Comma 10 5 3 2" xfId="4112"/>
    <cellStyle name="Comma 10 5 3 3" xfId="7256"/>
    <cellStyle name="Comma 10 5 4" xfId="11"/>
    <cellStyle name="Comma 10 5 4 2" xfId="12"/>
    <cellStyle name="Comma 10 5 4 2 2" xfId="13"/>
    <cellStyle name="Comma 10 5 4 2 2 2" xfId="4115"/>
    <cellStyle name="Comma 10 5 4 2 2 3" xfId="7259"/>
    <cellStyle name="Comma 10 5 4 2 3" xfId="14"/>
    <cellStyle name="Comma 10 5 4 2 3 2" xfId="15"/>
    <cellStyle name="Comma 10 5 4 2 3 2 2" xfId="4117"/>
    <cellStyle name="Comma 10 5 4 2 3 2 3" xfId="7261"/>
    <cellStyle name="Comma 10 5 4 2 3 3" xfId="16"/>
    <cellStyle name="Comma 10 5 4 2 3 3 2" xfId="17"/>
    <cellStyle name="Comma 10 5 4 2 3 3 2 2" xfId="4119"/>
    <cellStyle name="Comma 10 5 4 2 3 3 2 3" xfId="7263"/>
    <cellStyle name="Comma 10 5 4 2 3 3 3" xfId="18"/>
    <cellStyle name="Comma 10 5 4 2 3 3 3 2" xfId="4120"/>
    <cellStyle name="Comma 10 5 4 2 3 3 3 3" xfId="7264"/>
    <cellStyle name="Comma 10 5 4 2 3 3 4" xfId="19"/>
    <cellStyle name="Comma 10 5 4 2 3 3 4 2" xfId="20"/>
    <cellStyle name="Comma 10 5 4 2 3 3 4 2 2" xfId="4122"/>
    <cellStyle name="Comma 10 5 4 2 3 3 4 2 3" xfId="7266"/>
    <cellStyle name="Comma 10 5 4 2 3 3 4 3" xfId="21"/>
    <cellStyle name="Comma 10 5 4 2 3 3 4 3 2" xfId="4123"/>
    <cellStyle name="Comma 10 5 4 2 3 3 4 3 3" xfId="7267"/>
    <cellStyle name="Comma 10 5 4 2 3 3 4 4" xfId="4121"/>
    <cellStyle name="Comma 10 5 4 2 3 3 4 5" xfId="7265"/>
    <cellStyle name="Comma 10 5 4 2 3 3 5" xfId="4118"/>
    <cellStyle name="Comma 10 5 4 2 3 3 6" xfId="7262"/>
    <cellStyle name="Comma 10 5 4 2 3 4" xfId="4116"/>
    <cellStyle name="Comma 10 5 4 2 3 5" xfId="7260"/>
    <cellStyle name="Comma 10 5 4 2 4" xfId="4114"/>
    <cellStyle name="Comma 10 5 4 2 5" xfId="7258"/>
    <cellStyle name="Comma 10 5 4 3" xfId="22"/>
    <cellStyle name="Comma 10 5 4 3 2" xfId="4124"/>
    <cellStyle name="Comma 10 5 4 3 3" xfId="7268"/>
    <cellStyle name="Comma 10 5 4 4" xfId="23"/>
    <cellStyle name="Comma 10 5 4 4 2" xfId="24"/>
    <cellStyle name="Comma 10 5 4 4 2 2" xfId="4126"/>
    <cellStyle name="Comma 10 5 4 4 2 3" xfId="7270"/>
    <cellStyle name="Comma 10 5 4 4 3" xfId="25"/>
    <cellStyle name="Comma 10 5 4 4 3 2" xfId="26"/>
    <cellStyle name="Comma 10 5 4 4 3 2 2" xfId="4128"/>
    <cellStyle name="Comma 10 5 4 4 3 2 3" xfId="7272"/>
    <cellStyle name="Comma 10 5 4 4 3 3" xfId="27"/>
    <cellStyle name="Comma 10 5 4 4 3 3 2" xfId="4129"/>
    <cellStyle name="Comma 10 5 4 4 3 3 3" xfId="7273"/>
    <cellStyle name="Comma 10 5 4 4 3 4" xfId="28"/>
    <cellStyle name="Comma 10 5 4 4 3 4 2" xfId="29"/>
    <cellStyle name="Comma 10 5 4 4 3 4 2 2" xfId="4131"/>
    <cellStyle name="Comma 10 5 4 4 3 4 2 3" xfId="7275"/>
    <cellStyle name="Comma 10 5 4 4 3 4 3" xfId="30"/>
    <cellStyle name="Comma 10 5 4 4 3 4 3 2" xfId="4132"/>
    <cellStyle name="Comma 10 5 4 4 3 4 3 3" xfId="7276"/>
    <cellStyle name="Comma 10 5 4 4 3 4 4" xfId="4130"/>
    <cellStyle name="Comma 10 5 4 4 3 4 5" xfId="7274"/>
    <cellStyle name="Comma 10 5 4 4 3 5" xfId="4127"/>
    <cellStyle name="Comma 10 5 4 4 3 6" xfId="7271"/>
    <cellStyle name="Comma 10 5 4 4 4" xfId="4125"/>
    <cellStyle name="Comma 10 5 4 4 5" xfId="7269"/>
    <cellStyle name="Comma 10 5 4 5" xfId="4113"/>
    <cellStyle name="Comma 10 5 4 6" xfId="7257"/>
    <cellStyle name="Comma 10 5 5" xfId="4110"/>
    <cellStyle name="Comma 10 5 6" xfId="7254"/>
    <cellStyle name="Comma 10 6" xfId="4105"/>
    <cellStyle name="Comma 10 7" xfId="7249"/>
    <cellStyle name="Comma 11" xfId="31"/>
    <cellStyle name="Comma 11 2" xfId="32"/>
    <cellStyle name="Comma 11 2 2" xfId="4134"/>
    <cellStyle name="Comma 11 2 3" xfId="7278"/>
    <cellStyle name="Comma 11 3" xfId="4133"/>
    <cellStyle name="Comma 11 4" xfId="7277"/>
    <cellStyle name="Comma 12" xfId="33"/>
    <cellStyle name="Comma 12 2" xfId="34"/>
    <cellStyle name="Comma 12 2 2" xfId="4136"/>
    <cellStyle name="Comma 12 2 3" xfId="7280"/>
    <cellStyle name="Comma 12 3" xfId="35"/>
    <cellStyle name="Comma 12 3 2" xfId="4137"/>
    <cellStyle name="Comma 12 3 3" xfId="7281"/>
    <cellStyle name="Comma 12 4" xfId="36"/>
    <cellStyle name="Comma 12 4 2" xfId="37"/>
    <cellStyle name="Comma 12 4 2 2" xfId="38"/>
    <cellStyle name="Comma 12 4 2 2 2" xfId="4140"/>
    <cellStyle name="Comma 12 4 2 2 3" xfId="7284"/>
    <cellStyle name="Comma 12 4 2 3" xfId="39"/>
    <cellStyle name="Comma 12 4 2 3 2" xfId="40"/>
    <cellStyle name="Comma 12 4 2 3 2 2" xfId="4142"/>
    <cellStyle name="Comma 12 4 2 3 2 3" xfId="7286"/>
    <cellStyle name="Comma 12 4 2 3 3" xfId="41"/>
    <cellStyle name="Comma 12 4 2 3 3 2" xfId="42"/>
    <cellStyle name="Comma 12 4 2 3 3 2 2" xfId="4144"/>
    <cellStyle name="Comma 12 4 2 3 3 2 3" xfId="7288"/>
    <cellStyle name="Comma 12 4 2 3 3 3" xfId="43"/>
    <cellStyle name="Comma 12 4 2 3 3 3 2" xfId="4145"/>
    <cellStyle name="Comma 12 4 2 3 3 3 3" xfId="7289"/>
    <cellStyle name="Comma 12 4 2 3 3 4" xfId="44"/>
    <cellStyle name="Comma 12 4 2 3 3 4 2" xfId="45"/>
    <cellStyle name="Comma 12 4 2 3 3 4 2 2" xfId="4147"/>
    <cellStyle name="Comma 12 4 2 3 3 4 2 3" xfId="7291"/>
    <cellStyle name="Comma 12 4 2 3 3 4 3" xfId="46"/>
    <cellStyle name="Comma 12 4 2 3 3 4 3 2" xfId="4148"/>
    <cellStyle name="Comma 12 4 2 3 3 4 3 3" xfId="7292"/>
    <cellStyle name="Comma 12 4 2 3 3 4 4" xfId="4146"/>
    <cellStyle name="Comma 12 4 2 3 3 4 5" xfId="7290"/>
    <cellStyle name="Comma 12 4 2 3 3 5" xfId="4143"/>
    <cellStyle name="Comma 12 4 2 3 3 6" xfId="7287"/>
    <cellStyle name="Comma 12 4 2 3 4" xfId="4141"/>
    <cellStyle name="Comma 12 4 2 3 5" xfId="7285"/>
    <cellStyle name="Comma 12 4 2 4" xfId="4139"/>
    <cellStyle name="Comma 12 4 2 5" xfId="7283"/>
    <cellStyle name="Comma 12 4 3" xfId="47"/>
    <cellStyle name="Comma 12 4 3 2" xfId="4149"/>
    <cellStyle name="Comma 12 4 3 3" xfId="7293"/>
    <cellStyle name="Comma 12 4 4" xfId="48"/>
    <cellStyle name="Comma 12 4 4 2" xfId="49"/>
    <cellStyle name="Comma 12 4 4 2 2" xfId="4151"/>
    <cellStyle name="Comma 12 4 4 2 3" xfId="7295"/>
    <cellStyle name="Comma 12 4 4 3" xfId="50"/>
    <cellStyle name="Comma 12 4 4 3 2" xfId="51"/>
    <cellStyle name="Comma 12 4 4 3 2 2" xfId="4153"/>
    <cellStyle name="Comma 12 4 4 3 2 3" xfId="7297"/>
    <cellStyle name="Comma 12 4 4 3 3" xfId="52"/>
    <cellStyle name="Comma 12 4 4 3 3 2" xfId="4154"/>
    <cellStyle name="Comma 12 4 4 3 3 3" xfId="7298"/>
    <cellStyle name="Comma 12 4 4 3 4" xfId="53"/>
    <cellStyle name="Comma 12 4 4 3 4 2" xfId="54"/>
    <cellStyle name="Comma 12 4 4 3 4 2 2" xfId="4156"/>
    <cellStyle name="Comma 12 4 4 3 4 2 3" xfId="7300"/>
    <cellStyle name="Comma 12 4 4 3 4 3" xfId="55"/>
    <cellStyle name="Comma 12 4 4 3 4 3 2" xfId="4157"/>
    <cellStyle name="Comma 12 4 4 3 4 3 3" xfId="7301"/>
    <cellStyle name="Comma 12 4 4 3 4 4" xfId="4155"/>
    <cellStyle name="Comma 12 4 4 3 4 5" xfId="7299"/>
    <cellStyle name="Comma 12 4 4 3 5" xfId="4152"/>
    <cellStyle name="Comma 12 4 4 3 6" xfId="7296"/>
    <cellStyle name="Comma 12 4 4 4" xfId="4150"/>
    <cellStyle name="Comma 12 4 4 5" xfId="7294"/>
    <cellStyle name="Comma 12 4 5" xfId="4138"/>
    <cellStyle name="Comma 12 4 6" xfId="7282"/>
    <cellStyle name="Comma 12 5" xfId="4135"/>
    <cellStyle name="Comma 12 6" xfId="7279"/>
    <cellStyle name="Comma 13" xfId="56"/>
    <cellStyle name="Comma 13 10" xfId="4067"/>
    <cellStyle name="Comma 13 10 2" xfId="6659"/>
    <cellStyle name="Comma 13 10 3" xfId="6658"/>
    <cellStyle name="Comma 13 10 4" xfId="9673"/>
    <cellStyle name="Comma 13 11" xfId="4158"/>
    <cellStyle name="Comma 13 11 2" xfId="6660"/>
    <cellStyle name="Comma 13 11 3" xfId="9697"/>
    <cellStyle name="Comma 13 2" xfId="57"/>
    <cellStyle name="Comma 13 2 2" xfId="4159"/>
    <cellStyle name="Comma 13 2 3" xfId="7302"/>
    <cellStyle name="Comma 13 3" xfId="58"/>
    <cellStyle name="Comma 13 3 2" xfId="4160"/>
    <cellStyle name="Comma 13 3 3" xfId="7303"/>
    <cellStyle name="Comma 13 4" xfId="59"/>
    <cellStyle name="Comma 13 5" xfId="60"/>
    <cellStyle name="Comma 13 5 2" xfId="61"/>
    <cellStyle name="Comma 13 5 2 2" xfId="62"/>
    <cellStyle name="Comma 13 5 2 3" xfId="63"/>
    <cellStyle name="Comma 13 5 2 3 2" xfId="64"/>
    <cellStyle name="Comma 13 5 2 4" xfId="65"/>
    <cellStyle name="Comma 13 5 2 4 2" xfId="66"/>
    <cellStyle name="Comma 13 5 2 5" xfId="67"/>
    <cellStyle name="Comma 13 5 2 5 2" xfId="68"/>
    <cellStyle name="Comma 13 5 3" xfId="69"/>
    <cellStyle name="Comma 13 5 4" xfId="70"/>
    <cellStyle name="Comma 13 5 5" xfId="3150"/>
    <cellStyle name="Comma 13 6" xfId="71"/>
    <cellStyle name="Comma 13 7" xfId="72"/>
    <cellStyle name="Comma 13 7 2" xfId="73"/>
    <cellStyle name="Comma 13 8" xfId="74"/>
    <cellStyle name="Comma 13 8 2" xfId="4161"/>
    <cellStyle name="Comma 13 9" xfId="75"/>
    <cellStyle name="Comma 13 9 2" xfId="4162"/>
    <cellStyle name="Comma 14" xfId="76"/>
    <cellStyle name="Comma 14 2" xfId="77"/>
    <cellStyle name="Comma 14 2 2" xfId="78"/>
    <cellStyle name="Comma 14 2 2 2" xfId="4165"/>
    <cellStyle name="Comma 14 2 2 3" xfId="7306"/>
    <cellStyle name="Comma 14 2 3" xfId="79"/>
    <cellStyle name="Comma 14 2 3 2" xfId="80"/>
    <cellStyle name="Comma 14 2 3 2 2" xfId="4167"/>
    <cellStyle name="Comma 14 2 3 2 3" xfId="7308"/>
    <cellStyle name="Comma 14 2 3 3" xfId="81"/>
    <cellStyle name="Comma 14 2 3 3 2" xfId="82"/>
    <cellStyle name="Comma 14 2 3 3 2 2" xfId="4169"/>
    <cellStyle name="Comma 14 2 3 3 2 3" xfId="7310"/>
    <cellStyle name="Comma 14 2 3 3 3" xfId="83"/>
    <cellStyle name="Comma 14 2 3 3 3 2" xfId="4170"/>
    <cellStyle name="Comma 14 2 3 3 3 3" xfId="7311"/>
    <cellStyle name="Comma 14 2 3 3 4" xfId="84"/>
    <cellStyle name="Comma 14 2 3 3 4 2" xfId="85"/>
    <cellStyle name="Comma 14 2 3 3 4 2 2" xfId="4172"/>
    <cellStyle name="Comma 14 2 3 3 4 2 3" xfId="7313"/>
    <cellStyle name="Comma 14 2 3 3 4 3" xfId="86"/>
    <cellStyle name="Comma 14 2 3 3 4 3 2" xfId="4173"/>
    <cellStyle name="Comma 14 2 3 3 4 3 3" xfId="7314"/>
    <cellStyle name="Comma 14 2 3 3 4 4" xfId="4171"/>
    <cellStyle name="Comma 14 2 3 3 4 5" xfId="7312"/>
    <cellStyle name="Comma 14 2 3 3 5" xfId="4168"/>
    <cellStyle name="Comma 14 2 3 3 6" xfId="7309"/>
    <cellStyle name="Comma 14 2 3 4" xfId="4166"/>
    <cellStyle name="Comma 14 2 3 5" xfId="7307"/>
    <cellStyle name="Comma 14 2 4" xfId="4164"/>
    <cellStyle name="Comma 14 2 5" xfId="7305"/>
    <cellStyle name="Comma 14 3" xfId="87"/>
    <cellStyle name="Comma 14 3 2" xfId="4174"/>
    <cellStyle name="Comma 14 3 3" xfId="7315"/>
    <cellStyle name="Comma 14 4" xfId="88"/>
    <cellStyle name="Comma 14 4 2" xfId="89"/>
    <cellStyle name="Comma 14 4 2 2" xfId="4176"/>
    <cellStyle name="Comma 14 4 2 3" xfId="7317"/>
    <cellStyle name="Comma 14 4 3" xfId="90"/>
    <cellStyle name="Comma 14 4 3 2" xfId="91"/>
    <cellStyle name="Comma 14 4 3 2 2" xfId="4178"/>
    <cellStyle name="Comma 14 4 3 2 3" xfId="7319"/>
    <cellStyle name="Comma 14 4 3 3" xfId="92"/>
    <cellStyle name="Comma 14 4 3 3 2" xfId="4179"/>
    <cellStyle name="Comma 14 4 3 3 3" xfId="7320"/>
    <cellStyle name="Comma 14 4 3 4" xfId="93"/>
    <cellStyle name="Comma 14 4 3 4 2" xfId="94"/>
    <cellStyle name="Comma 14 4 3 4 2 2" xfId="4181"/>
    <cellStyle name="Comma 14 4 3 4 2 3" xfId="7322"/>
    <cellStyle name="Comma 14 4 3 4 3" xfId="95"/>
    <cellStyle name="Comma 14 4 3 4 3 2" xfId="4182"/>
    <cellStyle name="Comma 14 4 3 4 3 3" xfId="7323"/>
    <cellStyle name="Comma 14 4 3 4 4" xfId="4180"/>
    <cellStyle name="Comma 14 4 3 4 5" xfId="7321"/>
    <cellStyle name="Comma 14 4 3 5" xfId="4177"/>
    <cellStyle name="Comma 14 4 3 6" xfId="7318"/>
    <cellStyle name="Comma 14 4 4" xfId="4175"/>
    <cellStyle name="Comma 14 4 5" xfId="7316"/>
    <cellStyle name="Comma 14 5" xfId="4163"/>
    <cellStyle name="Comma 14 6" xfId="7304"/>
    <cellStyle name="Comma 15" xfId="96"/>
    <cellStyle name="Comma 15 2" xfId="97"/>
    <cellStyle name="Comma 15 2 2" xfId="4183"/>
    <cellStyle name="Comma 15 2 3" xfId="7325"/>
    <cellStyle name="Comma 15 3" xfId="98"/>
    <cellStyle name="Comma 15 3 2" xfId="99"/>
    <cellStyle name="Comma 15 3 2 2" xfId="4185"/>
    <cellStyle name="Comma 15 3 2 3" xfId="7327"/>
    <cellStyle name="Comma 15 3 3" xfId="100"/>
    <cellStyle name="Comma 15 3 3 2" xfId="101"/>
    <cellStyle name="Comma 15 3 3 2 2" xfId="4187"/>
    <cellStyle name="Comma 15 3 3 2 3" xfId="7329"/>
    <cellStyle name="Comma 15 3 3 3" xfId="102"/>
    <cellStyle name="Comma 15 3 3 3 2" xfId="4188"/>
    <cellStyle name="Comma 15 3 3 3 3" xfId="7330"/>
    <cellStyle name="Comma 15 3 3 4" xfId="103"/>
    <cellStyle name="Comma 15 3 3 4 2" xfId="104"/>
    <cellStyle name="Comma 15 3 3 4 2 2" xfId="4190"/>
    <cellStyle name="Comma 15 3 3 4 2 3" xfId="7332"/>
    <cellStyle name="Comma 15 3 3 4 3" xfId="105"/>
    <cellStyle name="Comma 15 3 3 4 3 2" xfId="4191"/>
    <cellStyle name="Comma 15 3 3 4 3 3" xfId="7333"/>
    <cellStyle name="Comma 15 3 3 4 4" xfId="4189"/>
    <cellStyle name="Comma 15 3 3 4 5" xfId="7331"/>
    <cellStyle name="Comma 15 3 3 5" xfId="4186"/>
    <cellStyle name="Comma 15 3 3 6" xfId="7328"/>
    <cellStyle name="Comma 15 3 4" xfId="4184"/>
    <cellStyle name="Comma 15 3 5" xfId="7326"/>
    <cellStyle name="Comma 15 4" xfId="106"/>
    <cellStyle name="Comma 15 4 2" xfId="107"/>
    <cellStyle name="Comma 15 4 2 2" xfId="108"/>
    <cellStyle name="Comma 15 4 2 2 2" xfId="109"/>
    <cellStyle name="Comma 15 4 2 2 3" xfId="110"/>
    <cellStyle name="Comma 15 4 2 3" xfId="111"/>
    <cellStyle name="Comma 15 4 2 4" xfId="112"/>
    <cellStyle name="Comma 15 4 2 4 2" xfId="113"/>
    <cellStyle name="Comma 15 4 2 4 3" xfId="114"/>
    <cellStyle name="Comma 15 4 2 4 3 2" xfId="115"/>
    <cellStyle name="Comma 15 4 2 4 4" xfId="116"/>
    <cellStyle name="Comma 15 4 2 4 4 2" xfId="117"/>
    <cellStyle name="Comma 15 4 2 4 5" xfId="118"/>
    <cellStyle name="Comma 15 4 2 4 5 2" xfId="119"/>
    <cellStyle name="Comma 15 4 2 5" xfId="3151"/>
    <cellStyle name="Comma 15 4 3" xfId="120"/>
    <cellStyle name="Comma 15 4 3 2" xfId="121"/>
    <cellStyle name="Comma 15 4 3 3" xfId="122"/>
    <cellStyle name="Comma 15 4 3 3 2" xfId="123"/>
    <cellStyle name="Comma 15 4 4" xfId="124"/>
    <cellStyle name="Comma 15 4 4 2" xfId="125"/>
    <cellStyle name="Comma 15 4 4 3" xfId="126"/>
    <cellStyle name="Comma 15 4 5" xfId="127"/>
    <cellStyle name="Comma 15 4 5 2" xfId="128"/>
    <cellStyle name="Comma 15 4 6" xfId="129"/>
    <cellStyle name="Comma 15 4 6 2" xfId="4192"/>
    <cellStyle name="Comma 15 4 7" xfId="130"/>
    <cellStyle name="Comma 15 4 7 2" xfId="4193"/>
    <cellStyle name="Comma 15 4 8" xfId="4066"/>
    <cellStyle name="Comma 15 4 8 2" xfId="6662"/>
    <cellStyle name="Comma 15 4 8 3" xfId="6661"/>
    <cellStyle name="Comma 15 4 8 4" xfId="9672"/>
    <cellStyle name="Comma 15 4 9" xfId="6663"/>
    <cellStyle name="Comma 15 5" xfId="131"/>
    <cellStyle name="Comma 15 5 2" xfId="4194"/>
    <cellStyle name="Comma 15 5 3" xfId="7334"/>
    <cellStyle name="Comma 15 6" xfId="132"/>
    <cellStyle name="Comma 15 7" xfId="133"/>
    <cellStyle name="Comma 15 7 2" xfId="134"/>
    <cellStyle name="Comma 15 7 3" xfId="135"/>
    <cellStyle name="Comma 15 8" xfId="3152"/>
    <cellStyle name="Comma 15 8 2" xfId="4195"/>
    <cellStyle name="Comma 15 9" xfId="7324"/>
    <cellStyle name="Comma 16" xfId="136"/>
    <cellStyle name="Comma 16 2" xfId="137"/>
    <cellStyle name="Comma 16 2 2" xfId="4197"/>
    <cellStyle name="Comma 16 2 3" xfId="7336"/>
    <cellStyle name="Comma 16 3" xfId="138"/>
    <cellStyle name="Comma 16 3 2" xfId="139"/>
    <cellStyle name="Comma 16 3 2 2" xfId="4199"/>
    <cellStyle name="Comma 16 3 2 3" xfId="7338"/>
    <cellStyle name="Comma 16 3 3" xfId="140"/>
    <cellStyle name="Comma 16 3 3 2" xfId="4200"/>
    <cellStyle name="Comma 16 3 3 3" xfId="7339"/>
    <cellStyle name="Comma 16 3 4" xfId="141"/>
    <cellStyle name="Comma 16 3 4 2" xfId="142"/>
    <cellStyle name="Comma 16 3 4 2 2" xfId="4202"/>
    <cellStyle name="Comma 16 3 4 2 3" xfId="7341"/>
    <cellStyle name="Comma 16 3 4 3" xfId="143"/>
    <cellStyle name="Comma 16 3 4 3 2" xfId="4203"/>
    <cellStyle name="Comma 16 3 4 3 3" xfId="7342"/>
    <cellStyle name="Comma 16 3 4 4" xfId="4201"/>
    <cellStyle name="Comma 16 3 4 5" xfId="7340"/>
    <cellStyle name="Comma 16 3 5" xfId="4198"/>
    <cellStyle name="Comma 16 3 6" xfId="7337"/>
    <cellStyle name="Comma 16 4" xfId="4196"/>
    <cellStyle name="Comma 16 5" xfId="7335"/>
    <cellStyle name="Comma 17" xfId="144"/>
    <cellStyle name="Comma 17 2" xfId="145"/>
    <cellStyle name="Comma 17 2 2" xfId="4205"/>
    <cellStyle name="Comma 17 2 3" xfId="7344"/>
    <cellStyle name="Comma 17 3" xfId="146"/>
    <cellStyle name="Comma 17 3 2" xfId="4206"/>
    <cellStyle name="Comma 17 3 3" xfId="7345"/>
    <cellStyle name="Comma 17 4" xfId="147"/>
    <cellStyle name="Comma 17 4 2" xfId="148"/>
    <cellStyle name="Comma 17 4 2 2" xfId="4208"/>
    <cellStyle name="Comma 17 4 2 3" xfId="7347"/>
    <cellStyle name="Comma 17 4 3" xfId="149"/>
    <cellStyle name="Comma 17 4 3 2" xfId="4209"/>
    <cellStyle name="Comma 17 4 3 3" xfId="7348"/>
    <cellStyle name="Comma 17 4 4" xfId="4207"/>
    <cellStyle name="Comma 17 4 5" xfId="7346"/>
    <cellStyle name="Comma 17 5" xfId="4204"/>
    <cellStyle name="Comma 17 6" xfId="7343"/>
    <cellStyle name="Comma 18" xfId="150"/>
    <cellStyle name="Comma 18 2" xfId="151"/>
    <cellStyle name="Comma 18 2 2" xfId="4211"/>
    <cellStyle name="Comma 18 2 3" xfId="7350"/>
    <cellStyle name="Comma 18 3" xfId="152"/>
    <cellStyle name="Comma 18 3 2" xfId="4212"/>
    <cellStyle name="Comma 18 3 3" xfId="7351"/>
    <cellStyle name="Comma 18 4" xfId="4210"/>
    <cellStyle name="Comma 18 4 2" xfId="6664"/>
    <cellStyle name="Comma 18 4 3" xfId="9698"/>
    <cellStyle name="Comma 18 5" xfId="7349"/>
    <cellStyle name="Comma 19" xfId="153"/>
    <cellStyle name="Comma 19 2" xfId="154"/>
    <cellStyle name="Comma 19 2 2" xfId="4214"/>
    <cellStyle name="Comma 19 2 3" xfId="7353"/>
    <cellStyle name="Comma 19 3" xfId="155"/>
    <cellStyle name="Comma 19 3 2" xfId="4215"/>
    <cellStyle name="Comma 19 3 3" xfId="7354"/>
    <cellStyle name="Comma 19 4" xfId="4213"/>
    <cellStyle name="Comma 19 5" xfId="7352"/>
    <cellStyle name="Comma 2" xfId="156"/>
    <cellStyle name="Comma 2 10" xfId="6665"/>
    <cellStyle name="Comma 2 11" xfId="7355"/>
    <cellStyle name="Comma 2 2" xfId="157"/>
    <cellStyle name="Comma 2 2 2" xfId="158"/>
    <cellStyle name="Comma 2 2 2 2" xfId="4216"/>
    <cellStyle name="Comma 2 2 2 3" xfId="7357"/>
    <cellStyle name="Comma 2 2 3" xfId="159"/>
    <cellStyle name="Comma 2 2 3 2" xfId="160"/>
    <cellStyle name="Comma 2 2 3 2 2" xfId="4217"/>
    <cellStyle name="Comma 2 2 3 2 3" xfId="7358"/>
    <cellStyle name="Comma 2 2 4" xfId="161"/>
    <cellStyle name="Comma 2 2 4 2" xfId="162"/>
    <cellStyle name="Comma 2 2 4 2 2" xfId="163"/>
    <cellStyle name="Comma 2 2 4 2 2 2" xfId="164"/>
    <cellStyle name="Comma 2 2 4 2 2 3" xfId="165"/>
    <cellStyle name="Comma 2 2 4 2 3" xfId="166"/>
    <cellStyle name="Comma 2 2 4 2 4" xfId="167"/>
    <cellStyle name="Comma 2 2 4 2 4 2" xfId="168"/>
    <cellStyle name="Comma 2 2 4 2 4 3" xfId="169"/>
    <cellStyle name="Comma 2 2 4 2 4 3 2" xfId="170"/>
    <cellStyle name="Comma 2 2 4 2 4 4" xfId="171"/>
    <cellStyle name="Comma 2 2 4 2 4 4 2" xfId="172"/>
    <cellStyle name="Comma 2 2 4 2 4 5" xfId="173"/>
    <cellStyle name="Comma 2 2 4 2 4 5 2" xfId="174"/>
    <cellStyle name="Comma 2 2 4 2 5" xfId="3153"/>
    <cellStyle name="Comma 2 2 4 3" xfId="175"/>
    <cellStyle name="Comma 2 2 4 3 2" xfId="176"/>
    <cellStyle name="Comma 2 2 4 3 3" xfId="177"/>
    <cellStyle name="Comma 2 2 4 3 3 2" xfId="178"/>
    <cellStyle name="Comma 2 2 4 4" xfId="179"/>
    <cellStyle name="Comma 2 2 4 4 2" xfId="180"/>
    <cellStyle name="Comma 2 2 4 4 3" xfId="4218"/>
    <cellStyle name="Comma 2 2 4 4 4" xfId="7359"/>
    <cellStyle name="Comma 2 2 4 5" xfId="181"/>
    <cellStyle name="Comma 2 2 4 5 2" xfId="182"/>
    <cellStyle name="Comma 2 2 4 6" xfId="183"/>
    <cellStyle name="Comma 2 2 4 6 2" xfId="3154"/>
    <cellStyle name="Comma 2 2 4 6 3" xfId="4219"/>
    <cellStyle name="Comma 2 2 4 7" xfId="184"/>
    <cellStyle name="Comma 2 2 4 7 2" xfId="4220"/>
    <cellStyle name="Comma 2 2 4 8" xfId="4065"/>
    <cellStyle name="Comma 2 2 4 8 2" xfId="6667"/>
    <cellStyle name="Comma 2 2 4 8 3" xfId="6666"/>
    <cellStyle name="Comma 2 2 4 8 4" xfId="9671"/>
    <cellStyle name="Comma 2 2 4 9" xfId="6668"/>
    <cellStyle name="Comma 2 2 5" xfId="185"/>
    <cellStyle name="Comma 2 2 5 2" xfId="4221"/>
    <cellStyle name="Comma 2 2 5 3" xfId="7360"/>
    <cellStyle name="Comma 2 2 6" xfId="4082"/>
    <cellStyle name="Comma 2 2 7" xfId="7356"/>
    <cellStyle name="Comma 2 3" xfId="186"/>
    <cellStyle name="Comma 2 3 2" xfId="187"/>
    <cellStyle name="Comma 2 3 2 2" xfId="4223"/>
    <cellStyle name="Comma 2 3 2 3" xfId="7361"/>
    <cellStyle name="Comma 2 3 3" xfId="188"/>
    <cellStyle name="Comma 2 3 4" xfId="189"/>
    <cellStyle name="Comma 2 3 4 2" xfId="4224"/>
    <cellStyle name="Comma 2 3 4 3" xfId="7362"/>
    <cellStyle name="Comma 2 3 5" xfId="4083"/>
    <cellStyle name="Comma 2 3 6" xfId="4222"/>
    <cellStyle name="Comma 2 4" xfId="190"/>
    <cellStyle name="Comma 2 4 2" xfId="191"/>
    <cellStyle name="Comma 2 4 2 2" xfId="4226"/>
    <cellStyle name="Comma 2 4 2 3" xfId="7364"/>
    <cellStyle name="Comma 2 4 3" xfId="4225"/>
    <cellStyle name="Comma 2 4 4" xfId="7363"/>
    <cellStyle name="Comma 2 5" xfId="192"/>
    <cellStyle name="Comma 2 5 2" xfId="4227"/>
    <cellStyle name="Comma 2 5 3" xfId="7365"/>
    <cellStyle name="Comma 2 6" xfId="193"/>
    <cellStyle name="Comma 2 6 2" xfId="4228"/>
    <cellStyle name="Comma 2 6 3" xfId="7366"/>
    <cellStyle name="Comma 2 7" xfId="194"/>
    <cellStyle name="Comma 2 8" xfId="195"/>
    <cellStyle name="Comma 2 8 2" xfId="4229"/>
    <cellStyle name="Comma 2 8 3" xfId="7367"/>
    <cellStyle name="Comma 2 9" xfId="4081"/>
    <cellStyle name="Comma 2 9 2" xfId="6669"/>
    <cellStyle name="Comma 2 9 3" xfId="9686"/>
    <cellStyle name="Comma 20" xfId="196"/>
    <cellStyle name="Comma 20 2" xfId="197"/>
    <cellStyle name="Comma 20 2 2" xfId="4231"/>
    <cellStyle name="Comma 20 2 3" xfId="7369"/>
    <cellStyle name="Comma 20 3" xfId="198"/>
    <cellStyle name="Comma 20 3 2" xfId="199"/>
    <cellStyle name="Comma 20 3 2 2" xfId="4233"/>
    <cellStyle name="Comma 20 3 2 3" xfId="7371"/>
    <cellStyle name="Comma 20 3 3" xfId="4232"/>
    <cellStyle name="Comma 20 3 3 2" xfId="9699"/>
    <cellStyle name="Comma 20 3 4" xfId="7370"/>
    <cellStyle name="Comma 20 4" xfId="4230"/>
    <cellStyle name="Comma 20 5" xfId="7368"/>
    <cellStyle name="Comma 21" xfId="200"/>
    <cellStyle name="Comma 21 2" xfId="201"/>
    <cellStyle name="Comma 21 2 2" xfId="4235"/>
    <cellStyle name="Comma 21 2 3" xfId="7373"/>
    <cellStyle name="Comma 21 3" xfId="4234"/>
    <cellStyle name="Comma 21 4" xfId="7372"/>
    <cellStyle name="Comma 22" xfId="202"/>
    <cellStyle name="Comma 22 2" xfId="203"/>
    <cellStyle name="Comma 22 2 2" xfId="4237"/>
    <cellStyle name="Comma 22 2 3" xfId="7375"/>
    <cellStyle name="Comma 22 3" xfId="204"/>
    <cellStyle name="Comma 22 3 2" xfId="205"/>
    <cellStyle name="Comma 22 3 2 2" xfId="4239"/>
    <cellStyle name="Comma 22 3 2 3" xfId="7377"/>
    <cellStyle name="Comma 22 3 3" xfId="4238"/>
    <cellStyle name="Comma 22 3 4" xfId="7376"/>
    <cellStyle name="Comma 22 4" xfId="3155"/>
    <cellStyle name="Comma 22 4 2" xfId="4240"/>
    <cellStyle name="Comma 22 5" xfId="4236"/>
    <cellStyle name="Comma 22 6" xfId="7374"/>
    <cellStyle name="Comma 23" xfId="206"/>
    <cellStyle name="Comma 23 2" xfId="207"/>
    <cellStyle name="Comma 23 2 2" xfId="4242"/>
    <cellStyle name="Comma 23 2 3" xfId="7379"/>
    <cellStyle name="Comma 23 3" xfId="4241"/>
    <cellStyle name="Comma 23 4" xfId="7378"/>
    <cellStyle name="Comma 24" xfId="208"/>
    <cellStyle name="Comma 24 2" xfId="209"/>
    <cellStyle name="Comma 24 3" xfId="210"/>
    <cellStyle name="Comma 25" xfId="211"/>
    <cellStyle name="Comma 25 2" xfId="212"/>
    <cellStyle name="Comma 25 2 2" xfId="213"/>
    <cellStyle name="Comma 25 2 2 2" xfId="4245"/>
    <cellStyle name="Comma 25 2 2 3" xfId="7382"/>
    <cellStyle name="Comma 25 2 3" xfId="214"/>
    <cellStyle name="Comma 25 2 3 2" xfId="3156"/>
    <cellStyle name="Comma 25 2 3 2 2" xfId="4247"/>
    <cellStyle name="Comma 25 2 3 3" xfId="4246"/>
    <cellStyle name="Comma 25 2 3 4" xfId="7383"/>
    <cellStyle name="Comma 25 2 4" xfId="4244"/>
    <cellStyle name="Comma 25 2 5" xfId="7381"/>
    <cellStyle name="Comma 25 3" xfId="215"/>
    <cellStyle name="Comma 25 3 2" xfId="4248"/>
    <cellStyle name="Comma 25 3 3" xfId="7384"/>
    <cellStyle name="Comma 25 4" xfId="4243"/>
    <cellStyle name="Comma 25 5" xfId="7380"/>
    <cellStyle name="Comma 26" xfId="216"/>
    <cellStyle name="Comma 26 2" xfId="217"/>
    <cellStyle name="Comma 26 2 2" xfId="4250"/>
    <cellStyle name="Comma 26 2 3" xfId="7386"/>
    <cellStyle name="Comma 26 3" xfId="218"/>
    <cellStyle name="Comma 26 3 2" xfId="3157"/>
    <cellStyle name="Comma 26 3 2 2" xfId="4252"/>
    <cellStyle name="Comma 26 3 3" xfId="4251"/>
    <cellStyle name="Comma 26 3 4" xfId="7387"/>
    <cellStyle name="Comma 26 4" xfId="4249"/>
    <cellStyle name="Comma 26 5" xfId="7385"/>
    <cellStyle name="Comma 27" xfId="219"/>
    <cellStyle name="Comma 27 2" xfId="220"/>
    <cellStyle name="Comma 27 2 2" xfId="4254"/>
    <cellStyle name="Comma 27 2 3" xfId="7389"/>
    <cellStyle name="Comma 27 3" xfId="221"/>
    <cellStyle name="Comma 27 3 2" xfId="4255"/>
    <cellStyle name="Comma 27 3 3" xfId="7390"/>
    <cellStyle name="Comma 27 4" xfId="4253"/>
    <cellStyle name="Comma 27 5" xfId="7388"/>
    <cellStyle name="Comma 28" xfId="222"/>
    <cellStyle name="Comma 28 2" xfId="223"/>
    <cellStyle name="Comma 28 2 2" xfId="3160"/>
    <cellStyle name="Comma 28 2 2 2" xfId="4257"/>
    <cellStyle name="Comma 28 2 2 3" xfId="8833"/>
    <cellStyle name="Comma 28 2 3" xfId="3159"/>
    <cellStyle name="Comma 28 2 3 2" xfId="4258"/>
    <cellStyle name="Comma 28 2 3 3" xfId="8832"/>
    <cellStyle name="Comma 28 2 4" xfId="4256"/>
    <cellStyle name="Comma 28 2 5" xfId="7392"/>
    <cellStyle name="Comma 28 3" xfId="3161"/>
    <cellStyle name="Comma 28 3 2" xfId="6670"/>
    <cellStyle name="Comma 28 3 3" xfId="8834"/>
    <cellStyle name="Comma 28 4" xfId="3158"/>
    <cellStyle name="Comma 28 4 2" xfId="6671"/>
    <cellStyle name="Comma 28 4 3" xfId="8831"/>
    <cellStyle name="Comma 28 5" xfId="7391"/>
    <cellStyle name="Comma 29" xfId="224"/>
    <cellStyle name="Comma 29 2" xfId="225"/>
    <cellStyle name="Comma 3" xfId="226"/>
    <cellStyle name="Comma 3 2" xfId="227"/>
    <cellStyle name="Comma 3 2 2" xfId="228"/>
    <cellStyle name="Comma 3 2 3" xfId="229"/>
    <cellStyle name="Comma 3 2 3 2" xfId="230"/>
    <cellStyle name="Comma 3 2 3 3" xfId="231"/>
    <cellStyle name="Comma 3 2 3 3 2" xfId="232"/>
    <cellStyle name="Comma 3 2 3 3 2 2" xfId="233"/>
    <cellStyle name="Comma 3 2 3 3 2 3" xfId="234"/>
    <cellStyle name="Comma 3 2 3 3 2 3 2" xfId="235"/>
    <cellStyle name="Comma 3 2 3 3 2 4" xfId="236"/>
    <cellStyle name="Comma 3 2 3 3 2 4 2" xfId="237"/>
    <cellStyle name="Comma 3 2 3 3 2 5" xfId="238"/>
    <cellStyle name="Comma 3 2 3 3 2 5 2" xfId="239"/>
    <cellStyle name="Comma 3 2 3 3 3" xfId="240"/>
    <cellStyle name="Comma 3 2 3 3 4" xfId="241"/>
    <cellStyle name="Comma 3 2 3 3 5" xfId="3162"/>
    <cellStyle name="Comma 3 2 3 4" xfId="242"/>
    <cellStyle name="Comma 3 2 3 4 2" xfId="243"/>
    <cellStyle name="Comma 3 2 3 4 3" xfId="244"/>
    <cellStyle name="Comma 3 2 3 5" xfId="245"/>
    <cellStyle name="Comma 3 2 3 5 2" xfId="246"/>
    <cellStyle name="Comma 3 2 3 6" xfId="247"/>
    <cellStyle name="Comma 3 2 3 6 2" xfId="3163"/>
    <cellStyle name="Comma 3 2 3 6 3" xfId="4259"/>
    <cellStyle name="Comma 3 2 3 7" xfId="248"/>
    <cellStyle name="Comma 3 2 3 7 2" xfId="4260"/>
    <cellStyle name="Comma 3 2 3 8" xfId="4064"/>
    <cellStyle name="Comma 3 2 3 8 2" xfId="6673"/>
    <cellStyle name="Comma 3 2 3 8 3" xfId="6672"/>
    <cellStyle name="Comma 3 2 3 8 4" xfId="9670"/>
    <cellStyle name="Comma 3 2 3 9" xfId="6674"/>
    <cellStyle name="Comma 3 2 4" xfId="249"/>
    <cellStyle name="Comma 3 2 4 2" xfId="4261"/>
    <cellStyle name="Comma 3 2 4 3" xfId="7394"/>
    <cellStyle name="Comma 3 2 5" xfId="250"/>
    <cellStyle name="Comma 3 2 5 2" xfId="251"/>
    <cellStyle name="Comma 3 2 5 3" xfId="252"/>
    <cellStyle name="Comma 3 2 6" xfId="6675"/>
    <cellStyle name="Comma 3 3" xfId="253"/>
    <cellStyle name="Comma 3 3 10" xfId="254"/>
    <cellStyle name="Comma 3 3 10 2" xfId="4263"/>
    <cellStyle name="Comma 3 3 11" xfId="4063"/>
    <cellStyle name="Comma 3 3 11 2" xfId="6677"/>
    <cellStyle name="Comma 3 3 11 3" xfId="6676"/>
    <cellStyle name="Comma 3 3 11 4" xfId="9669"/>
    <cellStyle name="Comma 3 3 12" xfId="4262"/>
    <cellStyle name="Comma 3 3 12 2" xfId="6678"/>
    <cellStyle name="Comma 3 3 12 3" xfId="9700"/>
    <cellStyle name="Comma 3 3 2" xfId="255"/>
    <cellStyle name="Comma 3 3 2 2" xfId="4264"/>
    <cellStyle name="Comma 3 3 2 3" xfId="7395"/>
    <cellStyle name="Comma 3 3 3" xfId="256"/>
    <cellStyle name="Comma 3 3 3 10" xfId="4062"/>
    <cellStyle name="Comma 3 3 3 10 2" xfId="6680"/>
    <cellStyle name="Comma 3 3 3 10 3" xfId="6679"/>
    <cellStyle name="Comma 3 3 3 10 4" xfId="9668"/>
    <cellStyle name="Comma 3 3 3 11" xfId="6681"/>
    <cellStyle name="Comma 3 3 3 2" xfId="257"/>
    <cellStyle name="Comma 3 3 3 2 2" xfId="258"/>
    <cellStyle name="Comma 3 3 3 2 2 2" xfId="259"/>
    <cellStyle name="Comma 3 3 3 2 2 2 2" xfId="260"/>
    <cellStyle name="Comma 3 3 3 2 2 2 3" xfId="261"/>
    <cellStyle name="Comma 3 3 3 2 2 3" xfId="262"/>
    <cellStyle name="Comma 3 3 3 2 2 4" xfId="263"/>
    <cellStyle name="Comma 3 3 3 2 2 4 2" xfId="264"/>
    <cellStyle name="Comma 3 3 3 2 2 4 3" xfId="265"/>
    <cellStyle name="Comma 3 3 3 2 2 4 3 2" xfId="266"/>
    <cellStyle name="Comma 3 3 3 2 2 4 4" xfId="267"/>
    <cellStyle name="Comma 3 3 3 2 2 4 4 2" xfId="268"/>
    <cellStyle name="Comma 3 3 3 2 2 4 5" xfId="269"/>
    <cellStyle name="Comma 3 3 3 2 2 4 5 2" xfId="270"/>
    <cellStyle name="Comma 3 3 3 2 2 5" xfId="3164"/>
    <cellStyle name="Comma 3 3 3 2 3" xfId="271"/>
    <cellStyle name="Comma 3 3 3 2 3 2" xfId="272"/>
    <cellStyle name="Comma 3 3 3 2 3 3" xfId="273"/>
    <cellStyle name="Comma 3 3 3 2 3 3 2" xfId="274"/>
    <cellStyle name="Comma 3 3 3 2 4" xfId="275"/>
    <cellStyle name="Comma 3 3 3 2 4 2" xfId="276"/>
    <cellStyle name="Comma 3 3 3 2 4 3" xfId="277"/>
    <cellStyle name="Comma 3 3 3 2 5" xfId="278"/>
    <cellStyle name="Comma 3 3 3 2 5 2" xfId="279"/>
    <cellStyle name="Comma 3 3 3 2 6" xfId="280"/>
    <cellStyle name="Comma 3 3 3 2 6 2" xfId="4265"/>
    <cellStyle name="Comma 3 3 3 2 7" xfId="281"/>
    <cellStyle name="Comma 3 3 3 2 7 2" xfId="4266"/>
    <cellStyle name="Comma 3 3 3 2 8" xfId="4061"/>
    <cellStyle name="Comma 3 3 3 2 8 2" xfId="6683"/>
    <cellStyle name="Comma 3 3 3 2 8 3" xfId="6682"/>
    <cellStyle name="Comma 3 3 3 2 8 4" xfId="9667"/>
    <cellStyle name="Comma 3 3 3 2 9" xfId="6684"/>
    <cellStyle name="Comma 3 3 3 3" xfId="282"/>
    <cellStyle name="Comma 3 3 3 4" xfId="283"/>
    <cellStyle name="Comma 3 3 3 4 2" xfId="284"/>
    <cellStyle name="Comma 3 3 3 4 2 2" xfId="285"/>
    <cellStyle name="Comma 3 3 3 4 2 3" xfId="286"/>
    <cellStyle name="Comma 3 3 3 4 2 3 2" xfId="287"/>
    <cellStyle name="Comma 3 3 3 4 2 4" xfId="288"/>
    <cellStyle name="Comma 3 3 3 4 2 4 2" xfId="289"/>
    <cellStyle name="Comma 3 3 3 4 2 5" xfId="290"/>
    <cellStyle name="Comma 3 3 3 4 2 5 2" xfId="291"/>
    <cellStyle name="Comma 3 3 3 4 3" xfId="292"/>
    <cellStyle name="Comma 3 3 3 4 4" xfId="293"/>
    <cellStyle name="Comma 3 3 3 4 5" xfId="3165"/>
    <cellStyle name="Comma 3 3 3 5" xfId="294"/>
    <cellStyle name="Comma 3 3 3 6" xfId="295"/>
    <cellStyle name="Comma 3 3 3 6 2" xfId="296"/>
    <cellStyle name="Comma 3 3 3 6 3" xfId="297"/>
    <cellStyle name="Comma 3 3 3 6 4" xfId="298"/>
    <cellStyle name="Comma 3 3 3 7" xfId="299"/>
    <cellStyle name="Comma 3 3 3 7 2" xfId="300"/>
    <cellStyle name="Comma 3 3 3 8" xfId="301"/>
    <cellStyle name="Comma 3 3 3 8 2" xfId="3166"/>
    <cellStyle name="Comma 3 3 3 8 2 2" xfId="6685"/>
    <cellStyle name="Comma 3 3 3 8 2 3" xfId="8835"/>
    <cellStyle name="Comma 3 3 3 8 3" xfId="4267"/>
    <cellStyle name="Comma 3 3 3 9" xfId="302"/>
    <cellStyle name="Comma 3 3 3 9 2" xfId="4268"/>
    <cellStyle name="Comma 3 3 4" xfId="303"/>
    <cellStyle name="Comma 3 3 4 2" xfId="304"/>
    <cellStyle name="Comma 3 3 4 2 2" xfId="305"/>
    <cellStyle name="Comma 3 3 4 2 2 2" xfId="306"/>
    <cellStyle name="Comma 3 3 4 2 2 3" xfId="307"/>
    <cellStyle name="Comma 3 3 4 2 3" xfId="308"/>
    <cellStyle name="Comma 3 3 4 2 4" xfId="309"/>
    <cellStyle name="Comma 3 3 4 2 4 2" xfId="310"/>
    <cellStyle name="Comma 3 3 4 2 4 3" xfId="311"/>
    <cellStyle name="Comma 3 3 4 2 4 3 2" xfId="312"/>
    <cellStyle name="Comma 3 3 4 2 4 4" xfId="313"/>
    <cellStyle name="Comma 3 3 4 2 4 4 2" xfId="314"/>
    <cellStyle name="Comma 3 3 4 2 4 5" xfId="315"/>
    <cellStyle name="Comma 3 3 4 2 4 5 2" xfId="316"/>
    <cellStyle name="Comma 3 3 4 2 5" xfId="3167"/>
    <cellStyle name="Comma 3 3 4 3" xfId="317"/>
    <cellStyle name="Comma 3 3 4 3 2" xfId="318"/>
    <cellStyle name="Comma 3 3 4 3 3" xfId="319"/>
    <cellStyle name="Comma 3 3 4 3 3 2" xfId="320"/>
    <cellStyle name="Comma 3 3 4 4" xfId="321"/>
    <cellStyle name="Comma 3 3 4 4 2" xfId="322"/>
    <cellStyle name="Comma 3 3 4 4 3" xfId="323"/>
    <cellStyle name="Comma 3 3 4 5" xfId="324"/>
    <cellStyle name="Comma 3 3 4 5 2" xfId="325"/>
    <cellStyle name="Comma 3 3 4 6" xfId="326"/>
    <cellStyle name="Comma 3 3 4 6 2" xfId="3168"/>
    <cellStyle name="Comma 3 3 4 6 3" xfId="4269"/>
    <cellStyle name="Comma 3 3 4 7" xfId="327"/>
    <cellStyle name="Comma 3 3 4 7 2" xfId="4270"/>
    <cellStyle name="Comma 3 3 4 8" xfId="4060"/>
    <cellStyle name="Comma 3 3 4 8 2" xfId="6687"/>
    <cellStyle name="Comma 3 3 4 8 3" xfId="6686"/>
    <cellStyle name="Comma 3 3 4 8 4" xfId="9666"/>
    <cellStyle name="Comma 3 3 4 9" xfId="6688"/>
    <cellStyle name="Comma 3 3 5" xfId="328"/>
    <cellStyle name="Comma 3 3 5 2" xfId="329"/>
    <cellStyle name="Comma 3 3 5 2 2" xfId="330"/>
    <cellStyle name="Comma 3 3 5 2 3" xfId="331"/>
    <cellStyle name="Comma 3 3 5 3" xfId="332"/>
    <cellStyle name="Comma 3 3 5 4" xfId="333"/>
    <cellStyle name="Comma 3 3 5 4 2" xfId="334"/>
    <cellStyle name="Comma 3 3 5 4 3" xfId="335"/>
    <cellStyle name="Comma 3 3 5 4 3 2" xfId="336"/>
    <cellStyle name="Comma 3 3 5 4 4" xfId="337"/>
    <cellStyle name="Comma 3 3 5 4 4 2" xfId="338"/>
    <cellStyle name="Comma 3 3 5 4 5" xfId="339"/>
    <cellStyle name="Comma 3 3 5 4 5 2" xfId="340"/>
    <cellStyle name="Comma 3 3 5 5" xfId="3169"/>
    <cellStyle name="Comma 3 3 6" xfId="341"/>
    <cellStyle name="Comma 3 3 6 2" xfId="342"/>
    <cellStyle name="Comma 3 3 6 3" xfId="343"/>
    <cellStyle name="Comma 3 3 7" xfId="344"/>
    <cellStyle name="Comma 3 3 8" xfId="345"/>
    <cellStyle name="Comma 3 3 8 2" xfId="346"/>
    <cellStyle name="Comma 3 3 9" xfId="347"/>
    <cellStyle name="Comma 3 3 9 2" xfId="3171"/>
    <cellStyle name="Comma 3 3 9 3" xfId="3170"/>
    <cellStyle name="Comma 3 4" xfId="348"/>
    <cellStyle name="Comma 3 4 2" xfId="349"/>
    <cellStyle name="Comma 3 4 2 2" xfId="350"/>
    <cellStyle name="Comma 3 4 2 2 2" xfId="351"/>
    <cellStyle name="Comma 3 4 2 2 2 2" xfId="352"/>
    <cellStyle name="Comma 3 4 2 2 2 3" xfId="353"/>
    <cellStyle name="Comma 3 4 2 2 3" xfId="354"/>
    <cellStyle name="Comma 3 4 2 2 4" xfId="355"/>
    <cellStyle name="Comma 3 4 2 2 4 2" xfId="356"/>
    <cellStyle name="Comma 3 4 2 2 4 3" xfId="357"/>
    <cellStyle name="Comma 3 4 2 2 4 3 2" xfId="358"/>
    <cellStyle name="Comma 3 4 2 2 4 4" xfId="359"/>
    <cellStyle name="Comma 3 4 2 2 4 4 2" xfId="360"/>
    <cellStyle name="Comma 3 4 2 2 4 5" xfId="361"/>
    <cellStyle name="Comma 3 4 2 2 4 5 2" xfId="362"/>
    <cellStyle name="Comma 3 4 2 2 5" xfId="3172"/>
    <cellStyle name="Comma 3 4 2 3" xfId="363"/>
    <cellStyle name="Comma 3 4 2 3 2" xfId="364"/>
    <cellStyle name="Comma 3 4 2 3 3" xfId="365"/>
    <cellStyle name="Comma 3 4 2 3 3 2" xfId="366"/>
    <cellStyle name="Comma 3 4 2 4" xfId="367"/>
    <cellStyle name="Comma 3 4 2 4 2" xfId="368"/>
    <cellStyle name="Comma 3 4 2 4 3" xfId="369"/>
    <cellStyle name="Comma 3 4 2 5" xfId="370"/>
    <cellStyle name="Comma 3 4 2 5 2" xfId="371"/>
    <cellStyle name="Comma 3 4 2 6" xfId="372"/>
    <cellStyle name="Comma 3 4 2 6 2" xfId="3173"/>
    <cellStyle name="Comma 3 4 2 6 3" xfId="4271"/>
    <cellStyle name="Comma 3 4 2 7" xfId="373"/>
    <cellStyle name="Comma 3 4 2 7 2" xfId="4272"/>
    <cellStyle name="Comma 3 4 2 8" xfId="4059"/>
    <cellStyle name="Comma 3 4 2 8 2" xfId="4273"/>
    <cellStyle name="Comma 3 4 2 8 2 2" xfId="6690"/>
    <cellStyle name="Comma 3 4 2 8 2 3" xfId="9701"/>
    <cellStyle name="Comma 3 4 2 8 2 3 2" xfId="16714"/>
    <cellStyle name="Comma 3 4 2 8 2 3 2 2" xfId="23681"/>
    <cellStyle name="Comma 3 4 2 8 2 3 2 3" xfId="30648"/>
    <cellStyle name="Comma 3 4 2 8 2 3 2 4" xfId="37617"/>
    <cellStyle name="Comma 3 4 2 8 2 3 3" xfId="12072"/>
    <cellStyle name="Comma 3 4 2 8 2 3 4" xfId="19039"/>
    <cellStyle name="Comma 3 4 2 8 2 3 5" xfId="26006"/>
    <cellStyle name="Comma 3 4 2 8 2 3 6" xfId="32974"/>
    <cellStyle name="Comma 3 4 2 8 2 4" xfId="14394"/>
    <cellStyle name="Comma 3 4 2 8 2 4 2" xfId="21361"/>
    <cellStyle name="Comma 3 4 2 8 2 4 3" xfId="28328"/>
    <cellStyle name="Comma 3 4 2 8 2 4 4" xfId="35297"/>
    <cellStyle name="Comma 3 4 2 8 3" xfId="6689"/>
    <cellStyle name="Comma 3 4 2 8 4" xfId="9665"/>
    <cellStyle name="Comma 3 4 2 8 4 2" xfId="16696"/>
    <cellStyle name="Comma 3 4 2 8 4 2 2" xfId="23663"/>
    <cellStyle name="Comma 3 4 2 8 4 2 3" xfId="30630"/>
    <cellStyle name="Comma 3 4 2 8 4 2 4" xfId="37599"/>
    <cellStyle name="Comma 3 4 2 8 4 3" xfId="12054"/>
    <cellStyle name="Comma 3 4 2 8 4 4" xfId="19021"/>
    <cellStyle name="Comma 3 4 2 8 4 5" xfId="25988"/>
    <cellStyle name="Comma 3 4 2 8 4 6" xfId="32956"/>
    <cellStyle name="Comma 3 4 2 8 5" xfId="14376"/>
    <cellStyle name="Comma 3 4 2 8 5 2" xfId="21343"/>
    <cellStyle name="Comma 3 4 2 8 5 3" xfId="28310"/>
    <cellStyle name="Comma 3 4 2 8 5 4" xfId="35279"/>
    <cellStyle name="Comma 3 4 2 9" xfId="6691"/>
    <cellStyle name="Comma 3 4 3" xfId="374"/>
    <cellStyle name="Comma 3 4 4" xfId="375"/>
    <cellStyle name="Comma 3 4 5" xfId="376"/>
    <cellStyle name="Comma 3 4 5 2" xfId="377"/>
    <cellStyle name="Comma 3 4 5 3" xfId="378"/>
    <cellStyle name="Comma 3 4 6" xfId="3174"/>
    <cellStyle name="Comma 3 4 6 2" xfId="4274"/>
    <cellStyle name="Comma 3 5" xfId="379"/>
    <cellStyle name="Comma 3 5 10" xfId="4058"/>
    <cellStyle name="Comma 3 5 10 2" xfId="4275"/>
    <cellStyle name="Comma 3 5 10 2 2" xfId="6693"/>
    <cellStyle name="Comma 3 5 10 2 3" xfId="9702"/>
    <cellStyle name="Comma 3 5 10 2 3 2" xfId="16715"/>
    <cellStyle name="Comma 3 5 10 2 3 2 2" xfId="23682"/>
    <cellStyle name="Comma 3 5 10 2 3 2 3" xfId="30649"/>
    <cellStyle name="Comma 3 5 10 2 3 2 4" xfId="37618"/>
    <cellStyle name="Comma 3 5 10 2 3 3" xfId="12073"/>
    <cellStyle name="Comma 3 5 10 2 3 4" xfId="19040"/>
    <cellStyle name="Comma 3 5 10 2 3 5" xfId="26007"/>
    <cellStyle name="Comma 3 5 10 2 3 6" xfId="32975"/>
    <cellStyle name="Comma 3 5 10 2 4" xfId="14395"/>
    <cellStyle name="Comma 3 5 10 2 4 2" xfId="21362"/>
    <cellStyle name="Comma 3 5 10 2 4 3" xfId="28329"/>
    <cellStyle name="Comma 3 5 10 2 4 4" xfId="35298"/>
    <cellStyle name="Comma 3 5 10 3" xfId="6692"/>
    <cellStyle name="Comma 3 5 10 4" xfId="9664"/>
    <cellStyle name="Comma 3 5 10 4 2" xfId="16695"/>
    <cellStyle name="Comma 3 5 10 4 2 2" xfId="23662"/>
    <cellStyle name="Comma 3 5 10 4 2 3" xfId="30629"/>
    <cellStyle name="Comma 3 5 10 4 2 4" xfId="37598"/>
    <cellStyle name="Comma 3 5 10 4 3" xfId="12053"/>
    <cellStyle name="Comma 3 5 10 4 4" xfId="19020"/>
    <cellStyle name="Comma 3 5 10 4 5" xfId="25987"/>
    <cellStyle name="Comma 3 5 10 4 6" xfId="32955"/>
    <cellStyle name="Comma 3 5 10 5" xfId="14375"/>
    <cellStyle name="Comma 3 5 10 5 2" xfId="21342"/>
    <cellStyle name="Comma 3 5 10 5 3" xfId="28309"/>
    <cellStyle name="Comma 3 5 10 5 4" xfId="35278"/>
    <cellStyle name="Comma 3 5 11" xfId="4099"/>
    <cellStyle name="Comma 3 5 11 2" xfId="6644"/>
    <cellStyle name="Comma 3 5 11 2 2" xfId="10716"/>
    <cellStyle name="Comma 3 5 11 2 2 2" xfId="17694"/>
    <cellStyle name="Comma 3 5 11 2 2 3" xfId="24661"/>
    <cellStyle name="Comma 3 5 11 2 2 4" xfId="31628"/>
    <cellStyle name="Comma 3 5 11 2 2 5" xfId="38597"/>
    <cellStyle name="Comma 3 5 11 2 3" xfId="15374"/>
    <cellStyle name="Comma 3 5 11 2 3 2" xfId="22341"/>
    <cellStyle name="Comma 3 5 11 2 3 3" xfId="29308"/>
    <cellStyle name="Comma 3 5 11 2 3 4" xfId="36277"/>
    <cellStyle name="Comma 3 5 11 2 4" xfId="13052"/>
    <cellStyle name="Comma 3 5 11 2 5" xfId="20019"/>
    <cellStyle name="Comma 3 5 11 2 6" xfId="26986"/>
    <cellStyle name="Comma 3 5 11 2 7" xfId="33955"/>
    <cellStyle name="Comma 3 5 11 3" xfId="6694"/>
    <cellStyle name="Comma 3 5 11 4" xfId="9693"/>
    <cellStyle name="Comma 3 5 11 4 2" xfId="16711"/>
    <cellStyle name="Comma 3 5 11 4 2 2" xfId="23678"/>
    <cellStyle name="Comma 3 5 11 4 2 3" xfId="30645"/>
    <cellStyle name="Comma 3 5 11 4 2 4" xfId="37614"/>
    <cellStyle name="Comma 3 5 11 4 3" xfId="12069"/>
    <cellStyle name="Comma 3 5 11 4 4" xfId="19036"/>
    <cellStyle name="Comma 3 5 11 4 5" xfId="26003"/>
    <cellStyle name="Comma 3 5 11 4 6" xfId="32971"/>
    <cellStyle name="Comma 3 5 11 5" xfId="14391"/>
    <cellStyle name="Comma 3 5 11 5 2" xfId="21358"/>
    <cellStyle name="Comma 3 5 11 5 3" xfId="28325"/>
    <cellStyle name="Comma 3 5 11 5 4" xfId="35294"/>
    <cellStyle name="Comma 3 5 2" xfId="380"/>
    <cellStyle name="Comma 3 5 2 10" xfId="6695"/>
    <cellStyle name="Comma 3 5 2 2" xfId="381"/>
    <cellStyle name="Comma 3 5 2 3" xfId="382"/>
    <cellStyle name="Comma 3 5 2 3 2" xfId="383"/>
    <cellStyle name="Comma 3 5 2 3 2 2" xfId="384"/>
    <cellStyle name="Comma 3 5 2 3 2 3" xfId="385"/>
    <cellStyle name="Comma 3 5 2 3 3" xfId="386"/>
    <cellStyle name="Comma 3 5 2 3 4" xfId="387"/>
    <cellStyle name="Comma 3 5 2 3 4 2" xfId="388"/>
    <cellStyle name="Comma 3 5 2 3 4 3" xfId="389"/>
    <cellStyle name="Comma 3 5 2 3 4 3 2" xfId="390"/>
    <cellStyle name="Comma 3 5 2 3 4 4" xfId="391"/>
    <cellStyle name="Comma 3 5 2 3 4 4 2" xfId="392"/>
    <cellStyle name="Comma 3 5 2 3 4 5" xfId="393"/>
    <cellStyle name="Comma 3 5 2 3 4 5 2" xfId="394"/>
    <cellStyle name="Comma 3 5 2 3 5" xfId="3175"/>
    <cellStyle name="Comma 3 5 2 4" xfId="395"/>
    <cellStyle name="Comma 3 5 2 4 2" xfId="396"/>
    <cellStyle name="Comma 3 5 2 4 3" xfId="397"/>
    <cellStyle name="Comma 3 5 2 4 3 2" xfId="398"/>
    <cellStyle name="Comma 3 5 2 5" xfId="399"/>
    <cellStyle name="Comma 3 5 2 5 2" xfId="400"/>
    <cellStyle name="Comma 3 5 2 5 3" xfId="401"/>
    <cellStyle name="Comma 3 5 2 6" xfId="402"/>
    <cellStyle name="Comma 3 5 2 6 2" xfId="403"/>
    <cellStyle name="Comma 3 5 2 7" xfId="404"/>
    <cellStyle name="Comma 3 5 2 7 2" xfId="4276"/>
    <cellStyle name="Comma 3 5 2 8" xfId="405"/>
    <cellStyle name="Comma 3 5 2 8 2" xfId="4277"/>
    <cellStyle name="Comma 3 5 2 9" xfId="4057"/>
    <cellStyle name="Comma 3 5 2 9 2" xfId="4278"/>
    <cellStyle name="Comma 3 5 2 9 2 2" xfId="6697"/>
    <cellStyle name="Comma 3 5 2 9 2 3" xfId="9703"/>
    <cellStyle name="Comma 3 5 2 9 2 3 2" xfId="16716"/>
    <cellStyle name="Comma 3 5 2 9 2 3 2 2" xfId="23683"/>
    <cellStyle name="Comma 3 5 2 9 2 3 2 3" xfId="30650"/>
    <cellStyle name="Comma 3 5 2 9 2 3 2 4" xfId="37619"/>
    <cellStyle name="Comma 3 5 2 9 2 3 3" xfId="12074"/>
    <cellStyle name="Comma 3 5 2 9 2 3 4" xfId="19041"/>
    <cellStyle name="Comma 3 5 2 9 2 3 5" xfId="26008"/>
    <cellStyle name="Comma 3 5 2 9 2 3 6" xfId="32976"/>
    <cellStyle name="Comma 3 5 2 9 2 4" xfId="14396"/>
    <cellStyle name="Comma 3 5 2 9 2 4 2" xfId="21363"/>
    <cellStyle name="Comma 3 5 2 9 2 4 3" xfId="28330"/>
    <cellStyle name="Comma 3 5 2 9 2 4 4" xfId="35299"/>
    <cellStyle name="Comma 3 5 2 9 3" xfId="6696"/>
    <cellStyle name="Comma 3 5 2 9 4" xfId="9663"/>
    <cellStyle name="Comma 3 5 2 9 4 2" xfId="16694"/>
    <cellStyle name="Comma 3 5 2 9 4 2 2" xfId="23661"/>
    <cellStyle name="Comma 3 5 2 9 4 2 3" xfId="30628"/>
    <cellStyle name="Comma 3 5 2 9 4 2 4" xfId="37597"/>
    <cellStyle name="Comma 3 5 2 9 4 3" xfId="12052"/>
    <cellStyle name="Comma 3 5 2 9 4 4" xfId="19019"/>
    <cellStyle name="Comma 3 5 2 9 4 5" xfId="25986"/>
    <cellStyle name="Comma 3 5 2 9 4 6" xfId="32954"/>
    <cellStyle name="Comma 3 5 2 9 5" xfId="14374"/>
    <cellStyle name="Comma 3 5 2 9 5 2" xfId="21341"/>
    <cellStyle name="Comma 3 5 2 9 5 3" xfId="28308"/>
    <cellStyle name="Comma 3 5 2 9 5 4" xfId="35277"/>
    <cellStyle name="Comma 3 5 3" xfId="406"/>
    <cellStyle name="Comma 3 5 4" xfId="407"/>
    <cellStyle name="Comma 3 5 4 2" xfId="408"/>
    <cellStyle name="Comma 3 5 4 2 2" xfId="409"/>
    <cellStyle name="Comma 3 5 4 2 3" xfId="410"/>
    <cellStyle name="Comma 3 5 4 3" xfId="411"/>
    <cellStyle name="Comma 3 5 4 4" xfId="412"/>
    <cellStyle name="Comma 3 5 4 4 2" xfId="413"/>
    <cellStyle name="Comma 3 5 4 4 3" xfId="414"/>
    <cellStyle name="Comma 3 5 4 4 3 2" xfId="415"/>
    <cellStyle name="Comma 3 5 4 4 4" xfId="416"/>
    <cellStyle name="Comma 3 5 4 4 4 2" xfId="417"/>
    <cellStyle name="Comma 3 5 4 4 5" xfId="418"/>
    <cellStyle name="Comma 3 5 4 4 5 2" xfId="419"/>
    <cellStyle name="Comma 3 5 4 5" xfId="3176"/>
    <cellStyle name="Comma 3 5 4 5 2" xfId="6698"/>
    <cellStyle name="Comma 3 5 4 5 3" xfId="8836"/>
    <cellStyle name="Comma 3 5 5" xfId="420"/>
    <cellStyle name="Comma 3 5 5 2" xfId="421"/>
    <cellStyle name="Comma 3 5 5 3" xfId="422"/>
    <cellStyle name="Comma 3 5 5 3 2" xfId="423"/>
    <cellStyle name="Comma 3 5 6" xfId="424"/>
    <cellStyle name="Comma 3 5 6 2" xfId="425"/>
    <cellStyle name="Comma 3 5 6 3" xfId="426"/>
    <cellStyle name="Comma 3 5 7" xfId="427"/>
    <cellStyle name="Comma 3 5 7 2" xfId="428"/>
    <cellStyle name="Comma 3 5 8" xfId="429"/>
    <cellStyle name="Comma 3 5 8 2" xfId="3178"/>
    <cellStyle name="Comma 3 5 8 3" xfId="3177"/>
    <cellStyle name="Comma 3 5 9" xfId="430"/>
    <cellStyle name="Comma 3 5 9 2" xfId="3179"/>
    <cellStyle name="Comma 3 5 9 3" xfId="4279"/>
    <cellStyle name="Comma 3 6" xfId="431"/>
    <cellStyle name="Comma 3 7" xfId="3180"/>
    <cellStyle name="Comma 3 7 2" xfId="4280"/>
    <cellStyle name="Comma 3 8" xfId="4084"/>
    <cellStyle name="Comma 3 8 2" xfId="6641"/>
    <cellStyle name="Comma 3 8 2 2" xfId="10713"/>
    <cellStyle name="Comma 3 8 2 2 2" xfId="17691"/>
    <cellStyle name="Comma 3 8 2 2 3" xfId="24658"/>
    <cellStyle name="Comma 3 8 2 2 4" xfId="31625"/>
    <cellStyle name="Comma 3 8 2 2 5" xfId="38594"/>
    <cellStyle name="Comma 3 8 2 3" xfId="15371"/>
    <cellStyle name="Comma 3 8 2 3 2" xfId="22338"/>
    <cellStyle name="Comma 3 8 2 3 3" xfId="29305"/>
    <cellStyle name="Comma 3 8 2 3 4" xfId="36274"/>
    <cellStyle name="Comma 3 8 2 4" xfId="13049"/>
    <cellStyle name="Comma 3 8 2 5" xfId="20016"/>
    <cellStyle name="Comma 3 8 2 6" xfId="26983"/>
    <cellStyle name="Comma 3 8 2 7" xfId="33952"/>
    <cellStyle name="Comma 3 8 3" xfId="9687"/>
    <cellStyle name="Comma 3 8 3 2" xfId="16708"/>
    <cellStyle name="Comma 3 8 3 3" xfId="23675"/>
    <cellStyle name="Comma 3 8 3 4" xfId="30642"/>
    <cellStyle name="Comma 3 8 3 5" xfId="37611"/>
    <cellStyle name="Comma 3 8 4" xfId="14388"/>
    <cellStyle name="Comma 3 8 4 2" xfId="21355"/>
    <cellStyle name="Comma 3 8 4 3" xfId="28322"/>
    <cellStyle name="Comma 3 8 4 4" xfId="35291"/>
    <cellStyle name="Comma 3 8 5" xfId="12066"/>
    <cellStyle name="Comma 3 8 6" xfId="19033"/>
    <cellStyle name="Comma 3 8 7" xfId="26000"/>
    <cellStyle name="Comma 3 8 8" xfId="32968"/>
    <cellStyle name="Comma 3 9" xfId="7393"/>
    <cellStyle name="Comma 30" xfId="432"/>
    <cellStyle name="Comma 30 2" xfId="433"/>
    <cellStyle name="Comma 30 2 2" xfId="3182"/>
    <cellStyle name="Comma 30 2 2 2" xfId="4283"/>
    <cellStyle name="Comma 30 2 2 3" xfId="8838"/>
    <cellStyle name="Comma 30 2 3" xfId="4282"/>
    <cellStyle name="Comma 30 2 3 2" xfId="9705"/>
    <cellStyle name="Comma 30 2 4" xfId="7397"/>
    <cellStyle name="Comma 30 3" xfId="3181"/>
    <cellStyle name="Comma 30 3 2" xfId="4284"/>
    <cellStyle name="Comma 30 3 3" xfId="8837"/>
    <cellStyle name="Comma 30 4" xfId="4281"/>
    <cellStyle name="Comma 30 4 2" xfId="9704"/>
    <cellStyle name="Comma 30 5" xfId="7396"/>
    <cellStyle name="Comma 31" xfId="434"/>
    <cellStyle name="Comma 31 2" xfId="3183"/>
    <cellStyle name="Comma 31 2 2" xfId="4286"/>
    <cellStyle name="Comma 31 2 3" xfId="8839"/>
    <cellStyle name="Comma 31 3" xfId="4287"/>
    <cellStyle name="Comma 31 3 2" xfId="9706"/>
    <cellStyle name="Comma 31 4" xfId="4285"/>
    <cellStyle name="Comma 31 5" xfId="7398"/>
    <cellStyle name="Comma 32" xfId="3584"/>
    <cellStyle name="Comma 32 2" xfId="3589"/>
    <cellStyle name="Comma 32 3" xfId="4288"/>
    <cellStyle name="Comma 32 3 2" xfId="9707"/>
    <cellStyle name="Comma 32 3 2 2" xfId="16717"/>
    <cellStyle name="Comma 32 3 2 3" xfId="23684"/>
    <cellStyle name="Comma 32 3 2 4" xfId="30651"/>
    <cellStyle name="Comma 32 3 2 5" xfId="37620"/>
    <cellStyle name="Comma 32 3 3" xfId="14397"/>
    <cellStyle name="Comma 32 3 3 2" xfId="21364"/>
    <cellStyle name="Comma 32 3 3 3" xfId="28331"/>
    <cellStyle name="Comma 32 3 3 4" xfId="35300"/>
    <cellStyle name="Comma 32 3 4" xfId="12075"/>
    <cellStyle name="Comma 32 3 5" xfId="19042"/>
    <cellStyle name="Comma 32 3 6" xfId="26009"/>
    <cellStyle name="Comma 32 3 7" xfId="32977"/>
    <cellStyle name="Comma 32 4" xfId="9196"/>
    <cellStyle name="Comma 32 4 2" xfId="16235"/>
    <cellStyle name="Comma 32 4 2 2" xfId="23202"/>
    <cellStyle name="Comma 32 4 2 3" xfId="30169"/>
    <cellStyle name="Comma 32 4 2 4" xfId="37138"/>
    <cellStyle name="Comma 32 4 3" xfId="11593"/>
    <cellStyle name="Comma 32 4 4" xfId="18560"/>
    <cellStyle name="Comma 32 4 5" xfId="25527"/>
    <cellStyle name="Comma 32 4 6" xfId="32495"/>
    <cellStyle name="Comma 32 5" xfId="13915"/>
    <cellStyle name="Comma 32 5 2" xfId="20882"/>
    <cellStyle name="Comma 32 5 3" xfId="27849"/>
    <cellStyle name="Comma 32 5 4" xfId="34818"/>
    <cellStyle name="Comma 33" xfId="31811"/>
    <cellStyle name="Comma 34" xfId="38780"/>
    <cellStyle name="Comma 4" xfId="435"/>
    <cellStyle name="Comma 4 2" xfId="436"/>
    <cellStyle name="Comma 4 2 2" xfId="437"/>
    <cellStyle name="Comma 4 2 2 2" xfId="438"/>
    <cellStyle name="Comma 4 2 2 2 2" xfId="4291"/>
    <cellStyle name="Comma 4 2 2 2 3" xfId="7401"/>
    <cellStyle name="Comma 4 2 2 3" xfId="4290"/>
    <cellStyle name="Comma 4 2 2 4" xfId="7400"/>
    <cellStyle name="Comma 4 2 3" xfId="439"/>
    <cellStyle name="Comma 4 2 4" xfId="4289"/>
    <cellStyle name="Comma 4 3" xfId="440"/>
    <cellStyle name="Comma 4 3 2" xfId="441"/>
    <cellStyle name="Comma 4 3 3" xfId="4292"/>
    <cellStyle name="Comma 4 3 3 2" xfId="9708"/>
    <cellStyle name="Comma 4 3 4" xfId="6699"/>
    <cellStyle name="Comma 4 3 5" xfId="7402"/>
    <cellStyle name="Comma 4 4" xfId="442"/>
    <cellStyle name="Comma 4 4 2" xfId="443"/>
    <cellStyle name="Comma 4 4 3" xfId="444"/>
    <cellStyle name="Comma 4 4 4" xfId="6700"/>
    <cellStyle name="Comma 4 5" xfId="4085"/>
    <cellStyle name="Comma 4 6" xfId="7399"/>
    <cellStyle name="Comma 5" xfId="3184"/>
    <cellStyle name="Comma 5 2" xfId="445"/>
    <cellStyle name="Comma 5 2 2" xfId="446"/>
    <cellStyle name="Comma 5 2 2 2" xfId="4294"/>
    <cellStyle name="Comma 5 2 2 3" xfId="7404"/>
    <cellStyle name="Comma 5 2 3" xfId="447"/>
    <cellStyle name="Comma 5 2 3 2" xfId="448"/>
    <cellStyle name="Comma 5 2 3 2 2" xfId="4296"/>
    <cellStyle name="Comma 5 2 3 2 3" xfId="7406"/>
    <cellStyle name="Comma 5 2 3 3" xfId="449"/>
    <cellStyle name="Comma 5 2 3 3 2" xfId="450"/>
    <cellStyle name="Comma 5 2 3 3 2 2" xfId="4298"/>
    <cellStyle name="Comma 5 2 3 3 2 3" xfId="7408"/>
    <cellStyle name="Comma 5 2 3 3 3" xfId="451"/>
    <cellStyle name="Comma 5 2 3 3 3 2" xfId="452"/>
    <cellStyle name="Comma 5 2 3 3 3 2 2" xfId="4300"/>
    <cellStyle name="Comma 5 2 3 3 3 2 3" xfId="7410"/>
    <cellStyle name="Comma 5 2 3 3 3 3" xfId="4299"/>
    <cellStyle name="Comma 5 2 3 3 3 4" xfId="7409"/>
    <cellStyle name="Comma 5 2 3 3 4" xfId="453"/>
    <cellStyle name="Comma 5 2 3 3 4 2" xfId="454"/>
    <cellStyle name="Comma 5 2 3 3 4 2 2" xfId="4302"/>
    <cellStyle name="Comma 5 2 3 3 4 2 3" xfId="7412"/>
    <cellStyle name="Comma 5 2 3 3 4 3" xfId="455"/>
    <cellStyle name="Comma 5 2 3 3 4 3 2" xfId="4303"/>
    <cellStyle name="Comma 5 2 3 3 4 3 3" xfId="7413"/>
    <cellStyle name="Comma 5 2 3 3 4 4" xfId="456"/>
    <cellStyle name="Comma 5 2 3 3 4 4 2" xfId="457"/>
    <cellStyle name="Comma 5 2 3 3 4 4 2 2" xfId="458"/>
    <cellStyle name="Comma 5 2 3 3 4 4 2 2 2" xfId="4306"/>
    <cellStyle name="Comma 5 2 3 3 4 4 2 2 3" xfId="7416"/>
    <cellStyle name="Comma 5 2 3 3 4 4 2 3" xfId="459"/>
    <cellStyle name="Comma 5 2 3 3 4 4 2 3 2" xfId="460"/>
    <cellStyle name="Comma 5 2 3 3 4 4 2 3 2 2" xfId="4308"/>
    <cellStyle name="Comma 5 2 3 3 4 4 2 3 2 3" xfId="7418"/>
    <cellStyle name="Comma 5 2 3 3 4 4 2 3 3" xfId="461"/>
    <cellStyle name="Comma 5 2 3 3 4 4 2 3 3 2" xfId="462"/>
    <cellStyle name="Comma 5 2 3 3 4 4 2 3 3 2 2" xfId="4310"/>
    <cellStyle name="Comma 5 2 3 3 4 4 2 3 3 2 3" xfId="7420"/>
    <cellStyle name="Comma 5 2 3 3 4 4 2 3 3 3" xfId="463"/>
    <cellStyle name="Comma 5 2 3 3 4 4 2 3 3 3 2" xfId="4311"/>
    <cellStyle name="Comma 5 2 3 3 4 4 2 3 3 3 3" xfId="7421"/>
    <cellStyle name="Comma 5 2 3 3 4 4 2 3 3 4" xfId="464"/>
    <cellStyle name="Comma 5 2 3 3 4 4 2 3 3 4 2" xfId="465"/>
    <cellStyle name="Comma 5 2 3 3 4 4 2 3 3 4 2 2" xfId="4313"/>
    <cellStyle name="Comma 5 2 3 3 4 4 2 3 3 4 2 3" xfId="7423"/>
    <cellStyle name="Comma 5 2 3 3 4 4 2 3 3 4 3" xfId="466"/>
    <cellStyle name="Comma 5 2 3 3 4 4 2 3 3 4 3 2" xfId="4314"/>
    <cellStyle name="Comma 5 2 3 3 4 4 2 3 3 4 3 3" xfId="7424"/>
    <cellStyle name="Comma 5 2 3 3 4 4 2 3 3 4 4" xfId="4312"/>
    <cellStyle name="Comma 5 2 3 3 4 4 2 3 3 4 5" xfId="7422"/>
    <cellStyle name="Comma 5 2 3 3 4 4 2 3 3 5" xfId="4309"/>
    <cellStyle name="Comma 5 2 3 3 4 4 2 3 3 6" xfId="7419"/>
    <cellStyle name="Comma 5 2 3 3 4 4 2 3 4" xfId="4307"/>
    <cellStyle name="Comma 5 2 3 3 4 4 2 3 5" xfId="7417"/>
    <cellStyle name="Comma 5 2 3 3 4 4 2 4" xfId="4305"/>
    <cellStyle name="Comma 5 2 3 3 4 4 2 5" xfId="7415"/>
    <cellStyle name="Comma 5 2 3 3 4 4 3" xfId="467"/>
    <cellStyle name="Comma 5 2 3 3 4 4 3 2" xfId="4315"/>
    <cellStyle name="Comma 5 2 3 3 4 4 3 3" xfId="7425"/>
    <cellStyle name="Comma 5 2 3 3 4 4 4" xfId="468"/>
    <cellStyle name="Comma 5 2 3 3 4 4 4 2" xfId="469"/>
    <cellStyle name="Comma 5 2 3 3 4 4 4 2 2" xfId="4317"/>
    <cellStyle name="Comma 5 2 3 3 4 4 4 2 3" xfId="7427"/>
    <cellStyle name="Comma 5 2 3 3 4 4 4 3" xfId="470"/>
    <cellStyle name="Comma 5 2 3 3 4 4 4 3 2" xfId="471"/>
    <cellStyle name="Comma 5 2 3 3 4 4 4 3 2 2" xfId="4319"/>
    <cellStyle name="Comma 5 2 3 3 4 4 4 3 2 3" xfId="7429"/>
    <cellStyle name="Comma 5 2 3 3 4 4 4 3 3" xfId="472"/>
    <cellStyle name="Comma 5 2 3 3 4 4 4 3 3 2" xfId="4320"/>
    <cellStyle name="Comma 5 2 3 3 4 4 4 3 3 3" xfId="7430"/>
    <cellStyle name="Comma 5 2 3 3 4 4 4 3 4" xfId="473"/>
    <cellStyle name="Comma 5 2 3 3 4 4 4 3 4 2" xfId="474"/>
    <cellStyle name="Comma 5 2 3 3 4 4 4 3 4 2 2" xfId="4322"/>
    <cellStyle name="Comma 5 2 3 3 4 4 4 3 4 2 3" xfId="7432"/>
    <cellStyle name="Comma 5 2 3 3 4 4 4 3 4 3" xfId="475"/>
    <cellStyle name="Comma 5 2 3 3 4 4 4 3 4 3 2" xfId="4323"/>
    <cellStyle name="Comma 5 2 3 3 4 4 4 3 4 3 3" xfId="7433"/>
    <cellStyle name="Comma 5 2 3 3 4 4 4 3 4 4" xfId="4321"/>
    <cellStyle name="Comma 5 2 3 3 4 4 4 3 4 5" xfId="7431"/>
    <cellStyle name="Comma 5 2 3 3 4 4 4 3 5" xfId="4318"/>
    <cellStyle name="Comma 5 2 3 3 4 4 4 3 6" xfId="7428"/>
    <cellStyle name="Comma 5 2 3 3 4 4 4 4" xfId="4316"/>
    <cellStyle name="Comma 5 2 3 3 4 4 4 5" xfId="7426"/>
    <cellStyle name="Comma 5 2 3 3 4 4 5" xfId="4304"/>
    <cellStyle name="Comma 5 2 3 3 4 4 6" xfId="7414"/>
    <cellStyle name="Comma 5 2 3 3 4 5" xfId="4301"/>
    <cellStyle name="Comma 5 2 3 3 4 6" xfId="7411"/>
    <cellStyle name="Comma 5 2 3 3 5" xfId="4297"/>
    <cellStyle name="Comma 5 2 3 3 6" xfId="7407"/>
    <cellStyle name="Comma 5 2 3 4" xfId="476"/>
    <cellStyle name="Comma 5 2 3 4 2" xfId="477"/>
    <cellStyle name="Comma 5 2 3 4 2 2" xfId="4325"/>
    <cellStyle name="Comma 5 2 3 4 2 3" xfId="7435"/>
    <cellStyle name="Comma 5 2 3 4 3" xfId="4324"/>
    <cellStyle name="Comma 5 2 3 4 4" xfId="7434"/>
    <cellStyle name="Comma 5 2 3 5" xfId="478"/>
    <cellStyle name="Comma 5 2 3 5 2" xfId="479"/>
    <cellStyle name="Comma 5 2 3 5 2 2" xfId="4327"/>
    <cellStyle name="Comma 5 2 3 5 2 3" xfId="7437"/>
    <cellStyle name="Comma 5 2 3 5 3" xfId="480"/>
    <cellStyle name="Comma 5 2 3 5 3 2" xfId="4328"/>
    <cellStyle name="Comma 5 2 3 5 3 3" xfId="7438"/>
    <cellStyle name="Comma 5 2 3 5 4" xfId="481"/>
    <cellStyle name="Comma 5 2 3 5 4 2" xfId="482"/>
    <cellStyle name="Comma 5 2 3 5 4 2 2" xfId="483"/>
    <cellStyle name="Comma 5 2 3 5 4 2 2 2" xfId="4331"/>
    <cellStyle name="Comma 5 2 3 5 4 2 2 3" xfId="7441"/>
    <cellStyle name="Comma 5 2 3 5 4 2 3" xfId="484"/>
    <cellStyle name="Comma 5 2 3 5 4 2 3 2" xfId="485"/>
    <cellStyle name="Comma 5 2 3 5 4 2 3 2 2" xfId="4333"/>
    <cellStyle name="Comma 5 2 3 5 4 2 3 2 3" xfId="7443"/>
    <cellStyle name="Comma 5 2 3 5 4 2 3 3" xfId="486"/>
    <cellStyle name="Comma 5 2 3 5 4 2 3 3 2" xfId="487"/>
    <cellStyle name="Comma 5 2 3 5 4 2 3 3 2 2" xfId="4335"/>
    <cellStyle name="Comma 5 2 3 5 4 2 3 3 2 3" xfId="7445"/>
    <cellStyle name="Comma 5 2 3 5 4 2 3 3 3" xfId="488"/>
    <cellStyle name="Comma 5 2 3 5 4 2 3 3 3 2" xfId="4336"/>
    <cellStyle name="Comma 5 2 3 5 4 2 3 3 3 3" xfId="7446"/>
    <cellStyle name="Comma 5 2 3 5 4 2 3 3 4" xfId="489"/>
    <cellStyle name="Comma 5 2 3 5 4 2 3 3 4 2" xfId="490"/>
    <cellStyle name="Comma 5 2 3 5 4 2 3 3 4 2 2" xfId="4338"/>
    <cellStyle name="Comma 5 2 3 5 4 2 3 3 4 2 3" xfId="7448"/>
    <cellStyle name="Comma 5 2 3 5 4 2 3 3 4 3" xfId="491"/>
    <cellStyle name="Comma 5 2 3 5 4 2 3 3 4 3 2" xfId="4339"/>
    <cellStyle name="Comma 5 2 3 5 4 2 3 3 4 3 3" xfId="7449"/>
    <cellStyle name="Comma 5 2 3 5 4 2 3 3 4 4" xfId="4337"/>
    <cellStyle name="Comma 5 2 3 5 4 2 3 3 4 5" xfId="7447"/>
    <cellStyle name="Comma 5 2 3 5 4 2 3 3 5" xfId="4334"/>
    <cellStyle name="Comma 5 2 3 5 4 2 3 3 6" xfId="7444"/>
    <cellStyle name="Comma 5 2 3 5 4 2 3 4" xfId="4332"/>
    <cellStyle name="Comma 5 2 3 5 4 2 3 5" xfId="7442"/>
    <cellStyle name="Comma 5 2 3 5 4 2 4" xfId="4330"/>
    <cellStyle name="Comma 5 2 3 5 4 2 5" xfId="7440"/>
    <cellStyle name="Comma 5 2 3 5 4 3" xfId="492"/>
    <cellStyle name="Comma 5 2 3 5 4 3 2" xfId="4340"/>
    <cellStyle name="Comma 5 2 3 5 4 3 3" xfId="7450"/>
    <cellStyle name="Comma 5 2 3 5 4 4" xfId="493"/>
    <cellStyle name="Comma 5 2 3 5 4 4 2" xfId="494"/>
    <cellStyle name="Comma 5 2 3 5 4 4 2 2" xfId="4342"/>
    <cellStyle name="Comma 5 2 3 5 4 4 2 3" xfId="7452"/>
    <cellStyle name="Comma 5 2 3 5 4 4 3" xfId="495"/>
    <cellStyle name="Comma 5 2 3 5 4 4 3 2" xfId="496"/>
    <cellStyle name="Comma 5 2 3 5 4 4 3 2 2" xfId="4344"/>
    <cellStyle name="Comma 5 2 3 5 4 4 3 2 3" xfId="7454"/>
    <cellStyle name="Comma 5 2 3 5 4 4 3 3" xfId="497"/>
    <cellStyle name="Comma 5 2 3 5 4 4 3 3 2" xfId="4345"/>
    <cellStyle name="Comma 5 2 3 5 4 4 3 3 3" xfId="7455"/>
    <cellStyle name="Comma 5 2 3 5 4 4 3 4" xfId="498"/>
    <cellStyle name="Comma 5 2 3 5 4 4 3 4 2" xfId="499"/>
    <cellStyle name="Comma 5 2 3 5 4 4 3 4 2 2" xfId="4347"/>
    <cellStyle name="Comma 5 2 3 5 4 4 3 4 2 3" xfId="7457"/>
    <cellStyle name="Comma 5 2 3 5 4 4 3 4 3" xfId="500"/>
    <cellStyle name="Comma 5 2 3 5 4 4 3 4 3 2" xfId="4348"/>
    <cellStyle name="Comma 5 2 3 5 4 4 3 4 3 3" xfId="7458"/>
    <cellStyle name="Comma 5 2 3 5 4 4 3 4 4" xfId="4346"/>
    <cellStyle name="Comma 5 2 3 5 4 4 3 4 5" xfId="7456"/>
    <cellStyle name="Comma 5 2 3 5 4 4 3 5" xfId="4343"/>
    <cellStyle name="Comma 5 2 3 5 4 4 3 6" xfId="7453"/>
    <cellStyle name="Comma 5 2 3 5 4 4 4" xfId="4341"/>
    <cellStyle name="Comma 5 2 3 5 4 4 5" xfId="7451"/>
    <cellStyle name="Comma 5 2 3 5 4 5" xfId="4329"/>
    <cellStyle name="Comma 5 2 3 5 4 6" xfId="7439"/>
    <cellStyle name="Comma 5 2 3 5 5" xfId="4326"/>
    <cellStyle name="Comma 5 2 3 5 6" xfId="7436"/>
    <cellStyle name="Comma 5 2 3 6" xfId="4295"/>
    <cellStyle name="Comma 5 2 3 7" xfId="7405"/>
    <cellStyle name="Comma 5 2 4" xfId="501"/>
    <cellStyle name="Comma 5 2 4 2" xfId="502"/>
    <cellStyle name="Comma 5 2 4 2 2" xfId="4350"/>
    <cellStyle name="Comma 5 2 4 2 3" xfId="7460"/>
    <cellStyle name="Comma 5 2 4 3" xfId="503"/>
    <cellStyle name="Comma 5 2 4 3 2" xfId="504"/>
    <cellStyle name="Comma 5 2 4 3 2 2" xfId="4352"/>
    <cellStyle name="Comma 5 2 4 3 2 3" xfId="7462"/>
    <cellStyle name="Comma 5 2 4 3 3" xfId="4351"/>
    <cellStyle name="Comma 5 2 4 3 4" xfId="7461"/>
    <cellStyle name="Comma 5 2 4 4" xfId="505"/>
    <cellStyle name="Comma 5 2 4 4 2" xfId="506"/>
    <cellStyle name="Comma 5 2 4 4 2 2" xfId="4354"/>
    <cellStyle name="Comma 5 2 4 4 2 3" xfId="7464"/>
    <cellStyle name="Comma 5 2 4 4 3" xfId="507"/>
    <cellStyle name="Comma 5 2 4 4 3 2" xfId="4355"/>
    <cellStyle name="Comma 5 2 4 4 3 3" xfId="7465"/>
    <cellStyle name="Comma 5 2 4 4 4" xfId="508"/>
    <cellStyle name="Comma 5 2 4 4 4 2" xfId="509"/>
    <cellStyle name="Comma 5 2 4 4 4 2 2" xfId="510"/>
    <cellStyle name="Comma 5 2 4 4 4 2 2 2" xfId="4358"/>
    <cellStyle name="Comma 5 2 4 4 4 2 2 3" xfId="7468"/>
    <cellStyle name="Comma 5 2 4 4 4 2 3" xfId="511"/>
    <cellStyle name="Comma 5 2 4 4 4 2 3 2" xfId="512"/>
    <cellStyle name="Comma 5 2 4 4 4 2 3 2 2" xfId="4360"/>
    <cellStyle name="Comma 5 2 4 4 4 2 3 2 3" xfId="7470"/>
    <cellStyle name="Comma 5 2 4 4 4 2 3 3" xfId="513"/>
    <cellStyle name="Comma 5 2 4 4 4 2 3 3 2" xfId="514"/>
    <cellStyle name="Comma 5 2 4 4 4 2 3 3 2 2" xfId="4362"/>
    <cellStyle name="Comma 5 2 4 4 4 2 3 3 2 3" xfId="7472"/>
    <cellStyle name="Comma 5 2 4 4 4 2 3 3 3" xfId="515"/>
    <cellStyle name="Comma 5 2 4 4 4 2 3 3 3 2" xfId="4363"/>
    <cellStyle name="Comma 5 2 4 4 4 2 3 3 3 3" xfId="7473"/>
    <cellStyle name="Comma 5 2 4 4 4 2 3 3 4" xfId="516"/>
    <cellStyle name="Comma 5 2 4 4 4 2 3 3 4 2" xfId="517"/>
    <cellStyle name="Comma 5 2 4 4 4 2 3 3 4 2 2" xfId="4365"/>
    <cellStyle name="Comma 5 2 4 4 4 2 3 3 4 2 3" xfId="7475"/>
    <cellStyle name="Comma 5 2 4 4 4 2 3 3 4 3" xfId="518"/>
    <cellStyle name="Comma 5 2 4 4 4 2 3 3 4 3 2" xfId="4366"/>
    <cellStyle name="Comma 5 2 4 4 4 2 3 3 4 3 3" xfId="7476"/>
    <cellStyle name="Comma 5 2 4 4 4 2 3 3 4 4" xfId="4364"/>
    <cellStyle name="Comma 5 2 4 4 4 2 3 3 4 5" xfId="7474"/>
    <cellStyle name="Comma 5 2 4 4 4 2 3 3 5" xfId="4361"/>
    <cellStyle name="Comma 5 2 4 4 4 2 3 3 6" xfId="7471"/>
    <cellStyle name="Comma 5 2 4 4 4 2 3 4" xfId="4359"/>
    <cellStyle name="Comma 5 2 4 4 4 2 3 5" xfId="7469"/>
    <cellStyle name="Comma 5 2 4 4 4 2 4" xfId="4357"/>
    <cellStyle name="Comma 5 2 4 4 4 2 5" xfId="7467"/>
    <cellStyle name="Comma 5 2 4 4 4 3" xfId="519"/>
    <cellStyle name="Comma 5 2 4 4 4 3 2" xfId="4367"/>
    <cellStyle name="Comma 5 2 4 4 4 3 3" xfId="7477"/>
    <cellStyle name="Comma 5 2 4 4 4 4" xfId="520"/>
    <cellStyle name="Comma 5 2 4 4 4 4 2" xfId="521"/>
    <cellStyle name="Comma 5 2 4 4 4 4 2 2" xfId="4369"/>
    <cellStyle name="Comma 5 2 4 4 4 4 2 3" xfId="7479"/>
    <cellStyle name="Comma 5 2 4 4 4 4 3" xfId="522"/>
    <cellStyle name="Comma 5 2 4 4 4 4 3 2" xfId="523"/>
    <cellStyle name="Comma 5 2 4 4 4 4 3 2 2" xfId="4371"/>
    <cellStyle name="Comma 5 2 4 4 4 4 3 2 3" xfId="7481"/>
    <cellStyle name="Comma 5 2 4 4 4 4 3 3" xfId="524"/>
    <cellStyle name="Comma 5 2 4 4 4 4 3 3 2" xfId="4372"/>
    <cellStyle name="Comma 5 2 4 4 4 4 3 3 3" xfId="7482"/>
    <cellStyle name="Comma 5 2 4 4 4 4 3 4" xfId="525"/>
    <cellStyle name="Comma 5 2 4 4 4 4 3 4 2" xfId="526"/>
    <cellStyle name="Comma 5 2 4 4 4 4 3 4 2 2" xfId="4374"/>
    <cellStyle name="Comma 5 2 4 4 4 4 3 4 2 3" xfId="7484"/>
    <cellStyle name="Comma 5 2 4 4 4 4 3 4 3" xfId="527"/>
    <cellStyle name="Comma 5 2 4 4 4 4 3 4 3 2" xfId="4375"/>
    <cellStyle name="Comma 5 2 4 4 4 4 3 4 3 3" xfId="7485"/>
    <cellStyle name="Comma 5 2 4 4 4 4 3 4 4" xfId="4373"/>
    <cellStyle name="Comma 5 2 4 4 4 4 3 4 5" xfId="7483"/>
    <cellStyle name="Comma 5 2 4 4 4 4 3 5" xfId="4370"/>
    <cellStyle name="Comma 5 2 4 4 4 4 3 6" xfId="7480"/>
    <cellStyle name="Comma 5 2 4 4 4 4 4" xfId="4368"/>
    <cellStyle name="Comma 5 2 4 4 4 4 5" xfId="7478"/>
    <cellStyle name="Comma 5 2 4 4 4 5" xfId="4356"/>
    <cellStyle name="Comma 5 2 4 4 4 6" xfId="7466"/>
    <cellStyle name="Comma 5 2 4 4 5" xfId="4353"/>
    <cellStyle name="Comma 5 2 4 4 6" xfId="7463"/>
    <cellStyle name="Comma 5 2 4 5" xfId="4349"/>
    <cellStyle name="Comma 5 2 4 6" xfId="7459"/>
    <cellStyle name="Comma 5 2 5" xfId="528"/>
    <cellStyle name="Comma 5 2 5 2" xfId="529"/>
    <cellStyle name="Comma 5 2 5 2 2" xfId="4377"/>
    <cellStyle name="Comma 5 2 5 2 3" xfId="7487"/>
    <cellStyle name="Comma 5 2 5 3" xfId="4376"/>
    <cellStyle name="Comma 5 2 5 4" xfId="7486"/>
    <cellStyle name="Comma 5 2 6" xfId="530"/>
    <cellStyle name="Comma 5 2 6 2" xfId="531"/>
    <cellStyle name="Comma 5 2 6 2 2" xfId="4379"/>
    <cellStyle name="Comma 5 2 6 2 3" xfId="7489"/>
    <cellStyle name="Comma 5 2 6 3" xfId="532"/>
    <cellStyle name="Comma 5 2 6 3 2" xfId="4380"/>
    <cellStyle name="Comma 5 2 6 3 3" xfId="7490"/>
    <cellStyle name="Comma 5 2 6 4" xfId="533"/>
    <cellStyle name="Comma 5 2 6 4 2" xfId="534"/>
    <cellStyle name="Comma 5 2 6 4 2 2" xfId="535"/>
    <cellStyle name="Comma 5 2 6 4 2 2 2" xfId="4383"/>
    <cellStyle name="Comma 5 2 6 4 2 2 3" xfId="7493"/>
    <cellStyle name="Comma 5 2 6 4 2 3" xfId="536"/>
    <cellStyle name="Comma 5 2 6 4 2 3 2" xfId="537"/>
    <cellStyle name="Comma 5 2 6 4 2 3 2 2" xfId="4385"/>
    <cellStyle name="Comma 5 2 6 4 2 3 2 3" xfId="7495"/>
    <cellStyle name="Comma 5 2 6 4 2 3 3" xfId="538"/>
    <cellStyle name="Comma 5 2 6 4 2 3 3 2" xfId="539"/>
    <cellStyle name="Comma 5 2 6 4 2 3 3 2 2" xfId="4387"/>
    <cellStyle name="Comma 5 2 6 4 2 3 3 2 3" xfId="7497"/>
    <cellStyle name="Comma 5 2 6 4 2 3 3 3" xfId="540"/>
    <cellStyle name="Comma 5 2 6 4 2 3 3 3 2" xfId="4388"/>
    <cellStyle name="Comma 5 2 6 4 2 3 3 3 3" xfId="7498"/>
    <cellStyle name="Comma 5 2 6 4 2 3 3 4" xfId="541"/>
    <cellStyle name="Comma 5 2 6 4 2 3 3 4 2" xfId="542"/>
    <cellStyle name="Comma 5 2 6 4 2 3 3 4 2 2" xfId="4390"/>
    <cellStyle name="Comma 5 2 6 4 2 3 3 4 2 3" xfId="7500"/>
    <cellStyle name="Comma 5 2 6 4 2 3 3 4 3" xfId="543"/>
    <cellStyle name="Comma 5 2 6 4 2 3 3 4 3 2" xfId="4391"/>
    <cellStyle name="Comma 5 2 6 4 2 3 3 4 3 3" xfId="7501"/>
    <cellStyle name="Comma 5 2 6 4 2 3 3 4 4" xfId="4389"/>
    <cellStyle name="Comma 5 2 6 4 2 3 3 4 5" xfId="7499"/>
    <cellStyle name="Comma 5 2 6 4 2 3 3 5" xfId="4386"/>
    <cellStyle name="Comma 5 2 6 4 2 3 3 6" xfId="7496"/>
    <cellStyle name="Comma 5 2 6 4 2 3 4" xfId="4384"/>
    <cellStyle name="Comma 5 2 6 4 2 3 5" xfId="7494"/>
    <cellStyle name="Comma 5 2 6 4 2 4" xfId="4382"/>
    <cellStyle name="Comma 5 2 6 4 2 5" xfId="7492"/>
    <cellStyle name="Comma 5 2 6 4 3" xfId="544"/>
    <cellStyle name="Comma 5 2 6 4 3 2" xfId="4392"/>
    <cellStyle name="Comma 5 2 6 4 3 3" xfId="7502"/>
    <cellStyle name="Comma 5 2 6 4 4" xfId="545"/>
    <cellStyle name="Comma 5 2 6 4 4 2" xfId="546"/>
    <cellStyle name="Comma 5 2 6 4 4 2 2" xfId="4394"/>
    <cellStyle name="Comma 5 2 6 4 4 2 3" xfId="7504"/>
    <cellStyle name="Comma 5 2 6 4 4 3" xfId="547"/>
    <cellStyle name="Comma 5 2 6 4 4 3 2" xfId="548"/>
    <cellStyle name="Comma 5 2 6 4 4 3 2 2" xfId="4396"/>
    <cellStyle name="Comma 5 2 6 4 4 3 2 3" xfId="7506"/>
    <cellStyle name="Comma 5 2 6 4 4 3 3" xfId="549"/>
    <cellStyle name="Comma 5 2 6 4 4 3 3 2" xfId="4397"/>
    <cellStyle name="Comma 5 2 6 4 4 3 3 3" xfId="7507"/>
    <cellStyle name="Comma 5 2 6 4 4 3 4" xfId="550"/>
    <cellStyle name="Comma 5 2 6 4 4 3 4 2" xfId="551"/>
    <cellStyle name="Comma 5 2 6 4 4 3 4 2 2" xfId="4399"/>
    <cellStyle name="Comma 5 2 6 4 4 3 4 2 3" xfId="7509"/>
    <cellStyle name="Comma 5 2 6 4 4 3 4 3" xfId="552"/>
    <cellStyle name="Comma 5 2 6 4 4 3 4 3 2" xfId="4400"/>
    <cellStyle name="Comma 5 2 6 4 4 3 4 3 3" xfId="7510"/>
    <cellStyle name="Comma 5 2 6 4 4 3 4 4" xfId="4398"/>
    <cellStyle name="Comma 5 2 6 4 4 3 4 5" xfId="7508"/>
    <cellStyle name="Comma 5 2 6 4 4 3 5" xfId="4395"/>
    <cellStyle name="Comma 5 2 6 4 4 3 6" xfId="7505"/>
    <cellStyle name="Comma 5 2 6 4 4 4" xfId="4393"/>
    <cellStyle name="Comma 5 2 6 4 4 5" xfId="7503"/>
    <cellStyle name="Comma 5 2 6 4 5" xfId="4381"/>
    <cellStyle name="Comma 5 2 6 4 6" xfId="7491"/>
    <cellStyle name="Comma 5 2 6 5" xfId="4378"/>
    <cellStyle name="Comma 5 2 6 6" xfId="7488"/>
    <cellStyle name="Comma 5 2 7" xfId="4293"/>
    <cellStyle name="Comma 5 2 8" xfId="7403"/>
    <cellStyle name="Comma 5 3" xfId="553"/>
    <cellStyle name="Comma 5 3 2" xfId="4401"/>
    <cellStyle name="Comma 5 3 3" xfId="7511"/>
    <cellStyle name="Comma 5 4" xfId="554"/>
    <cellStyle name="Comma 5 4 10" xfId="4055"/>
    <cellStyle name="Comma 5 4 10 2" xfId="4402"/>
    <cellStyle name="Comma 5 4 10 2 2" xfId="6702"/>
    <cellStyle name="Comma 5 4 10 2 3" xfId="9709"/>
    <cellStyle name="Comma 5 4 10 2 3 2" xfId="16718"/>
    <cellStyle name="Comma 5 4 10 2 3 2 2" xfId="23685"/>
    <cellStyle name="Comma 5 4 10 2 3 2 3" xfId="30652"/>
    <cellStyle name="Comma 5 4 10 2 3 2 4" xfId="37621"/>
    <cellStyle name="Comma 5 4 10 2 3 3" xfId="12076"/>
    <cellStyle name="Comma 5 4 10 2 3 4" xfId="19043"/>
    <cellStyle name="Comma 5 4 10 2 3 5" xfId="26010"/>
    <cellStyle name="Comma 5 4 10 2 3 6" xfId="32978"/>
    <cellStyle name="Comma 5 4 10 2 4" xfId="14398"/>
    <cellStyle name="Comma 5 4 10 2 4 2" xfId="21365"/>
    <cellStyle name="Comma 5 4 10 2 4 3" xfId="28332"/>
    <cellStyle name="Comma 5 4 10 2 4 4" xfId="35301"/>
    <cellStyle name="Comma 5 4 10 3" xfId="6701"/>
    <cellStyle name="Comma 5 4 10 4" xfId="9661"/>
    <cellStyle name="Comma 5 4 10 4 2" xfId="16693"/>
    <cellStyle name="Comma 5 4 10 4 2 2" xfId="23660"/>
    <cellStyle name="Comma 5 4 10 4 2 3" xfId="30627"/>
    <cellStyle name="Comma 5 4 10 4 2 4" xfId="37596"/>
    <cellStyle name="Comma 5 4 10 4 3" xfId="12051"/>
    <cellStyle name="Comma 5 4 10 4 4" xfId="19018"/>
    <cellStyle name="Comma 5 4 10 4 5" xfId="25985"/>
    <cellStyle name="Comma 5 4 10 4 6" xfId="32953"/>
    <cellStyle name="Comma 5 4 10 5" xfId="14373"/>
    <cellStyle name="Comma 5 4 10 5 2" xfId="21340"/>
    <cellStyle name="Comma 5 4 10 5 3" xfId="28307"/>
    <cellStyle name="Comma 5 4 10 5 4" xfId="35276"/>
    <cellStyle name="Comma 5 4 11" xfId="6703"/>
    <cellStyle name="Comma 5 4 2" xfId="555"/>
    <cellStyle name="Comma 5 4 2 2" xfId="556"/>
    <cellStyle name="Comma 5 4 2 2 2" xfId="557"/>
    <cellStyle name="Comma 5 4 2 2 2 2" xfId="558"/>
    <cellStyle name="Comma 5 4 2 2 2 3" xfId="559"/>
    <cellStyle name="Comma 5 4 2 2 3" xfId="560"/>
    <cellStyle name="Comma 5 4 2 2 4" xfId="561"/>
    <cellStyle name="Comma 5 4 2 2 4 2" xfId="562"/>
    <cellStyle name="Comma 5 4 2 2 4 3" xfId="563"/>
    <cellStyle name="Comma 5 4 2 2 4 3 2" xfId="564"/>
    <cellStyle name="Comma 5 4 2 2 4 4" xfId="565"/>
    <cellStyle name="Comma 5 4 2 2 4 4 2" xfId="566"/>
    <cellStyle name="Comma 5 4 2 2 4 5" xfId="567"/>
    <cellStyle name="Comma 5 4 2 2 4 5 2" xfId="568"/>
    <cellStyle name="Comma 5 4 2 2 5" xfId="3185"/>
    <cellStyle name="Comma 5 4 2 3" xfId="569"/>
    <cellStyle name="Comma 5 4 2 3 2" xfId="570"/>
    <cellStyle name="Comma 5 4 2 3 3" xfId="571"/>
    <cellStyle name="Comma 5 4 2 3 3 2" xfId="572"/>
    <cellStyle name="Comma 5 4 2 4" xfId="573"/>
    <cellStyle name="Comma 5 4 2 4 2" xfId="574"/>
    <cellStyle name="Comma 5 4 2 4 3" xfId="575"/>
    <cellStyle name="Comma 5 4 2 5" xfId="576"/>
    <cellStyle name="Comma 5 4 2 5 2" xfId="577"/>
    <cellStyle name="Comma 5 4 2 6" xfId="578"/>
    <cellStyle name="Comma 5 4 2 6 2" xfId="3186"/>
    <cellStyle name="Comma 5 4 2 6 3" xfId="4403"/>
    <cellStyle name="Comma 5 4 2 7" xfId="579"/>
    <cellStyle name="Comma 5 4 2 7 2" xfId="4404"/>
    <cellStyle name="Comma 5 4 2 8" xfId="4054"/>
    <cellStyle name="Comma 5 4 2 8 2" xfId="4405"/>
    <cellStyle name="Comma 5 4 2 8 2 2" xfId="6705"/>
    <cellStyle name="Comma 5 4 2 8 2 3" xfId="9710"/>
    <cellStyle name="Comma 5 4 2 8 2 3 2" xfId="16719"/>
    <cellStyle name="Comma 5 4 2 8 2 3 2 2" xfId="23686"/>
    <cellStyle name="Comma 5 4 2 8 2 3 2 3" xfId="30653"/>
    <cellStyle name="Comma 5 4 2 8 2 3 2 4" xfId="37622"/>
    <cellStyle name="Comma 5 4 2 8 2 3 3" xfId="12077"/>
    <cellStyle name="Comma 5 4 2 8 2 3 4" xfId="19044"/>
    <cellStyle name="Comma 5 4 2 8 2 3 5" xfId="26011"/>
    <cellStyle name="Comma 5 4 2 8 2 3 6" xfId="32979"/>
    <cellStyle name="Comma 5 4 2 8 2 4" xfId="14399"/>
    <cellStyle name="Comma 5 4 2 8 2 4 2" xfId="21366"/>
    <cellStyle name="Comma 5 4 2 8 2 4 3" xfId="28333"/>
    <cellStyle name="Comma 5 4 2 8 2 4 4" xfId="35302"/>
    <cellStyle name="Comma 5 4 2 8 3" xfId="6704"/>
    <cellStyle name="Comma 5 4 2 8 4" xfId="9660"/>
    <cellStyle name="Comma 5 4 2 8 4 2" xfId="16692"/>
    <cellStyle name="Comma 5 4 2 8 4 2 2" xfId="23659"/>
    <cellStyle name="Comma 5 4 2 8 4 2 3" xfId="30626"/>
    <cellStyle name="Comma 5 4 2 8 4 2 4" xfId="37595"/>
    <cellStyle name="Comma 5 4 2 8 4 3" xfId="12050"/>
    <cellStyle name="Comma 5 4 2 8 4 4" xfId="19017"/>
    <cellStyle name="Comma 5 4 2 8 4 5" xfId="25984"/>
    <cellStyle name="Comma 5 4 2 8 4 6" xfId="32952"/>
    <cellStyle name="Comma 5 4 2 8 5" xfId="14372"/>
    <cellStyle name="Comma 5 4 2 8 5 2" xfId="21339"/>
    <cellStyle name="Comma 5 4 2 8 5 3" xfId="28306"/>
    <cellStyle name="Comma 5 4 2 8 5 4" xfId="35275"/>
    <cellStyle name="Comma 5 4 2 9" xfId="6706"/>
    <cellStyle name="Comma 5 4 3" xfId="580"/>
    <cellStyle name="Comma 5 4 4" xfId="581"/>
    <cellStyle name="Comma 5 4 4 2" xfId="582"/>
    <cellStyle name="Comma 5 4 4 2 2" xfId="583"/>
    <cellStyle name="Comma 5 4 4 2 3" xfId="584"/>
    <cellStyle name="Comma 5 4 4 3" xfId="585"/>
    <cellStyle name="Comma 5 4 4 4" xfId="586"/>
    <cellStyle name="Comma 5 4 4 4 2" xfId="587"/>
    <cellStyle name="Comma 5 4 4 4 3" xfId="588"/>
    <cellStyle name="Comma 5 4 4 4 3 2" xfId="589"/>
    <cellStyle name="Comma 5 4 4 4 4" xfId="590"/>
    <cellStyle name="Comma 5 4 4 4 4 2" xfId="591"/>
    <cellStyle name="Comma 5 4 4 4 5" xfId="592"/>
    <cellStyle name="Comma 5 4 4 4 5 2" xfId="593"/>
    <cellStyle name="Comma 5 4 4 5" xfId="3187"/>
    <cellStyle name="Comma 5 4 5" xfId="594"/>
    <cellStyle name="Comma 5 4 6" xfId="595"/>
    <cellStyle name="Comma 5 4 6 2" xfId="596"/>
    <cellStyle name="Comma 5 4 6 3" xfId="597"/>
    <cellStyle name="Comma 5 4 7" xfId="598"/>
    <cellStyle name="Comma 5 4 7 2" xfId="599"/>
    <cellStyle name="Comma 5 4 8" xfId="600"/>
    <cellStyle name="Comma 5 4 8 2" xfId="3188"/>
    <cellStyle name="Comma 5 4 8 3" xfId="4406"/>
    <cellStyle name="Comma 5 4 9" xfId="601"/>
    <cellStyle name="Comma 5 4 9 2" xfId="4407"/>
    <cellStyle name="Comma 5 5" xfId="602"/>
    <cellStyle name="Comma 5 5 2" xfId="6707"/>
    <cellStyle name="Comma 5 6" xfId="603"/>
    <cellStyle name="Comma 5 6 2" xfId="604"/>
    <cellStyle name="Comma 5 6 3" xfId="605"/>
    <cellStyle name="Comma 5 7" xfId="3189"/>
    <cellStyle name="Comma 5 7 2" xfId="4408"/>
    <cellStyle name="Comma 6" xfId="3190"/>
    <cellStyle name="Comma 6 10" xfId="606"/>
    <cellStyle name="Comma 6 10 2" xfId="4410"/>
    <cellStyle name="Comma 6 10 2 2" xfId="6708"/>
    <cellStyle name="Comma 6 10 2 3" xfId="9712"/>
    <cellStyle name="Comma 6 10 3" xfId="7512"/>
    <cellStyle name="Comma 6 11" xfId="4409"/>
    <cellStyle name="Comma 6 11 2" xfId="6709"/>
    <cellStyle name="Comma 6 11 3" xfId="9711"/>
    <cellStyle name="Comma 6 12" xfId="8840"/>
    <cellStyle name="Comma 6 2" xfId="607"/>
    <cellStyle name="Comma 6 2 2" xfId="608"/>
    <cellStyle name="Comma 6 2 3" xfId="609"/>
    <cellStyle name="Comma 6 2 3 2" xfId="610"/>
    <cellStyle name="Comma 6 2 3 3" xfId="611"/>
    <cellStyle name="Comma 6 2 3 4" xfId="6710"/>
    <cellStyle name="Comma 6 2 3 4 2" xfId="10725"/>
    <cellStyle name="Comma 6 2 4" xfId="4411"/>
    <cellStyle name="Comma 6 2 4 2" xfId="6711"/>
    <cellStyle name="Comma 6 2 4 3" xfId="9713"/>
    <cellStyle name="Comma 6 2 5" xfId="7513"/>
    <cellStyle name="Comma 6 3" xfId="612"/>
    <cellStyle name="Comma 6 3 10" xfId="7514"/>
    <cellStyle name="Comma 6 3 2" xfId="613"/>
    <cellStyle name="Comma 6 3 2 2" xfId="4413"/>
    <cellStyle name="Comma 6 3 2 3" xfId="7515"/>
    <cellStyle name="Comma 6 3 3" xfId="614"/>
    <cellStyle name="Comma 6 3 3 2" xfId="4414"/>
    <cellStyle name="Comma 6 3 3 3" xfId="7516"/>
    <cellStyle name="Comma 6 3 4" xfId="615"/>
    <cellStyle name="Comma 6 3 4 2" xfId="616"/>
    <cellStyle name="Comma 6 3 4 2 2" xfId="4416"/>
    <cellStyle name="Comma 6 3 4 2 3" xfId="7518"/>
    <cellStyle name="Comma 6 3 4 3" xfId="617"/>
    <cellStyle name="Comma 6 3 4 3 2" xfId="618"/>
    <cellStyle name="Comma 6 3 4 3 2 2" xfId="4418"/>
    <cellStyle name="Comma 6 3 4 3 2 3" xfId="7520"/>
    <cellStyle name="Comma 6 3 4 3 3" xfId="619"/>
    <cellStyle name="Comma 6 3 4 3 3 2" xfId="620"/>
    <cellStyle name="Comma 6 3 4 3 3 2 2" xfId="4420"/>
    <cellStyle name="Comma 6 3 4 3 3 2 3" xfId="7522"/>
    <cellStyle name="Comma 6 3 4 3 3 3" xfId="4419"/>
    <cellStyle name="Comma 6 3 4 3 3 4" xfId="7521"/>
    <cellStyle name="Comma 6 3 4 3 4" xfId="621"/>
    <cellStyle name="Comma 6 3 4 3 4 2" xfId="622"/>
    <cellStyle name="Comma 6 3 4 3 4 2 2" xfId="4422"/>
    <cellStyle name="Comma 6 3 4 3 4 2 3" xfId="7524"/>
    <cellStyle name="Comma 6 3 4 3 4 3" xfId="623"/>
    <cellStyle name="Comma 6 3 4 3 4 3 2" xfId="4423"/>
    <cellStyle name="Comma 6 3 4 3 4 3 3" xfId="7525"/>
    <cellStyle name="Comma 6 3 4 3 4 4" xfId="624"/>
    <cellStyle name="Comma 6 3 4 3 4 4 2" xfId="625"/>
    <cellStyle name="Comma 6 3 4 3 4 4 2 2" xfId="626"/>
    <cellStyle name="Comma 6 3 4 3 4 4 2 2 2" xfId="4426"/>
    <cellStyle name="Comma 6 3 4 3 4 4 2 2 3" xfId="7528"/>
    <cellStyle name="Comma 6 3 4 3 4 4 2 3" xfId="627"/>
    <cellStyle name="Comma 6 3 4 3 4 4 2 3 2" xfId="628"/>
    <cellStyle name="Comma 6 3 4 3 4 4 2 3 2 2" xfId="4428"/>
    <cellStyle name="Comma 6 3 4 3 4 4 2 3 2 3" xfId="7530"/>
    <cellStyle name="Comma 6 3 4 3 4 4 2 3 3" xfId="629"/>
    <cellStyle name="Comma 6 3 4 3 4 4 2 3 3 2" xfId="630"/>
    <cellStyle name="Comma 6 3 4 3 4 4 2 3 3 2 2" xfId="4430"/>
    <cellStyle name="Comma 6 3 4 3 4 4 2 3 3 2 3" xfId="7532"/>
    <cellStyle name="Comma 6 3 4 3 4 4 2 3 3 3" xfId="631"/>
    <cellStyle name="Comma 6 3 4 3 4 4 2 3 3 3 2" xfId="4431"/>
    <cellStyle name="Comma 6 3 4 3 4 4 2 3 3 3 3" xfId="7533"/>
    <cellStyle name="Comma 6 3 4 3 4 4 2 3 3 4" xfId="632"/>
    <cellStyle name="Comma 6 3 4 3 4 4 2 3 3 4 2" xfId="633"/>
    <cellStyle name="Comma 6 3 4 3 4 4 2 3 3 4 2 2" xfId="4433"/>
    <cellStyle name="Comma 6 3 4 3 4 4 2 3 3 4 2 3" xfId="7535"/>
    <cellStyle name="Comma 6 3 4 3 4 4 2 3 3 4 3" xfId="634"/>
    <cellStyle name="Comma 6 3 4 3 4 4 2 3 3 4 3 2" xfId="4434"/>
    <cellStyle name="Comma 6 3 4 3 4 4 2 3 3 4 3 3" xfId="7536"/>
    <cellStyle name="Comma 6 3 4 3 4 4 2 3 3 4 4" xfId="4432"/>
    <cellStyle name="Comma 6 3 4 3 4 4 2 3 3 4 5" xfId="7534"/>
    <cellStyle name="Comma 6 3 4 3 4 4 2 3 3 5" xfId="4429"/>
    <cellStyle name="Comma 6 3 4 3 4 4 2 3 3 6" xfId="7531"/>
    <cellStyle name="Comma 6 3 4 3 4 4 2 3 4" xfId="4427"/>
    <cellStyle name="Comma 6 3 4 3 4 4 2 3 5" xfId="7529"/>
    <cellStyle name="Comma 6 3 4 3 4 4 2 4" xfId="4425"/>
    <cellStyle name="Comma 6 3 4 3 4 4 2 5" xfId="7527"/>
    <cellStyle name="Comma 6 3 4 3 4 4 3" xfId="635"/>
    <cellStyle name="Comma 6 3 4 3 4 4 3 2" xfId="4435"/>
    <cellStyle name="Comma 6 3 4 3 4 4 3 3" xfId="7537"/>
    <cellStyle name="Comma 6 3 4 3 4 4 4" xfId="636"/>
    <cellStyle name="Comma 6 3 4 3 4 4 4 2" xfId="637"/>
    <cellStyle name="Comma 6 3 4 3 4 4 4 2 2" xfId="4437"/>
    <cellStyle name="Comma 6 3 4 3 4 4 4 2 3" xfId="7539"/>
    <cellStyle name="Comma 6 3 4 3 4 4 4 3" xfId="638"/>
    <cellStyle name="Comma 6 3 4 3 4 4 4 3 2" xfId="639"/>
    <cellStyle name="Comma 6 3 4 3 4 4 4 3 2 2" xfId="4439"/>
    <cellStyle name="Comma 6 3 4 3 4 4 4 3 2 3" xfId="7541"/>
    <cellStyle name="Comma 6 3 4 3 4 4 4 3 3" xfId="640"/>
    <cellStyle name="Comma 6 3 4 3 4 4 4 3 3 2" xfId="4440"/>
    <cellStyle name="Comma 6 3 4 3 4 4 4 3 3 3" xfId="7542"/>
    <cellStyle name="Comma 6 3 4 3 4 4 4 3 4" xfId="641"/>
    <cellStyle name="Comma 6 3 4 3 4 4 4 3 4 2" xfId="642"/>
    <cellStyle name="Comma 6 3 4 3 4 4 4 3 4 2 2" xfId="4442"/>
    <cellStyle name="Comma 6 3 4 3 4 4 4 3 4 2 3" xfId="7544"/>
    <cellStyle name="Comma 6 3 4 3 4 4 4 3 4 3" xfId="643"/>
    <cellStyle name="Comma 6 3 4 3 4 4 4 3 4 3 2" xfId="4443"/>
    <cellStyle name="Comma 6 3 4 3 4 4 4 3 4 3 3" xfId="7545"/>
    <cellStyle name="Comma 6 3 4 3 4 4 4 3 4 4" xfId="4441"/>
    <cellStyle name="Comma 6 3 4 3 4 4 4 3 4 5" xfId="7543"/>
    <cellStyle name="Comma 6 3 4 3 4 4 4 3 5" xfId="4438"/>
    <cellStyle name="Comma 6 3 4 3 4 4 4 3 6" xfId="7540"/>
    <cellStyle name="Comma 6 3 4 3 4 4 4 4" xfId="4436"/>
    <cellStyle name="Comma 6 3 4 3 4 4 4 5" xfId="7538"/>
    <cellStyle name="Comma 6 3 4 3 4 4 5" xfId="4424"/>
    <cellStyle name="Comma 6 3 4 3 4 4 6" xfId="7526"/>
    <cellStyle name="Comma 6 3 4 3 4 5" xfId="4421"/>
    <cellStyle name="Comma 6 3 4 3 4 6" xfId="7523"/>
    <cellStyle name="Comma 6 3 4 3 5" xfId="4417"/>
    <cellStyle name="Comma 6 3 4 3 6" xfId="7519"/>
    <cellStyle name="Comma 6 3 4 4" xfId="644"/>
    <cellStyle name="Comma 6 3 4 4 2" xfId="645"/>
    <cellStyle name="Comma 6 3 4 4 2 2" xfId="4445"/>
    <cellStyle name="Comma 6 3 4 4 2 3" xfId="7547"/>
    <cellStyle name="Comma 6 3 4 4 3" xfId="4444"/>
    <cellStyle name="Comma 6 3 4 4 4" xfId="7546"/>
    <cellStyle name="Comma 6 3 4 5" xfId="646"/>
    <cellStyle name="Comma 6 3 4 5 2" xfId="647"/>
    <cellStyle name="Comma 6 3 4 5 2 2" xfId="4447"/>
    <cellStyle name="Comma 6 3 4 5 2 3" xfId="7549"/>
    <cellStyle name="Comma 6 3 4 5 3" xfId="648"/>
    <cellStyle name="Comma 6 3 4 5 3 2" xfId="4448"/>
    <cellStyle name="Comma 6 3 4 5 3 3" xfId="7550"/>
    <cellStyle name="Comma 6 3 4 5 4" xfId="649"/>
    <cellStyle name="Comma 6 3 4 5 4 2" xfId="650"/>
    <cellStyle name="Comma 6 3 4 5 4 2 2" xfId="651"/>
    <cellStyle name="Comma 6 3 4 5 4 2 2 2" xfId="4451"/>
    <cellStyle name="Comma 6 3 4 5 4 2 2 3" xfId="7553"/>
    <cellStyle name="Comma 6 3 4 5 4 2 3" xfId="652"/>
    <cellStyle name="Comma 6 3 4 5 4 2 3 2" xfId="653"/>
    <cellStyle name="Comma 6 3 4 5 4 2 3 2 2" xfId="4453"/>
    <cellStyle name="Comma 6 3 4 5 4 2 3 2 3" xfId="7555"/>
    <cellStyle name="Comma 6 3 4 5 4 2 3 3" xfId="654"/>
    <cellStyle name="Comma 6 3 4 5 4 2 3 3 2" xfId="655"/>
    <cellStyle name="Comma 6 3 4 5 4 2 3 3 2 2" xfId="4455"/>
    <cellStyle name="Comma 6 3 4 5 4 2 3 3 2 3" xfId="7557"/>
    <cellStyle name="Comma 6 3 4 5 4 2 3 3 3" xfId="656"/>
    <cellStyle name="Comma 6 3 4 5 4 2 3 3 3 2" xfId="4456"/>
    <cellStyle name="Comma 6 3 4 5 4 2 3 3 3 3" xfId="7558"/>
    <cellStyle name="Comma 6 3 4 5 4 2 3 3 4" xfId="657"/>
    <cellStyle name="Comma 6 3 4 5 4 2 3 3 4 2" xfId="658"/>
    <cellStyle name="Comma 6 3 4 5 4 2 3 3 4 2 2" xfId="4458"/>
    <cellStyle name="Comma 6 3 4 5 4 2 3 3 4 2 3" xfId="7560"/>
    <cellStyle name="Comma 6 3 4 5 4 2 3 3 4 3" xfId="659"/>
    <cellStyle name="Comma 6 3 4 5 4 2 3 3 4 3 2" xfId="4459"/>
    <cellStyle name="Comma 6 3 4 5 4 2 3 3 4 3 3" xfId="7561"/>
    <cellStyle name="Comma 6 3 4 5 4 2 3 3 4 4" xfId="4457"/>
    <cellStyle name="Comma 6 3 4 5 4 2 3 3 4 5" xfId="7559"/>
    <cellStyle name="Comma 6 3 4 5 4 2 3 3 5" xfId="4454"/>
    <cellStyle name="Comma 6 3 4 5 4 2 3 3 6" xfId="7556"/>
    <cellStyle name="Comma 6 3 4 5 4 2 3 4" xfId="4452"/>
    <cellStyle name="Comma 6 3 4 5 4 2 3 5" xfId="7554"/>
    <cellStyle name="Comma 6 3 4 5 4 2 4" xfId="4450"/>
    <cellStyle name="Comma 6 3 4 5 4 2 5" xfId="7552"/>
    <cellStyle name="Comma 6 3 4 5 4 3" xfId="660"/>
    <cellStyle name="Comma 6 3 4 5 4 3 2" xfId="4460"/>
    <cellStyle name="Comma 6 3 4 5 4 3 3" xfId="7562"/>
    <cellStyle name="Comma 6 3 4 5 4 4" xfId="661"/>
    <cellStyle name="Comma 6 3 4 5 4 4 2" xfId="662"/>
    <cellStyle name="Comma 6 3 4 5 4 4 2 2" xfId="4462"/>
    <cellStyle name="Comma 6 3 4 5 4 4 2 3" xfId="7564"/>
    <cellStyle name="Comma 6 3 4 5 4 4 3" xfId="663"/>
    <cellStyle name="Comma 6 3 4 5 4 4 3 2" xfId="664"/>
    <cellStyle name="Comma 6 3 4 5 4 4 3 2 2" xfId="4464"/>
    <cellStyle name="Comma 6 3 4 5 4 4 3 2 3" xfId="7566"/>
    <cellStyle name="Comma 6 3 4 5 4 4 3 3" xfId="665"/>
    <cellStyle name="Comma 6 3 4 5 4 4 3 3 2" xfId="4465"/>
    <cellStyle name="Comma 6 3 4 5 4 4 3 3 3" xfId="7567"/>
    <cellStyle name="Comma 6 3 4 5 4 4 3 4" xfId="666"/>
    <cellStyle name="Comma 6 3 4 5 4 4 3 4 2" xfId="667"/>
    <cellStyle name="Comma 6 3 4 5 4 4 3 4 2 2" xfId="4467"/>
    <cellStyle name="Comma 6 3 4 5 4 4 3 4 2 3" xfId="7569"/>
    <cellStyle name="Comma 6 3 4 5 4 4 3 4 3" xfId="668"/>
    <cellStyle name="Comma 6 3 4 5 4 4 3 4 3 2" xfId="4468"/>
    <cellStyle name="Comma 6 3 4 5 4 4 3 4 3 3" xfId="7570"/>
    <cellStyle name="Comma 6 3 4 5 4 4 3 4 4" xfId="4466"/>
    <cellStyle name="Comma 6 3 4 5 4 4 3 4 5" xfId="7568"/>
    <cellStyle name="Comma 6 3 4 5 4 4 3 5" xfId="4463"/>
    <cellStyle name="Comma 6 3 4 5 4 4 3 6" xfId="7565"/>
    <cellStyle name="Comma 6 3 4 5 4 4 4" xfId="4461"/>
    <cellStyle name="Comma 6 3 4 5 4 4 5" xfId="7563"/>
    <cellStyle name="Comma 6 3 4 5 4 5" xfId="4449"/>
    <cellStyle name="Comma 6 3 4 5 4 6" xfId="7551"/>
    <cellStyle name="Comma 6 3 4 5 5" xfId="4446"/>
    <cellStyle name="Comma 6 3 4 5 6" xfId="7548"/>
    <cellStyle name="Comma 6 3 4 6" xfId="4415"/>
    <cellStyle name="Comma 6 3 4 7" xfId="7517"/>
    <cellStyle name="Comma 6 3 5" xfId="669"/>
    <cellStyle name="Comma 6 3 5 2" xfId="670"/>
    <cellStyle name="Comma 6 3 5 2 2" xfId="4470"/>
    <cellStyle name="Comma 6 3 5 2 3" xfId="7572"/>
    <cellStyle name="Comma 6 3 5 3" xfId="671"/>
    <cellStyle name="Comma 6 3 5 3 2" xfId="672"/>
    <cellStyle name="Comma 6 3 5 3 2 2" xfId="4472"/>
    <cellStyle name="Comma 6 3 5 3 2 3" xfId="7574"/>
    <cellStyle name="Comma 6 3 5 3 3" xfId="4471"/>
    <cellStyle name="Comma 6 3 5 3 4" xfId="7573"/>
    <cellStyle name="Comma 6 3 5 4" xfId="673"/>
    <cellStyle name="Comma 6 3 5 4 2" xfId="674"/>
    <cellStyle name="Comma 6 3 5 4 2 2" xfId="4474"/>
    <cellStyle name="Comma 6 3 5 4 2 3" xfId="7576"/>
    <cellStyle name="Comma 6 3 5 4 3" xfId="675"/>
    <cellStyle name="Comma 6 3 5 4 3 2" xfId="4475"/>
    <cellStyle name="Comma 6 3 5 4 3 3" xfId="7577"/>
    <cellStyle name="Comma 6 3 5 4 4" xfId="676"/>
    <cellStyle name="Comma 6 3 5 4 4 2" xfId="677"/>
    <cellStyle name="Comma 6 3 5 4 4 2 2" xfId="678"/>
    <cellStyle name="Comma 6 3 5 4 4 2 2 2" xfId="4478"/>
    <cellStyle name="Comma 6 3 5 4 4 2 2 3" xfId="7580"/>
    <cellStyle name="Comma 6 3 5 4 4 2 3" xfId="679"/>
    <cellStyle name="Comma 6 3 5 4 4 2 3 2" xfId="680"/>
    <cellStyle name="Comma 6 3 5 4 4 2 3 2 2" xfId="4480"/>
    <cellStyle name="Comma 6 3 5 4 4 2 3 2 3" xfId="7582"/>
    <cellStyle name="Comma 6 3 5 4 4 2 3 3" xfId="681"/>
    <cellStyle name="Comma 6 3 5 4 4 2 3 3 2" xfId="682"/>
    <cellStyle name="Comma 6 3 5 4 4 2 3 3 2 2" xfId="4482"/>
    <cellStyle name="Comma 6 3 5 4 4 2 3 3 2 3" xfId="7584"/>
    <cellStyle name="Comma 6 3 5 4 4 2 3 3 3" xfId="683"/>
    <cellStyle name="Comma 6 3 5 4 4 2 3 3 3 2" xfId="4483"/>
    <cellStyle name="Comma 6 3 5 4 4 2 3 3 3 3" xfId="7585"/>
    <cellStyle name="Comma 6 3 5 4 4 2 3 3 4" xfId="684"/>
    <cellStyle name="Comma 6 3 5 4 4 2 3 3 4 2" xfId="685"/>
    <cellStyle name="Comma 6 3 5 4 4 2 3 3 4 2 2" xfId="4485"/>
    <cellStyle name="Comma 6 3 5 4 4 2 3 3 4 2 3" xfId="7587"/>
    <cellStyle name="Comma 6 3 5 4 4 2 3 3 4 3" xfId="686"/>
    <cellStyle name="Comma 6 3 5 4 4 2 3 3 4 3 2" xfId="4486"/>
    <cellStyle name="Comma 6 3 5 4 4 2 3 3 4 3 3" xfId="7588"/>
    <cellStyle name="Comma 6 3 5 4 4 2 3 3 4 4" xfId="4484"/>
    <cellStyle name="Comma 6 3 5 4 4 2 3 3 4 5" xfId="7586"/>
    <cellStyle name="Comma 6 3 5 4 4 2 3 3 5" xfId="4481"/>
    <cellStyle name="Comma 6 3 5 4 4 2 3 3 6" xfId="7583"/>
    <cellStyle name="Comma 6 3 5 4 4 2 3 4" xfId="4479"/>
    <cellStyle name="Comma 6 3 5 4 4 2 3 5" xfId="7581"/>
    <cellStyle name="Comma 6 3 5 4 4 2 4" xfId="4477"/>
    <cellStyle name="Comma 6 3 5 4 4 2 5" xfId="7579"/>
    <cellStyle name="Comma 6 3 5 4 4 3" xfId="687"/>
    <cellStyle name="Comma 6 3 5 4 4 3 2" xfId="4487"/>
    <cellStyle name="Comma 6 3 5 4 4 3 3" xfId="7589"/>
    <cellStyle name="Comma 6 3 5 4 4 4" xfId="688"/>
    <cellStyle name="Comma 6 3 5 4 4 4 2" xfId="689"/>
    <cellStyle name="Comma 6 3 5 4 4 4 2 2" xfId="4489"/>
    <cellStyle name="Comma 6 3 5 4 4 4 2 3" xfId="7591"/>
    <cellStyle name="Comma 6 3 5 4 4 4 3" xfId="690"/>
    <cellStyle name="Comma 6 3 5 4 4 4 3 2" xfId="691"/>
    <cellStyle name="Comma 6 3 5 4 4 4 3 2 2" xfId="4491"/>
    <cellStyle name="Comma 6 3 5 4 4 4 3 2 3" xfId="7593"/>
    <cellStyle name="Comma 6 3 5 4 4 4 3 3" xfId="692"/>
    <cellStyle name="Comma 6 3 5 4 4 4 3 3 2" xfId="4492"/>
    <cellStyle name="Comma 6 3 5 4 4 4 3 3 3" xfId="7594"/>
    <cellStyle name="Comma 6 3 5 4 4 4 3 4" xfId="693"/>
    <cellStyle name="Comma 6 3 5 4 4 4 3 4 2" xfId="694"/>
    <cellStyle name="Comma 6 3 5 4 4 4 3 4 2 2" xfId="4494"/>
    <cellStyle name="Comma 6 3 5 4 4 4 3 4 2 3" xfId="7596"/>
    <cellStyle name="Comma 6 3 5 4 4 4 3 4 3" xfId="695"/>
    <cellStyle name="Comma 6 3 5 4 4 4 3 4 3 2" xfId="4495"/>
    <cellStyle name="Comma 6 3 5 4 4 4 3 4 3 3" xfId="7597"/>
    <cellStyle name="Comma 6 3 5 4 4 4 3 4 4" xfId="4493"/>
    <cellStyle name="Comma 6 3 5 4 4 4 3 4 5" xfId="7595"/>
    <cellStyle name="Comma 6 3 5 4 4 4 3 5" xfId="4490"/>
    <cellStyle name="Comma 6 3 5 4 4 4 3 6" xfId="7592"/>
    <cellStyle name="Comma 6 3 5 4 4 4 4" xfId="4488"/>
    <cellStyle name="Comma 6 3 5 4 4 4 5" xfId="7590"/>
    <cellStyle name="Comma 6 3 5 4 4 5" xfId="4476"/>
    <cellStyle name="Comma 6 3 5 4 4 6" xfId="7578"/>
    <cellStyle name="Comma 6 3 5 4 5" xfId="4473"/>
    <cellStyle name="Comma 6 3 5 4 6" xfId="7575"/>
    <cellStyle name="Comma 6 3 5 5" xfId="4469"/>
    <cellStyle name="Comma 6 3 5 6" xfId="7571"/>
    <cellStyle name="Comma 6 3 6" xfId="696"/>
    <cellStyle name="Comma 6 3 6 2" xfId="697"/>
    <cellStyle name="Comma 6 3 6 2 2" xfId="4497"/>
    <cellStyle name="Comma 6 3 6 2 3" xfId="7599"/>
    <cellStyle name="Comma 6 3 6 3" xfId="4496"/>
    <cellStyle name="Comma 6 3 6 4" xfId="7598"/>
    <cellStyle name="Comma 6 3 7" xfId="698"/>
    <cellStyle name="Comma 6 3 7 2" xfId="699"/>
    <cellStyle name="Comma 6 3 7 2 2" xfId="4499"/>
    <cellStyle name="Comma 6 3 7 2 3" xfId="7601"/>
    <cellStyle name="Comma 6 3 7 3" xfId="700"/>
    <cellStyle name="Comma 6 3 7 3 2" xfId="4500"/>
    <cellStyle name="Comma 6 3 7 3 3" xfId="7602"/>
    <cellStyle name="Comma 6 3 7 4" xfId="701"/>
    <cellStyle name="Comma 6 3 7 4 2" xfId="702"/>
    <cellStyle name="Comma 6 3 7 4 2 2" xfId="703"/>
    <cellStyle name="Comma 6 3 7 4 2 2 2" xfId="4503"/>
    <cellStyle name="Comma 6 3 7 4 2 2 3" xfId="7605"/>
    <cellStyle name="Comma 6 3 7 4 2 3" xfId="704"/>
    <cellStyle name="Comma 6 3 7 4 2 3 2" xfId="705"/>
    <cellStyle name="Comma 6 3 7 4 2 3 2 2" xfId="4505"/>
    <cellStyle name="Comma 6 3 7 4 2 3 2 3" xfId="7607"/>
    <cellStyle name="Comma 6 3 7 4 2 3 3" xfId="706"/>
    <cellStyle name="Comma 6 3 7 4 2 3 3 2" xfId="707"/>
    <cellStyle name="Comma 6 3 7 4 2 3 3 2 2" xfId="4507"/>
    <cellStyle name="Comma 6 3 7 4 2 3 3 2 3" xfId="7609"/>
    <cellStyle name="Comma 6 3 7 4 2 3 3 3" xfId="708"/>
    <cellStyle name="Comma 6 3 7 4 2 3 3 3 2" xfId="4508"/>
    <cellStyle name="Comma 6 3 7 4 2 3 3 3 3" xfId="7610"/>
    <cellStyle name="Comma 6 3 7 4 2 3 3 4" xfId="709"/>
    <cellStyle name="Comma 6 3 7 4 2 3 3 4 2" xfId="710"/>
    <cellStyle name="Comma 6 3 7 4 2 3 3 4 2 2" xfId="4510"/>
    <cellStyle name="Comma 6 3 7 4 2 3 3 4 2 3" xfId="7612"/>
    <cellStyle name="Comma 6 3 7 4 2 3 3 4 3" xfId="711"/>
    <cellStyle name="Comma 6 3 7 4 2 3 3 4 3 2" xfId="4511"/>
    <cellStyle name="Comma 6 3 7 4 2 3 3 4 3 3" xfId="7613"/>
    <cellStyle name="Comma 6 3 7 4 2 3 3 4 4" xfId="4509"/>
    <cellStyle name="Comma 6 3 7 4 2 3 3 4 5" xfId="7611"/>
    <cellStyle name="Comma 6 3 7 4 2 3 3 5" xfId="4506"/>
    <cellStyle name="Comma 6 3 7 4 2 3 3 6" xfId="7608"/>
    <cellStyle name="Comma 6 3 7 4 2 3 4" xfId="4504"/>
    <cellStyle name="Comma 6 3 7 4 2 3 5" xfId="7606"/>
    <cellStyle name="Comma 6 3 7 4 2 4" xfId="4502"/>
    <cellStyle name="Comma 6 3 7 4 2 5" xfId="7604"/>
    <cellStyle name="Comma 6 3 7 4 3" xfId="712"/>
    <cellStyle name="Comma 6 3 7 4 3 2" xfId="4512"/>
    <cellStyle name="Comma 6 3 7 4 3 3" xfId="7614"/>
    <cellStyle name="Comma 6 3 7 4 4" xfId="713"/>
    <cellStyle name="Comma 6 3 7 4 4 2" xfId="714"/>
    <cellStyle name="Comma 6 3 7 4 4 2 2" xfId="4514"/>
    <cellStyle name="Comma 6 3 7 4 4 2 3" xfId="7616"/>
    <cellStyle name="Comma 6 3 7 4 4 3" xfId="715"/>
    <cellStyle name="Comma 6 3 7 4 4 3 2" xfId="716"/>
    <cellStyle name="Comma 6 3 7 4 4 3 2 2" xfId="4516"/>
    <cellStyle name="Comma 6 3 7 4 4 3 2 3" xfId="7618"/>
    <cellStyle name="Comma 6 3 7 4 4 3 3" xfId="717"/>
    <cellStyle name="Comma 6 3 7 4 4 3 3 2" xfId="4517"/>
    <cellStyle name="Comma 6 3 7 4 4 3 3 3" xfId="7619"/>
    <cellStyle name="Comma 6 3 7 4 4 3 4" xfId="718"/>
    <cellStyle name="Comma 6 3 7 4 4 3 4 2" xfId="719"/>
    <cellStyle name="Comma 6 3 7 4 4 3 4 2 2" xfId="4519"/>
    <cellStyle name="Comma 6 3 7 4 4 3 4 2 3" xfId="7621"/>
    <cellStyle name="Comma 6 3 7 4 4 3 4 3" xfId="720"/>
    <cellStyle name="Comma 6 3 7 4 4 3 4 3 2" xfId="4520"/>
    <cellStyle name="Comma 6 3 7 4 4 3 4 3 3" xfId="7622"/>
    <cellStyle name="Comma 6 3 7 4 4 3 4 4" xfId="4518"/>
    <cellStyle name="Comma 6 3 7 4 4 3 4 5" xfId="7620"/>
    <cellStyle name="Comma 6 3 7 4 4 3 5" xfId="4515"/>
    <cellStyle name="Comma 6 3 7 4 4 3 6" xfId="7617"/>
    <cellStyle name="Comma 6 3 7 4 4 4" xfId="4513"/>
    <cellStyle name="Comma 6 3 7 4 4 5" xfId="7615"/>
    <cellStyle name="Comma 6 3 7 4 5" xfId="4501"/>
    <cellStyle name="Comma 6 3 7 4 6" xfId="7603"/>
    <cellStyle name="Comma 6 3 7 5" xfId="4498"/>
    <cellStyle name="Comma 6 3 7 6" xfId="7600"/>
    <cellStyle name="Comma 6 3 8" xfId="721"/>
    <cellStyle name="Comma 6 3 8 2" xfId="4521"/>
    <cellStyle name="Comma 6 3 8 3" xfId="7623"/>
    <cellStyle name="Comma 6 3 9" xfId="4412"/>
    <cellStyle name="Comma 6 4" xfId="722"/>
    <cellStyle name="Comma 6 4 2" xfId="723"/>
    <cellStyle name="Comma 6 4 2 2" xfId="4523"/>
    <cellStyle name="Comma 6 4 2 3" xfId="7625"/>
    <cellStyle name="Comma 6 4 3" xfId="724"/>
    <cellStyle name="Comma 6 4 3 2" xfId="725"/>
    <cellStyle name="Comma 6 4 3 2 2" xfId="4525"/>
    <cellStyle name="Comma 6 4 3 2 3" xfId="7627"/>
    <cellStyle name="Comma 6 4 3 3" xfId="726"/>
    <cellStyle name="Comma 6 4 3 3 2" xfId="727"/>
    <cellStyle name="Comma 6 4 3 3 2 2" xfId="4527"/>
    <cellStyle name="Comma 6 4 3 3 2 3" xfId="7629"/>
    <cellStyle name="Comma 6 4 3 3 3" xfId="4526"/>
    <cellStyle name="Comma 6 4 3 3 4" xfId="7628"/>
    <cellStyle name="Comma 6 4 3 4" xfId="728"/>
    <cellStyle name="Comma 6 4 3 4 2" xfId="729"/>
    <cellStyle name="Comma 6 4 3 4 2 2" xfId="4529"/>
    <cellStyle name="Comma 6 4 3 4 2 3" xfId="7631"/>
    <cellStyle name="Comma 6 4 3 4 3" xfId="730"/>
    <cellStyle name="Comma 6 4 3 4 3 2" xfId="4530"/>
    <cellStyle name="Comma 6 4 3 4 3 3" xfId="7632"/>
    <cellStyle name="Comma 6 4 3 4 4" xfId="731"/>
    <cellStyle name="Comma 6 4 3 4 4 2" xfId="732"/>
    <cellStyle name="Comma 6 4 3 4 4 2 2" xfId="733"/>
    <cellStyle name="Comma 6 4 3 4 4 2 2 2" xfId="4533"/>
    <cellStyle name="Comma 6 4 3 4 4 2 2 3" xfId="7635"/>
    <cellStyle name="Comma 6 4 3 4 4 2 3" xfId="734"/>
    <cellStyle name="Comma 6 4 3 4 4 2 3 2" xfId="735"/>
    <cellStyle name="Comma 6 4 3 4 4 2 3 2 2" xfId="4535"/>
    <cellStyle name="Comma 6 4 3 4 4 2 3 2 3" xfId="7637"/>
    <cellStyle name="Comma 6 4 3 4 4 2 3 3" xfId="736"/>
    <cellStyle name="Comma 6 4 3 4 4 2 3 3 2" xfId="737"/>
    <cellStyle name="Comma 6 4 3 4 4 2 3 3 2 2" xfId="4537"/>
    <cellStyle name="Comma 6 4 3 4 4 2 3 3 2 3" xfId="7639"/>
    <cellStyle name="Comma 6 4 3 4 4 2 3 3 3" xfId="738"/>
    <cellStyle name="Comma 6 4 3 4 4 2 3 3 3 2" xfId="4538"/>
    <cellStyle name="Comma 6 4 3 4 4 2 3 3 3 3" xfId="7640"/>
    <cellStyle name="Comma 6 4 3 4 4 2 3 3 4" xfId="739"/>
    <cellStyle name="Comma 6 4 3 4 4 2 3 3 4 2" xfId="740"/>
    <cellStyle name="Comma 6 4 3 4 4 2 3 3 4 2 2" xfId="4540"/>
    <cellStyle name="Comma 6 4 3 4 4 2 3 3 4 2 3" xfId="7642"/>
    <cellStyle name="Comma 6 4 3 4 4 2 3 3 4 3" xfId="741"/>
    <cellStyle name="Comma 6 4 3 4 4 2 3 3 4 3 2" xfId="4541"/>
    <cellStyle name="Comma 6 4 3 4 4 2 3 3 4 3 3" xfId="7643"/>
    <cellStyle name="Comma 6 4 3 4 4 2 3 3 4 4" xfId="4539"/>
    <cellStyle name="Comma 6 4 3 4 4 2 3 3 4 5" xfId="7641"/>
    <cellStyle name="Comma 6 4 3 4 4 2 3 3 5" xfId="4536"/>
    <cellStyle name="Comma 6 4 3 4 4 2 3 3 6" xfId="7638"/>
    <cellStyle name="Comma 6 4 3 4 4 2 3 4" xfId="4534"/>
    <cellStyle name="Comma 6 4 3 4 4 2 3 5" xfId="7636"/>
    <cellStyle name="Comma 6 4 3 4 4 2 4" xfId="4532"/>
    <cellStyle name="Comma 6 4 3 4 4 2 5" xfId="7634"/>
    <cellStyle name="Comma 6 4 3 4 4 3" xfId="742"/>
    <cellStyle name="Comma 6 4 3 4 4 3 2" xfId="4542"/>
    <cellStyle name="Comma 6 4 3 4 4 3 3" xfId="7644"/>
    <cellStyle name="Comma 6 4 3 4 4 4" xfId="743"/>
    <cellStyle name="Comma 6 4 3 4 4 4 2" xfId="744"/>
    <cellStyle name="Comma 6 4 3 4 4 4 2 2" xfId="4544"/>
    <cellStyle name="Comma 6 4 3 4 4 4 2 3" xfId="7646"/>
    <cellStyle name="Comma 6 4 3 4 4 4 3" xfId="745"/>
    <cellStyle name="Comma 6 4 3 4 4 4 3 2" xfId="746"/>
    <cellStyle name="Comma 6 4 3 4 4 4 3 2 2" xfId="4546"/>
    <cellStyle name="Comma 6 4 3 4 4 4 3 2 3" xfId="7648"/>
    <cellStyle name="Comma 6 4 3 4 4 4 3 3" xfId="747"/>
    <cellStyle name="Comma 6 4 3 4 4 4 3 3 2" xfId="4547"/>
    <cellStyle name="Comma 6 4 3 4 4 4 3 3 3" xfId="7649"/>
    <cellStyle name="Comma 6 4 3 4 4 4 3 4" xfId="748"/>
    <cellStyle name="Comma 6 4 3 4 4 4 3 4 2" xfId="749"/>
    <cellStyle name="Comma 6 4 3 4 4 4 3 4 2 2" xfId="4549"/>
    <cellStyle name="Comma 6 4 3 4 4 4 3 4 2 3" xfId="7651"/>
    <cellStyle name="Comma 6 4 3 4 4 4 3 4 3" xfId="750"/>
    <cellStyle name="Comma 6 4 3 4 4 4 3 4 3 2" xfId="4550"/>
    <cellStyle name="Comma 6 4 3 4 4 4 3 4 3 3" xfId="7652"/>
    <cellStyle name="Comma 6 4 3 4 4 4 3 4 4" xfId="4548"/>
    <cellStyle name="Comma 6 4 3 4 4 4 3 4 5" xfId="7650"/>
    <cellStyle name="Comma 6 4 3 4 4 4 3 5" xfId="4545"/>
    <cellStyle name="Comma 6 4 3 4 4 4 3 6" xfId="7647"/>
    <cellStyle name="Comma 6 4 3 4 4 4 4" xfId="4543"/>
    <cellStyle name="Comma 6 4 3 4 4 4 5" xfId="7645"/>
    <cellStyle name="Comma 6 4 3 4 4 5" xfId="4531"/>
    <cellStyle name="Comma 6 4 3 4 4 6" xfId="7633"/>
    <cellStyle name="Comma 6 4 3 4 5" xfId="4528"/>
    <cellStyle name="Comma 6 4 3 4 6" xfId="7630"/>
    <cellStyle name="Comma 6 4 3 5" xfId="4524"/>
    <cellStyle name="Comma 6 4 3 6" xfId="7626"/>
    <cellStyle name="Comma 6 4 4" xfId="751"/>
    <cellStyle name="Comma 6 4 4 2" xfId="752"/>
    <cellStyle name="Comma 6 4 4 2 2" xfId="4552"/>
    <cellStyle name="Comma 6 4 4 2 3" xfId="7654"/>
    <cellStyle name="Comma 6 4 4 3" xfId="4551"/>
    <cellStyle name="Comma 6 4 4 4" xfId="7653"/>
    <cellStyle name="Comma 6 4 5" xfId="753"/>
    <cellStyle name="Comma 6 4 5 2" xfId="754"/>
    <cellStyle name="Comma 6 4 5 2 2" xfId="4554"/>
    <cellStyle name="Comma 6 4 5 2 3" xfId="7656"/>
    <cellStyle name="Comma 6 4 5 3" xfId="755"/>
    <cellStyle name="Comma 6 4 5 3 2" xfId="4555"/>
    <cellStyle name="Comma 6 4 5 3 3" xfId="7657"/>
    <cellStyle name="Comma 6 4 5 4" xfId="756"/>
    <cellStyle name="Comma 6 4 5 4 2" xfId="757"/>
    <cellStyle name="Comma 6 4 5 4 2 2" xfId="758"/>
    <cellStyle name="Comma 6 4 5 4 2 2 2" xfId="4558"/>
    <cellStyle name="Comma 6 4 5 4 2 2 3" xfId="7660"/>
    <cellStyle name="Comma 6 4 5 4 2 3" xfId="759"/>
    <cellStyle name="Comma 6 4 5 4 2 3 2" xfId="760"/>
    <cellStyle name="Comma 6 4 5 4 2 3 2 2" xfId="4560"/>
    <cellStyle name="Comma 6 4 5 4 2 3 2 3" xfId="7662"/>
    <cellStyle name="Comma 6 4 5 4 2 3 3" xfId="761"/>
    <cellStyle name="Comma 6 4 5 4 2 3 3 2" xfId="762"/>
    <cellStyle name="Comma 6 4 5 4 2 3 3 2 2" xfId="4562"/>
    <cellStyle name="Comma 6 4 5 4 2 3 3 2 3" xfId="7664"/>
    <cellStyle name="Comma 6 4 5 4 2 3 3 3" xfId="763"/>
    <cellStyle name="Comma 6 4 5 4 2 3 3 3 2" xfId="4563"/>
    <cellStyle name="Comma 6 4 5 4 2 3 3 3 3" xfId="7665"/>
    <cellStyle name="Comma 6 4 5 4 2 3 3 4" xfId="764"/>
    <cellStyle name="Comma 6 4 5 4 2 3 3 4 2" xfId="765"/>
    <cellStyle name="Comma 6 4 5 4 2 3 3 4 2 2" xfId="4565"/>
    <cellStyle name="Comma 6 4 5 4 2 3 3 4 2 3" xfId="7667"/>
    <cellStyle name="Comma 6 4 5 4 2 3 3 4 3" xfId="766"/>
    <cellStyle name="Comma 6 4 5 4 2 3 3 4 3 2" xfId="4566"/>
    <cellStyle name="Comma 6 4 5 4 2 3 3 4 3 3" xfId="7668"/>
    <cellStyle name="Comma 6 4 5 4 2 3 3 4 4" xfId="4564"/>
    <cellStyle name="Comma 6 4 5 4 2 3 3 4 5" xfId="7666"/>
    <cellStyle name="Comma 6 4 5 4 2 3 3 5" xfId="4561"/>
    <cellStyle name="Comma 6 4 5 4 2 3 3 6" xfId="7663"/>
    <cellStyle name="Comma 6 4 5 4 2 3 4" xfId="4559"/>
    <cellStyle name="Comma 6 4 5 4 2 3 5" xfId="7661"/>
    <cellStyle name="Comma 6 4 5 4 2 4" xfId="4557"/>
    <cellStyle name="Comma 6 4 5 4 2 5" xfId="7659"/>
    <cellStyle name="Comma 6 4 5 4 3" xfId="767"/>
    <cellStyle name="Comma 6 4 5 4 3 2" xfId="4567"/>
    <cellStyle name="Comma 6 4 5 4 3 3" xfId="7669"/>
    <cellStyle name="Comma 6 4 5 4 4" xfId="768"/>
    <cellStyle name="Comma 6 4 5 4 4 2" xfId="769"/>
    <cellStyle name="Comma 6 4 5 4 4 2 2" xfId="4569"/>
    <cellStyle name="Comma 6 4 5 4 4 2 3" xfId="7671"/>
    <cellStyle name="Comma 6 4 5 4 4 3" xfId="770"/>
    <cellStyle name="Comma 6 4 5 4 4 3 2" xfId="771"/>
    <cellStyle name="Comma 6 4 5 4 4 3 2 2" xfId="4571"/>
    <cellStyle name="Comma 6 4 5 4 4 3 2 3" xfId="7673"/>
    <cellStyle name="Comma 6 4 5 4 4 3 3" xfId="772"/>
    <cellStyle name="Comma 6 4 5 4 4 3 3 2" xfId="4572"/>
    <cellStyle name="Comma 6 4 5 4 4 3 3 3" xfId="7674"/>
    <cellStyle name="Comma 6 4 5 4 4 3 4" xfId="773"/>
    <cellStyle name="Comma 6 4 5 4 4 3 4 2" xfId="774"/>
    <cellStyle name="Comma 6 4 5 4 4 3 4 2 2" xfId="4574"/>
    <cellStyle name="Comma 6 4 5 4 4 3 4 2 3" xfId="7676"/>
    <cellStyle name="Comma 6 4 5 4 4 3 4 3" xfId="775"/>
    <cellStyle name="Comma 6 4 5 4 4 3 4 3 2" xfId="4575"/>
    <cellStyle name="Comma 6 4 5 4 4 3 4 3 3" xfId="7677"/>
    <cellStyle name="Comma 6 4 5 4 4 3 4 4" xfId="4573"/>
    <cellStyle name="Comma 6 4 5 4 4 3 4 5" xfId="7675"/>
    <cellStyle name="Comma 6 4 5 4 4 3 5" xfId="4570"/>
    <cellStyle name="Comma 6 4 5 4 4 3 6" xfId="7672"/>
    <cellStyle name="Comma 6 4 5 4 4 4" xfId="4568"/>
    <cellStyle name="Comma 6 4 5 4 4 5" xfId="7670"/>
    <cellStyle name="Comma 6 4 5 4 5" xfId="4556"/>
    <cellStyle name="Comma 6 4 5 4 6" xfId="7658"/>
    <cellStyle name="Comma 6 4 5 5" xfId="4553"/>
    <cellStyle name="Comma 6 4 5 6" xfId="7655"/>
    <cellStyle name="Comma 6 4 6" xfId="4522"/>
    <cellStyle name="Comma 6 4 7" xfId="7624"/>
    <cellStyle name="Comma 6 5" xfId="776"/>
    <cellStyle name="Comma 6 5 2" xfId="777"/>
    <cellStyle name="Comma 6 5 2 2" xfId="4577"/>
    <cellStyle name="Comma 6 5 2 3" xfId="7679"/>
    <cellStyle name="Comma 6 5 3" xfId="778"/>
    <cellStyle name="Comma 6 5 3 2" xfId="779"/>
    <cellStyle name="Comma 6 5 3 2 2" xfId="4579"/>
    <cellStyle name="Comma 6 5 3 2 3" xfId="7681"/>
    <cellStyle name="Comma 6 5 3 3" xfId="4578"/>
    <cellStyle name="Comma 6 5 3 4" xfId="7680"/>
    <cellStyle name="Comma 6 5 4" xfId="780"/>
    <cellStyle name="Comma 6 5 4 2" xfId="781"/>
    <cellStyle name="Comma 6 5 4 2 2" xfId="4581"/>
    <cellStyle name="Comma 6 5 4 2 3" xfId="7683"/>
    <cellStyle name="Comma 6 5 4 3" xfId="782"/>
    <cellStyle name="Comma 6 5 4 3 2" xfId="4582"/>
    <cellStyle name="Comma 6 5 4 3 3" xfId="7684"/>
    <cellStyle name="Comma 6 5 4 4" xfId="783"/>
    <cellStyle name="Comma 6 5 4 4 2" xfId="784"/>
    <cellStyle name="Comma 6 5 4 4 2 2" xfId="785"/>
    <cellStyle name="Comma 6 5 4 4 2 2 2" xfId="4585"/>
    <cellStyle name="Comma 6 5 4 4 2 2 3" xfId="7687"/>
    <cellStyle name="Comma 6 5 4 4 2 3" xfId="786"/>
    <cellStyle name="Comma 6 5 4 4 2 3 2" xfId="787"/>
    <cellStyle name="Comma 6 5 4 4 2 3 2 2" xfId="4587"/>
    <cellStyle name="Comma 6 5 4 4 2 3 2 3" xfId="7689"/>
    <cellStyle name="Comma 6 5 4 4 2 3 3" xfId="788"/>
    <cellStyle name="Comma 6 5 4 4 2 3 3 2" xfId="789"/>
    <cellStyle name="Comma 6 5 4 4 2 3 3 2 2" xfId="4589"/>
    <cellStyle name="Comma 6 5 4 4 2 3 3 2 3" xfId="7691"/>
    <cellStyle name="Comma 6 5 4 4 2 3 3 3" xfId="790"/>
    <cellStyle name="Comma 6 5 4 4 2 3 3 3 2" xfId="4590"/>
    <cellStyle name="Comma 6 5 4 4 2 3 3 3 3" xfId="7692"/>
    <cellStyle name="Comma 6 5 4 4 2 3 3 4" xfId="791"/>
    <cellStyle name="Comma 6 5 4 4 2 3 3 4 2" xfId="792"/>
    <cellStyle name="Comma 6 5 4 4 2 3 3 4 2 2" xfId="4592"/>
    <cellStyle name="Comma 6 5 4 4 2 3 3 4 2 3" xfId="7694"/>
    <cellStyle name="Comma 6 5 4 4 2 3 3 4 3" xfId="793"/>
    <cellStyle name="Comma 6 5 4 4 2 3 3 4 3 2" xfId="4593"/>
    <cellStyle name="Comma 6 5 4 4 2 3 3 4 3 3" xfId="7695"/>
    <cellStyle name="Comma 6 5 4 4 2 3 3 4 4" xfId="4591"/>
    <cellStyle name="Comma 6 5 4 4 2 3 3 4 5" xfId="7693"/>
    <cellStyle name="Comma 6 5 4 4 2 3 3 5" xfId="4588"/>
    <cellStyle name="Comma 6 5 4 4 2 3 3 6" xfId="7690"/>
    <cellStyle name="Comma 6 5 4 4 2 3 4" xfId="4586"/>
    <cellStyle name="Comma 6 5 4 4 2 3 5" xfId="7688"/>
    <cellStyle name="Comma 6 5 4 4 2 4" xfId="4584"/>
    <cellStyle name="Comma 6 5 4 4 2 5" xfId="7686"/>
    <cellStyle name="Comma 6 5 4 4 3" xfId="794"/>
    <cellStyle name="Comma 6 5 4 4 3 2" xfId="4594"/>
    <cellStyle name="Comma 6 5 4 4 3 3" xfId="7696"/>
    <cellStyle name="Comma 6 5 4 4 4" xfId="795"/>
    <cellStyle name="Comma 6 5 4 4 4 2" xfId="796"/>
    <cellStyle name="Comma 6 5 4 4 4 2 2" xfId="4596"/>
    <cellStyle name="Comma 6 5 4 4 4 2 3" xfId="7698"/>
    <cellStyle name="Comma 6 5 4 4 4 3" xfId="797"/>
    <cellStyle name="Comma 6 5 4 4 4 3 2" xfId="798"/>
    <cellStyle name="Comma 6 5 4 4 4 3 2 2" xfId="4598"/>
    <cellStyle name="Comma 6 5 4 4 4 3 2 3" xfId="7700"/>
    <cellStyle name="Comma 6 5 4 4 4 3 3" xfId="799"/>
    <cellStyle name="Comma 6 5 4 4 4 3 3 2" xfId="4599"/>
    <cellStyle name="Comma 6 5 4 4 4 3 3 3" xfId="7701"/>
    <cellStyle name="Comma 6 5 4 4 4 3 4" xfId="800"/>
    <cellStyle name="Comma 6 5 4 4 4 3 4 2" xfId="801"/>
    <cellStyle name="Comma 6 5 4 4 4 3 4 2 2" xfId="4601"/>
    <cellStyle name="Comma 6 5 4 4 4 3 4 2 3" xfId="7703"/>
    <cellStyle name="Comma 6 5 4 4 4 3 4 3" xfId="802"/>
    <cellStyle name="Comma 6 5 4 4 4 3 4 3 2" xfId="4602"/>
    <cellStyle name="Comma 6 5 4 4 4 3 4 3 3" xfId="7704"/>
    <cellStyle name="Comma 6 5 4 4 4 3 4 4" xfId="4600"/>
    <cellStyle name="Comma 6 5 4 4 4 3 4 5" xfId="7702"/>
    <cellStyle name="Comma 6 5 4 4 4 3 5" xfId="4597"/>
    <cellStyle name="Comma 6 5 4 4 4 3 6" xfId="7699"/>
    <cellStyle name="Comma 6 5 4 4 4 4" xfId="4595"/>
    <cellStyle name="Comma 6 5 4 4 4 5" xfId="7697"/>
    <cellStyle name="Comma 6 5 4 4 5" xfId="4583"/>
    <cellStyle name="Comma 6 5 4 4 6" xfId="7685"/>
    <cellStyle name="Comma 6 5 4 5" xfId="4580"/>
    <cellStyle name="Comma 6 5 4 6" xfId="7682"/>
    <cellStyle name="Comma 6 5 5" xfId="4576"/>
    <cellStyle name="Comma 6 5 6" xfId="7678"/>
    <cellStyle name="Comma 6 6" xfId="803"/>
    <cellStyle name="Comma 6 6 2" xfId="804"/>
    <cellStyle name="Comma 6 6 2 2" xfId="4604"/>
    <cellStyle name="Comma 6 6 2 3" xfId="7706"/>
    <cellStyle name="Comma 6 6 3" xfId="4603"/>
    <cellStyle name="Comma 6 6 4" xfId="7705"/>
    <cellStyle name="Comma 6 7" xfId="805"/>
    <cellStyle name="Comma 6 7 2" xfId="806"/>
    <cellStyle name="Comma 6 7 2 2" xfId="4606"/>
    <cellStyle name="Comma 6 7 2 3" xfId="7708"/>
    <cellStyle name="Comma 6 7 3" xfId="807"/>
    <cellStyle name="Comma 6 7 3 2" xfId="4607"/>
    <cellStyle name="Comma 6 7 3 3" xfId="7709"/>
    <cellStyle name="Comma 6 7 4" xfId="808"/>
    <cellStyle name="Comma 6 7 4 2" xfId="809"/>
    <cellStyle name="Comma 6 7 4 2 2" xfId="810"/>
    <cellStyle name="Comma 6 7 4 2 2 2" xfId="4610"/>
    <cellStyle name="Comma 6 7 4 2 2 3" xfId="7712"/>
    <cellStyle name="Comma 6 7 4 2 3" xfId="811"/>
    <cellStyle name="Comma 6 7 4 2 3 2" xfId="812"/>
    <cellStyle name="Comma 6 7 4 2 3 2 2" xfId="4612"/>
    <cellStyle name="Comma 6 7 4 2 3 2 3" xfId="7714"/>
    <cellStyle name="Comma 6 7 4 2 3 3" xfId="813"/>
    <cellStyle name="Comma 6 7 4 2 3 3 2" xfId="814"/>
    <cellStyle name="Comma 6 7 4 2 3 3 2 2" xfId="4614"/>
    <cellStyle name="Comma 6 7 4 2 3 3 2 3" xfId="7716"/>
    <cellStyle name="Comma 6 7 4 2 3 3 3" xfId="815"/>
    <cellStyle name="Comma 6 7 4 2 3 3 3 2" xfId="4615"/>
    <cellStyle name="Comma 6 7 4 2 3 3 3 3" xfId="7717"/>
    <cellStyle name="Comma 6 7 4 2 3 3 4" xfId="816"/>
    <cellStyle name="Comma 6 7 4 2 3 3 4 2" xfId="817"/>
    <cellStyle name="Comma 6 7 4 2 3 3 4 2 2" xfId="4617"/>
    <cellStyle name="Comma 6 7 4 2 3 3 4 2 3" xfId="7719"/>
    <cellStyle name="Comma 6 7 4 2 3 3 4 3" xfId="818"/>
    <cellStyle name="Comma 6 7 4 2 3 3 4 3 2" xfId="4618"/>
    <cellStyle name="Comma 6 7 4 2 3 3 4 3 3" xfId="7720"/>
    <cellStyle name="Comma 6 7 4 2 3 3 4 4" xfId="4616"/>
    <cellStyle name="Comma 6 7 4 2 3 3 4 5" xfId="7718"/>
    <cellStyle name="Comma 6 7 4 2 3 3 5" xfId="4613"/>
    <cellStyle name="Comma 6 7 4 2 3 3 6" xfId="7715"/>
    <cellStyle name="Comma 6 7 4 2 3 4" xfId="4611"/>
    <cellStyle name="Comma 6 7 4 2 3 5" xfId="7713"/>
    <cellStyle name="Comma 6 7 4 2 4" xfId="4609"/>
    <cellStyle name="Comma 6 7 4 2 5" xfId="7711"/>
    <cellStyle name="Comma 6 7 4 3" xfId="819"/>
    <cellStyle name="Comma 6 7 4 3 2" xfId="4619"/>
    <cellStyle name="Comma 6 7 4 3 3" xfId="7721"/>
    <cellStyle name="Comma 6 7 4 4" xfId="820"/>
    <cellStyle name="Comma 6 7 4 4 2" xfId="821"/>
    <cellStyle name="Comma 6 7 4 4 2 2" xfId="4621"/>
    <cellStyle name="Comma 6 7 4 4 2 3" xfId="7723"/>
    <cellStyle name="Comma 6 7 4 4 3" xfId="822"/>
    <cellStyle name="Comma 6 7 4 4 3 2" xfId="823"/>
    <cellStyle name="Comma 6 7 4 4 3 2 2" xfId="4623"/>
    <cellStyle name="Comma 6 7 4 4 3 2 3" xfId="7725"/>
    <cellStyle name="Comma 6 7 4 4 3 3" xfId="824"/>
    <cellStyle name="Comma 6 7 4 4 3 3 2" xfId="4624"/>
    <cellStyle name="Comma 6 7 4 4 3 3 3" xfId="7726"/>
    <cellStyle name="Comma 6 7 4 4 3 4" xfId="825"/>
    <cellStyle name="Comma 6 7 4 4 3 4 2" xfId="826"/>
    <cellStyle name="Comma 6 7 4 4 3 4 2 2" xfId="4626"/>
    <cellStyle name="Comma 6 7 4 4 3 4 2 3" xfId="7728"/>
    <cellStyle name="Comma 6 7 4 4 3 4 3" xfId="827"/>
    <cellStyle name="Comma 6 7 4 4 3 4 3 2" xfId="4627"/>
    <cellStyle name="Comma 6 7 4 4 3 4 3 3" xfId="7729"/>
    <cellStyle name="Comma 6 7 4 4 3 4 4" xfId="4625"/>
    <cellStyle name="Comma 6 7 4 4 3 4 5" xfId="7727"/>
    <cellStyle name="Comma 6 7 4 4 3 5" xfId="4622"/>
    <cellStyle name="Comma 6 7 4 4 3 6" xfId="7724"/>
    <cellStyle name="Comma 6 7 4 4 4" xfId="4620"/>
    <cellStyle name="Comma 6 7 4 4 5" xfId="7722"/>
    <cellStyle name="Comma 6 7 4 5" xfId="4608"/>
    <cellStyle name="Comma 6 7 4 6" xfId="7710"/>
    <cellStyle name="Comma 6 7 5" xfId="4605"/>
    <cellStyle name="Comma 6 7 6" xfId="7707"/>
    <cellStyle name="Comma 6 8" xfId="828"/>
    <cellStyle name="Comma 6 9" xfId="829"/>
    <cellStyle name="Comma 6 9 2" xfId="830"/>
    <cellStyle name="Comma 6 9 3" xfId="831"/>
    <cellStyle name="Comma 6 9 4" xfId="6712"/>
    <cellStyle name="Comma 7" xfId="832"/>
    <cellStyle name="Comma 7 10" xfId="833"/>
    <cellStyle name="Comma 7 10 2" xfId="4629"/>
    <cellStyle name="Comma 7 11" xfId="4053"/>
    <cellStyle name="Comma 7 11 2" xfId="4630"/>
    <cellStyle name="Comma 7 11 2 2" xfId="6714"/>
    <cellStyle name="Comma 7 11 2 3" xfId="9715"/>
    <cellStyle name="Comma 7 11 2 3 2" xfId="16720"/>
    <cellStyle name="Comma 7 11 2 3 2 2" xfId="23687"/>
    <cellStyle name="Comma 7 11 2 3 2 3" xfId="30654"/>
    <cellStyle name="Comma 7 11 2 3 2 4" xfId="37623"/>
    <cellStyle name="Comma 7 11 2 3 3" xfId="12078"/>
    <cellStyle name="Comma 7 11 2 3 4" xfId="19045"/>
    <cellStyle name="Comma 7 11 2 3 5" xfId="26012"/>
    <cellStyle name="Comma 7 11 2 3 6" xfId="32980"/>
    <cellStyle name="Comma 7 11 2 4" xfId="14400"/>
    <cellStyle name="Comma 7 11 2 4 2" xfId="21367"/>
    <cellStyle name="Comma 7 11 2 4 3" xfId="28334"/>
    <cellStyle name="Comma 7 11 2 4 4" xfId="35303"/>
    <cellStyle name="Comma 7 11 3" xfId="6713"/>
    <cellStyle name="Comma 7 11 4" xfId="9659"/>
    <cellStyle name="Comma 7 11 4 2" xfId="16691"/>
    <cellStyle name="Comma 7 11 4 2 2" xfId="23658"/>
    <cellStyle name="Comma 7 11 4 2 3" xfId="30625"/>
    <cellStyle name="Comma 7 11 4 2 4" xfId="37594"/>
    <cellStyle name="Comma 7 11 4 3" xfId="12049"/>
    <cellStyle name="Comma 7 11 4 4" xfId="19016"/>
    <cellStyle name="Comma 7 11 4 5" xfId="25983"/>
    <cellStyle name="Comma 7 11 4 6" xfId="32951"/>
    <cellStyle name="Comma 7 11 5" xfId="14371"/>
    <cellStyle name="Comma 7 11 5 2" xfId="21338"/>
    <cellStyle name="Comma 7 11 5 3" xfId="28305"/>
    <cellStyle name="Comma 7 11 5 4" xfId="35274"/>
    <cellStyle name="Comma 7 12" xfId="4628"/>
    <cellStyle name="Comma 7 12 2" xfId="6715"/>
    <cellStyle name="Comma 7 12 3" xfId="9714"/>
    <cellStyle name="Comma 7 2" xfId="834"/>
    <cellStyle name="Comma 7 2 2" xfId="4631"/>
    <cellStyle name="Comma 7 2 3" xfId="7730"/>
    <cellStyle name="Comma 7 3" xfId="835"/>
    <cellStyle name="Comma 7 3 2" xfId="836"/>
    <cellStyle name="Comma 7 3 2 2" xfId="837"/>
    <cellStyle name="Comma 7 3 2 2 2" xfId="838"/>
    <cellStyle name="Comma 7 3 2 2 3" xfId="839"/>
    <cellStyle name="Comma 7 3 2 3" xfId="840"/>
    <cellStyle name="Comma 7 3 2 4" xfId="841"/>
    <cellStyle name="Comma 7 3 2 4 2" xfId="842"/>
    <cellStyle name="Comma 7 3 2 4 3" xfId="843"/>
    <cellStyle name="Comma 7 3 2 4 3 2" xfId="844"/>
    <cellStyle name="Comma 7 3 2 4 4" xfId="845"/>
    <cellStyle name="Comma 7 3 2 4 4 2" xfId="846"/>
    <cellStyle name="Comma 7 3 2 4 5" xfId="847"/>
    <cellStyle name="Comma 7 3 2 4 5 2" xfId="848"/>
    <cellStyle name="Comma 7 3 2 5" xfId="3191"/>
    <cellStyle name="Comma 7 3 3" xfId="849"/>
    <cellStyle name="Comma 7 3 3 2" xfId="850"/>
    <cellStyle name="Comma 7 3 3 3" xfId="851"/>
    <cellStyle name="Comma 7 3 3 3 2" xfId="852"/>
    <cellStyle name="Comma 7 3 4" xfId="853"/>
    <cellStyle name="Comma 7 3 4 2" xfId="854"/>
    <cellStyle name="Comma 7 3 4 3" xfId="855"/>
    <cellStyle name="Comma 7 3 5" xfId="856"/>
    <cellStyle name="Comma 7 3 5 2" xfId="857"/>
    <cellStyle name="Comma 7 3 6" xfId="858"/>
    <cellStyle name="Comma 7 3 6 2" xfId="3192"/>
    <cellStyle name="Comma 7 3 6 3" xfId="4632"/>
    <cellStyle name="Comma 7 3 7" xfId="859"/>
    <cellStyle name="Comma 7 3 7 2" xfId="4633"/>
    <cellStyle name="Comma 7 3 8" xfId="4052"/>
    <cellStyle name="Comma 7 3 8 2" xfId="4634"/>
    <cellStyle name="Comma 7 3 8 2 2" xfId="6717"/>
    <cellStyle name="Comma 7 3 8 2 3" xfId="9716"/>
    <cellStyle name="Comma 7 3 8 2 3 2" xfId="16721"/>
    <cellStyle name="Comma 7 3 8 2 3 2 2" xfId="23688"/>
    <cellStyle name="Comma 7 3 8 2 3 2 3" xfId="30655"/>
    <cellStyle name="Comma 7 3 8 2 3 2 4" xfId="37624"/>
    <cellStyle name="Comma 7 3 8 2 3 3" xfId="12079"/>
    <cellStyle name="Comma 7 3 8 2 3 4" xfId="19046"/>
    <cellStyle name="Comma 7 3 8 2 3 5" xfId="26013"/>
    <cellStyle name="Comma 7 3 8 2 3 6" xfId="32981"/>
    <cellStyle name="Comma 7 3 8 2 4" xfId="14401"/>
    <cellStyle name="Comma 7 3 8 2 4 2" xfId="21368"/>
    <cellStyle name="Comma 7 3 8 2 4 3" xfId="28335"/>
    <cellStyle name="Comma 7 3 8 2 4 4" xfId="35304"/>
    <cellStyle name="Comma 7 3 8 3" xfId="6716"/>
    <cellStyle name="Comma 7 3 8 4" xfId="9658"/>
    <cellStyle name="Comma 7 3 8 4 2" xfId="16690"/>
    <cellStyle name="Comma 7 3 8 4 2 2" xfId="23657"/>
    <cellStyle name="Comma 7 3 8 4 2 3" xfId="30624"/>
    <cellStyle name="Comma 7 3 8 4 2 4" xfId="37593"/>
    <cellStyle name="Comma 7 3 8 4 3" xfId="12048"/>
    <cellStyle name="Comma 7 3 8 4 4" xfId="19015"/>
    <cellStyle name="Comma 7 3 8 4 5" xfId="25982"/>
    <cellStyle name="Comma 7 3 8 4 6" xfId="32950"/>
    <cellStyle name="Comma 7 3 8 5" xfId="14370"/>
    <cellStyle name="Comma 7 3 8 5 2" xfId="21337"/>
    <cellStyle name="Comma 7 3 8 5 3" xfId="28304"/>
    <cellStyle name="Comma 7 3 8 5 4" xfId="35273"/>
    <cellStyle name="Comma 7 3 9" xfId="6718"/>
    <cellStyle name="Comma 7 4" xfId="860"/>
    <cellStyle name="Comma 7 4 2" xfId="861"/>
    <cellStyle name="Comma 7 4 2 2" xfId="862"/>
    <cellStyle name="Comma 7 4 2 2 2" xfId="863"/>
    <cellStyle name="Comma 7 4 2 2 3" xfId="864"/>
    <cellStyle name="Comma 7 4 2 3" xfId="865"/>
    <cellStyle name="Comma 7 4 2 4" xfId="866"/>
    <cellStyle name="Comma 7 4 2 4 2" xfId="867"/>
    <cellStyle name="Comma 7 4 2 4 3" xfId="868"/>
    <cellStyle name="Comma 7 4 2 4 3 2" xfId="869"/>
    <cellStyle name="Comma 7 4 2 4 4" xfId="870"/>
    <cellStyle name="Comma 7 4 2 4 4 2" xfId="871"/>
    <cellStyle name="Comma 7 4 2 4 5" xfId="872"/>
    <cellStyle name="Comma 7 4 2 4 5 2" xfId="873"/>
    <cellStyle name="Comma 7 4 2 5" xfId="3193"/>
    <cellStyle name="Comma 7 4 3" xfId="874"/>
    <cellStyle name="Comma 7 4 3 2" xfId="875"/>
    <cellStyle name="Comma 7 4 3 3" xfId="876"/>
    <cellStyle name="Comma 7 4 3 3 2" xfId="877"/>
    <cellStyle name="Comma 7 4 4" xfId="878"/>
    <cellStyle name="Comma 7 4 4 2" xfId="879"/>
    <cellStyle name="Comma 7 4 4 3" xfId="880"/>
    <cellStyle name="Comma 7 4 5" xfId="881"/>
    <cellStyle name="Comma 7 4 5 2" xfId="882"/>
    <cellStyle name="Comma 7 4 6" xfId="883"/>
    <cellStyle name="Comma 7 4 6 2" xfId="4635"/>
    <cellStyle name="Comma 7 4 7" xfId="884"/>
    <cellStyle name="Comma 7 4 7 2" xfId="4636"/>
    <cellStyle name="Comma 7 4 8" xfId="4051"/>
    <cellStyle name="Comma 7 4 8 2" xfId="6720"/>
    <cellStyle name="Comma 7 4 8 3" xfId="6719"/>
    <cellStyle name="Comma 7 4 8 4" xfId="9657"/>
    <cellStyle name="Comma 7 4 9" xfId="6721"/>
    <cellStyle name="Comma 7 5" xfId="885"/>
    <cellStyle name="Comma 7 5 2" xfId="886"/>
    <cellStyle name="Comma 7 5 2 2" xfId="887"/>
    <cellStyle name="Comma 7 5 2 3" xfId="888"/>
    <cellStyle name="Comma 7 5 3" xfId="889"/>
    <cellStyle name="Comma 7 5 4" xfId="890"/>
    <cellStyle name="Comma 7 5 4 2" xfId="891"/>
    <cellStyle name="Comma 7 5 4 3" xfId="892"/>
    <cellStyle name="Comma 7 5 4 3 2" xfId="893"/>
    <cellStyle name="Comma 7 5 4 4" xfId="894"/>
    <cellStyle name="Comma 7 5 4 4 2" xfId="895"/>
    <cellStyle name="Comma 7 5 4 5" xfId="896"/>
    <cellStyle name="Comma 7 5 4 5 2" xfId="897"/>
    <cellStyle name="Comma 7 5 5" xfId="3194"/>
    <cellStyle name="Comma 7 5 5 2" xfId="6722"/>
    <cellStyle name="Comma 7 5 5 3" xfId="8841"/>
    <cellStyle name="Comma 7 6" xfId="898"/>
    <cellStyle name="Comma 7 6 2" xfId="899"/>
    <cellStyle name="Comma 7 6 3" xfId="900"/>
    <cellStyle name="Comma 7 7" xfId="901"/>
    <cellStyle name="Comma 7 7 2" xfId="902"/>
    <cellStyle name="Comma 7 7 3" xfId="903"/>
    <cellStyle name="Comma 7 7 4" xfId="904"/>
    <cellStyle name="Comma 7 8" xfId="905"/>
    <cellStyle name="Comma 7 8 2" xfId="906"/>
    <cellStyle name="Comma 7 9" xfId="907"/>
    <cellStyle name="Comma 7 9 2" xfId="3196"/>
    <cellStyle name="Comma 7 9 3" xfId="3195"/>
    <cellStyle name="Comma 8" xfId="908"/>
    <cellStyle name="Comma 8 10" xfId="7731"/>
    <cellStyle name="Comma 8 2" xfId="909"/>
    <cellStyle name="Comma 8 2 2" xfId="910"/>
    <cellStyle name="Comma 8 2 2 2" xfId="4639"/>
    <cellStyle name="Comma 8 2 2 2 2" xfId="6723"/>
    <cellStyle name="Comma 8 2 2 2 3" xfId="9718"/>
    <cellStyle name="Comma 8 2 2 3" xfId="7733"/>
    <cellStyle name="Comma 8 2 3" xfId="4638"/>
    <cellStyle name="Comma 8 2 3 2" xfId="6724"/>
    <cellStyle name="Comma 8 2 3 3" xfId="9717"/>
    <cellStyle name="Comma 8 2 4" xfId="7732"/>
    <cellStyle name="Comma 8 3" xfId="911"/>
    <cellStyle name="Comma 8 3 2" xfId="912"/>
    <cellStyle name="Comma 8 3 2 2" xfId="4641"/>
    <cellStyle name="Comma 8 3 2 3" xfId="7735"/>
    <cellStyle name="Comma 8 3 3" xfId="913"/>
    <cellStyle name="Comma 8 3 3 2" xfId="914"/>
    <cellStyle name="Comma 8 3 3 2 2" xfId="4643"/>
    <cellStyle name="Comma 8 3 3 2 3" xfId="7737"/>
    <cellStyle name="Comma 8 3 3 3" xfId="915"/>
    <cellStyle name="Comma 8 3 3 3 2" xfId="916"/>
    <cellStyle name="Comma 8 3 3 3 2 2" xfId="4645"/>
    <cellStyle name="Comma 8 3 3 3 2 3" xfId="7739"/>
    <cellStyle name="Comma 8 3 3 3 3" xfId="4644"/>
    <cellStyle name="Comma 8 3 3 3 4" xfId="7738"/>
    <cellStyle name="Comma 8 3 3 4" xfId="917"/>
    <cellStyle name="Comma 8 3 3 4 2" xfId="918"/>
    <cellStyle name="Comma 8 3 3 4 2 2" xfId="4647"/>
    <cellStyle name="Comma 8 3 3 4 2 3" xfId="7741"/>
    <cellStyle name="Comma 8 3 3 4 3" xfId="919"/>
    <cellStyle name="Comma 8 3 3 4 3 2" xfId="4648"/>
    <cellStyle name="Comma 8 3 3 4 3 3" xfId="7742"/>
    <cellStyle name="Comma 8 3 3 4 4" xfId="920"/>
    <cellStyle name="Comma 8 3 3 4 4 2" xfId="921"/>
    <cellStyle name="Comma 8 3 3 4 4 2 2" xfId="922"/>
    <cellStyle name="Comma 8 3 3 4 4 2 2 2" xfId="4651"/>
    <cellStyle name="Comma 8 3 3 4 4 2 2 3" xfId="7745"/>
    <cellStyle name="Comma 8 3 3 4 4 2 3" xfId="923"/>
    <cellStyle name="Comma 8 3 3 4 4 2 3 2" xfId="924"/>
    <cellStyle name="Comma 8 3 3 4 4 2 3 2 2" xfId="4653"/>
    <cellStyle name="Comma 8 3 3 4 4 2 3 2 3" xfId="7747"/>
    <cellStyle name="Comma 8 3 3 4 4 2 3 3" xfId="925"/>
    <cellStyle name="Comma 8 3 3 4 4 2 3 3 2" xfId="926"/>
    <cellStyle name="Comma 8 3 3 4 4 2 3 3 2 2" xfId="4655"/>
    <cellStyle name="Comma 8 3 3 4 4 2 3 3 2 3" xfId="7749"/>
    <cellStyle name="Comma 8 3 3 4 4 2 3 3 3" xfId="927"/>
    <cellStyle name="Comma 8 3 3 4 4 2 3 3 3 2" xfId="4656"/>
    <cellStyle name="Comma 8 3 3 4 4 2 3 3 3 3" xfId="7750"/>
    <cellStyle name="Comma 8 3 3 4 4 2 3 3 4" xfId="928"/>
    <cellStyle name="Comma 8 3 3 4 4 2 3 3 4 2" xfId="929"/>
    <cellStyle name="Comma 8 3 3 4 4 2 3 3 4 2 2" xfId="4658"/>
    <cellStyle name="Comma 8 3 3 4 4 2 3 3 4 2 3" xfId="7752"/>
    <cellStyle name="Comma 8 3 3 4 4 2 3 3 4 3" xfId="930"/>
    <cellStyle name="Comma 8 3 3 4 4 2 3 3 4 3 2" xfId="4659"/>
    <cellStyle name="Comma 8 3 3 4 4 2 3 3 4 3 3" xfId="7753"/>
    <cellStyle name="Comma 8 3 3 4 4 2 3 3 4 4" xfId="4657"/>
    <cellStyle name="Comma 8 3 3 4 4 2 3 3 4 5" xfId="7751"/>
    <cellStyle name="Comma 8 3 3 4 4 2 3 3 5" xfId="4654"/>
    <cellStyle name="Comma 8 3 3 4 4 2 3 3 6" xfId="7748"/>
    <cellStyle name="Comma 8 3 3 4 4 2 3 4" xfId="4652"/>
    <cellStyle name="Comma 8 3 3 4 4 2 3 5" xfId="7746"/>
    <cellStyle name="Comma 8 3 3 4 4 2 4" xfId="4650"/>
    <cellStyle name="Comma 8 3 3 4 4 2 5" xfId="7744"/>
    <cellStyle name="Comma 8 3 3 4 4 3" xfId="931"/>
    <cellStyle name="Comma 8 3 3 4 4 3 2" xfId="4660"/>
    <cellStyle name="Comma 8 3 3 4 4 3 3" xfId="7754"/>
    <cellStyle name="Comma 8 3 3 4 4 4" xfId="932"/>
    <cellStyle name="Comma 8 3 3 4 4 4 2" xfId="933"/>
    <cellStyle name="Comma 8 3 3 4 4 4 2 2" xfId="4662"/>
    <cellStyle name="Comma 8 3 3 4 4 4 2 3" xfId="7756"/>
    <cellStyle name="Comma 8 3 3 4 4 4 3" xfId="934"/>
    <cellStyle name="Comma 8 3 3 4 4 4 3 2" xfId="935"/>
    <cellStyle name="Comma 8 3 3 4 4 4 3 2 2" xfId="4664"/>
    <cellStyle name="Comma 8 3 3 4 4 4 3 2 3" xfId="7758"/>
    <cellStyle name="Comma 8 3 3 4 4 4 3 3" xfId="936"/>
    <cellStyle name="Comma 8 3 3 4 4 4 3 3 2" xfId="4665"/>
    <cellStyle name="Comma 8 3 3 4 4 4 3 3 3" xfId="7759"/>
    <cellStyle name="Comma 8 3 3 4 4 4 3 4" xfId="937"/>
    <cellStyle name="Comma 8 3 3 4 4 4 3 4 2" xfId="938"/>
    <cellStyle name="Comma 8 3 3 4 4 4 3 4 2 2" xfId="4667"/>
    <cellStyle name="Comma 8 3 3 4 4 4 3 4 2 3" xfId="7761"/>
    <cellStyle name="Comma 8 3 3 4 4 4 3 4 3" xfId="939"/>
    <cellStyle name="Comma 8 3 3 4 4 4 3 4 3 2" xfId="4668"/>
    <cellStyle name="Comma 8 3 3 4 4 4 3 4 3 3" xfId="7762"/>
    <cellStyle name="Comma 8 3 3 4 4 4 3 4 4" xfId="4666"/>
    <cellStyle name="Comma 8 3 3 4 4 4 3 4 5" xfId="7760"/>
    <cellStyle name="Comma 8 3 3 4 4 4 3 5" xfId="4663"/>
    <cellStyle name="Comma 8 3 3 4 4 4 3 6" xfId="7757"/>
    <cellStyle name="Comma 8 3 3 4 4 4 4" xfId="4661"/>
    <cellStyle name="Comma 8 3 3 4 4 4 5" xfId="7755"/>
    <cellStyle name="Comma 8 3 3 4 4 5" xfId="4649"/>
    <cellStyle name="Comma 8 3 3 4 4 6" xfId="7743"/>
    <cellStyle name="Comma 8 3 3 4 5" xfId="4646"/>
    <cellStyle name="Comma 8 3 3 4 6" xfId="7740"/>
    <cellStyle name="Comma 8 3 3 5" xfId="4642"/>
    <cellStyle name="Comma 8 3 3 6" xfId="7736"/>
    <cellStyle name="Comma 8 3 4" xfId="940"/>
    <cellStyle name="Comma 8 3 4 2" xfId="941"/>
    <cellStyle name="Comma 8 3 4 2 2" xfId="4670"/>
    <cellStyle name="Comma 8 3 4 2 3" xfId="7764"/>
    <cellStyle name="Comma 8 3 4 3" xfId="4669"/>
    <cellStyle name="Comma 8 3 4 4" xfId="7763"/>
    <cellStyle name="Comma 8 3 5" xfId="942"/>
    <cellStyle name="Comma 8 3 5 2" xfId="943"/>
    <cellStyle name="Comma 8 3 5 2 2" xfId="4672"/>
    <cellStyle name="Comma 8 3 5 2 3" xfId="7766"/>
    <cellStyle name="Comma 8 3 5 3" xfId="944"/>
    <cellStyle name="Comma 8 3 5 3 2" xfId="4673"/>
    <cellStyle name="Comma 8 3 5 3 3" xfId="7767"/>
    <cellStyle name="Comma 8 3 5 4" xfId="945"/>
    <cellStyle name="Comma 8 3 5 4 2" xfId="946"/>
    <cellStyle name="Comma 8 3 5 4 2 2" xfId="947"/>
    <cellStyle name="Comma 8 3 5 4 2 2 2" xfId="4676"/>
    <cellStyle name="Comma 8 3 5 4 2 2 3" xfId="7770"/>
    <cellStyle name="Comma 8 3 5 4 2 3" xfId="948"/>
    <cellStyle name="Comma 8 3 5 4 2 3 2" xfId="949"/>
    <cellStyle name="Comma 8 3 5 4 2 3 2 2" xfId="4678"/>
    <cellStyle name="Comma 8 3 5 4 2 3 2 3" xfId="7772"/>
    <cellStyle name="Comma 8 3 5 4 2 3 3" xfId="950"/>
    <cellStyle name="Comma 8 3 5 4 2 3 3 2" xfId="951"/>
    <cellStyle name="Comma 8 3 5 4 2 3 3 2 2" xfId="4680"/>
    <cellStyle name="Comma 8 3 5 4 2 3 3 2 3" xfId="7774"/>
    <cellStyle name="Comma 8 3 5 4 2 3 3 3" xfId="952"/>
    <cellStyle name="Comma 8 3 5 4 2 3 3 3 2" xfId="4681"/>
    <cellStyle name="Comma 8 3 5 4 2 3 3 3 3" xfId="7775"/>
    <cellStyle name="Comma 8 3 5 4 2 3 3 4" xfId="953"/>
    <cellStyle name="Comma 8 3 5 4 2 3 3 4 2" xfId="954"/>
    <cellStyle name="Comma 8 3 5 4 2 3 3 4 2 2" xfId="4683"/>
    <cellStyle name="Comma 8 3 5 4 2 3 3 4 2 3" xfId="7777"/>
    <cellStyle name="Comma 8 3 5 4 2 3 3 4 3" xfId="955"/>
    <cellStyle name="Comma 8 3 5 4 2 3 3 4 3 2" xfId="4684"/>
    <cellStyle name="Comma 8 3 5 4 2 3 3 4 3 3" xfId="7778"/>
    <cellStyle name="Comma 8 3 5 4 2 3 3 4 4" xfId="4682"/>
    <cellStyle name="Comma 8 3 5 4 2 3 3 4 5" xfId="7776"/>
    <cellStyle name="Comma 8 3 5 4 2 3 3 5" xfId="4679"/>
    <cellStyle name="Comma 8 3 5 4 2 3 3 6" xfId="7773"/>
    <cellStyle name="Comma 8 3 5 4 2 3 4" xfId="4677"/>
    <cellStyle name="Comma 8 3 5 4 2 3 5" xfId="7771"/>
    <cellStyle name="Comma 8 3 5 4 2 4" xfId="4675"/>
    <cellStyle name="Comma 8 3 5 4 2 5" xfId="7769"/>
    <cellStyle name="Comma 8 3 5 4 3" xfId="956"/>
    <cellStyle name="Comma 8 3 5 4 3 2" xfId="4685"/>
    <cellStyle name="Comma 8 3 5 4 3 3" xfId="7779"/>
    <cellStyle name="Comma 8 3 5 4 4" xfId="957"/>
    <cellStyle name="Comma 8 3 5 4 4 2" xfId="958"/>
    <cellStyle name="Comma 8 3 5 4 4 2 2" xfId="4687"/>
    <cellStyle name="Comma 8 3 5 4 4 2 3" xfId="7781"/>
    <cellStyle name="Comma 8 3 5 4 4 3" xfId="959"/>
    <cellStyle name="Comma 8 3 5 4 4 3 2" xfId="960"/>
    <cellStyle name="Comma 8 3 5 4 4 3 2 2" xfId="4689"/>
    <cellStyle name="Comma 8 3 5 4 4 3 2 3" xfId="7783"/>
    <cellStyle name="Comma 8 3 5 4 4 3 3" xfId="961"/>
    <cellStyle name="Comma 8 3 5 4 4 3 3 2" xfId="4690"/>
    <cellStyle name="Comma 8 3 5 4 4 3 3 3" xfId="7784"/>
    <cellStyle name="Comma 8 3 5 4 4 3 4" xfId="962"/>
    <cellStyle name="Comma 8 3 5 4 4 3 4 2" xfId="963"/>
    <cellStyle name="Comma 8 3 5 4 4 3 4 2 2" xfId="4692"/>
    <cellStyle name="Comma 8 3 5 4 4 3 4 2 3" xfId="7786"/>
    <cellStyle name="Comma 8 3 5 4 4 3 4 3" xfId="964"/>
    <cellStyle name="Comma 8 3 5 4 4 3 4 3 2" xfId="4693"/>
    <cellStyle name="Comma 8 3 5 4 4 3 4 3 3" xfId="7787"/>
    <cellStyle name="Comma 8 3 5 4 4 3 4 4" xfId="4691"/>
    <cellStyle name="Comma 8 3 5 4 4 3 4 5" xfId="7785"/>
    <cellStyle name="Comma 8 3 5 4 4 3 5" xfId="4688"/>
    <cellStyle name="Comma 8 3 5 4 4 3 6" xfId="7782"/>
    <cellStyle name="Comma 8 3 5 4 4 4" xfId="4686"/>
    <cellStyle name="Comma 8 3 5 4 4 5" xfId="7780"/>
    <cellStyle name="Comma 8 3 5 4 5" xfId="4674"/>
    <cellStyle name="Comma 8 3 5 4 6" xfId="7768"/>
    <cellStyle name="Comma 8 3 5 5" xfId="4671"/>
    <cellStyle name="Comma 8 3 5 6" xfId="7765"/>
    <cellStyle name="Comma 8 3 6" xfId="4640"/>
    <cellStyle name="Comma 8 3 7" xfId="7734"/>
    <cellStyle name="Comma 8 4" xfId="965"/>
    <cellStyle name="Comma 8 4 2" xfId="966"/>
    <cellStyle name="Comma 8 4 2 2" xfId="4695"/>
    <cellStyle name="Comma 8 4 2 3" xfId="7789"/>
    <cellStyle name="Comma 8 4 3" xfId="967"/>
    <cellStyle name="Comma 8 4 3 2" xfId="968"/>
    <cellStyle name="Comma 8 4 3 2 2" xfId="4697"/>
    <cellStyle name="Comma 8 4 3 2 3" xfId="7791"/>
    <cellStyle name="Comma 8 4 3 3" xfId="4696"/>
    <cellStyle name="Comma 8 4 3 4" xfId="7790"/>
    <cellStyle name="Comma 8 4 4" xfId="969"/>
    <cellStyle name="Comma 8 4 4 2" xfId="970"/>
    <cellStyle name="Comma 8 4 4 2 2" xfId="4699"/>
    <cellStyle name="Comma 8 4 4 2 3" xfId="7793"/>
    <cellStyle name="Comma 8 4 4 3" xfId="971"/>
    <cellStyle name="Comma 8 4 4 3 2" xfId="4700"/>
    <cellStyle name="Comma 8 4 4 3 3" xfId="7794"/>
    <cellStyle name="Comma 8 4 4 4" xfId="972"/>
    <cellStyle name="Comma 8 4 4 4 2" xfId="973"/>
    <cellStyle name="Comma 8 4 4 4 2 2" xfId="974"/>
    <cellStyle name="Comma 8 4 4 4 2 2 2" xfId="4703"/>
    <cellStyle name="Comma 8 4 4 4 2 2 3" xfId="7797"/>
    <cellStyle name="Comma 8 4 4 4 2 3" xfId="975"/>
    <cellStyle name="Comma 8 4 4 4 2 3 2" xfId="976"/>
    <cellStyle name="Comma 8 4 4 4 2 3 2 2" xfId="4705"/>
    <cellStyle name="Comma 8 4 4 4 2 3 2 3" xfId="7799"/>
    <cellStyle name="Comma 8 4 4 4 2 3 3" xfId="977"/>
    <cellStyle name="Comma 8 4 4 4 2 3 3 2" xfId="978"/>
    <cellStyle name="Comma 8 4 4 4 2 3 3 2 2" xfId="4707"/>
    <cellStyle name="Comma 8 4 4 4 2 3 3 2 3" xfId="7801"/>
    <cellStyle name="Comma 8 4 4 4 2 3 3 3" xfId="979"/>
    <cellStyle name="Comma 8 4 4 4 2 3 3 3 2" xfId="4708"/>
    <cellStyle name="Comma 8 4 4 4 2 3 3 3 3" xfId="7802"/>
    <cellStyle name="Comma 8 4 4 4 2 3 3 4" xfId="980"/>
    <cellStyle name="Comma 8 4 4 4 2 3 3 4 2" xfId="981"/>
    <cellStyle name="Comma 8 4 4 4 2 3 3 4 2 2" xfId="4710"/>
    <cellStyle name="Comma 8 4 4 4 2 3 3 4 2 3" xfId="7804"/>
    <cellStyle name="Comma 8 4 4 4 2 3 3 4 3" xfId="982"/>
    <cellStyle name="Comma 8 4 4 4 2 3 3 4 3 2" xfId="4711"/>
    <cellStyle name="Comma 8 4 4 4 2 3 3 4 3 3" xfId="7805"/>
    <cellStyle name="Comma 8 4 4 4 2 3 3 4 4" xfId="4709"/>
    <cellStyle name="Comma 8 4 4 4 2 3 3 4 5" xfId="7803"/>
    <cellStyle name="Comma 8 4 4 4 2 3 3 5" xfId="4706"/>
    <cellStyle name="Comma 8 4 4 4 2 3 3 6" xfId="7800"/>
    <cellStyle name="Comma 8 4 4 4 2 3 4" xfId="4704"/>
    <cellStyle name="Comma 8 4 4 4 2 3 5" xfId="7798"/>
    <cellStyle name="Comma 8 4 4 4 2 4" xfId="4702"/>
    <cellStyle name="Comma 8 4 4 4 2 5" xfId="7796"/>
    <cellStyle name="Comma 8 4 4 4 3" xfId="983"/>
    <cellStyle name="Comma 8 4 4 4 3 2" xfId="4712"/>
    <cellStyle name="Comma 8 4 4 4 3 3" xfId="7806"/>
    <cellStyle name="Comma 8 4 4 4 4" xfId="984"/>
    <cellStyle name="Comma 8 4 4 4 4 2" xfId="985"/>
    <cellStyle name="Comma 8 4 4 4 4 2 2" xfId="4714"/>
    <cellStyle name="Comma 8 4 4 4 4 2 3" xfId="7808"/>
    <cellStyle name="Comma 8 4 4 4 4 3" xfId="986"/>
    <cellStyle name="Comma 8 4 4 4 4 3 2" xfId="987"/>
    <cellStyle name="Comma 8 4 4 4 4 3 2 2" xfId="4716"/>
    <cellStyle name="Comma 8 4 4 4 4 3 2 3" xfId="7810"/>
    <cellStyle name="Comma 8 4 4 4 4 3 3" xfId="988"/>
    <cellStyle name="Comma 8 4 4 4 4 3 3 2" xfId="4717"/>
    <cellStyle name="Comma 8 4 4 4 4 3 3 3" xfId="7811"/>
    <cellStyle name="Comma 8 4 4 4 4 3 4" xfId="989"/>
    <cellStyle name="Comma 8 4 4 4 4 3 4 2" xfId="990"/>
    <cellStyle name="Comma 8 4 4 4 4 3 4 2 2" xfId="4719"/>
    <cellStyle name="Comma 8 4 4 4 4 3 4 2 3" xfId="7813"/>
    <cellStyle name="Comma 8 4 4 4 4 3 4 3" xfId="991"/>
    <cellStyle name="Comma 8 4 4 4 4 3 4 3 2" xfId="4720"/>
    <cellStyle name="Comma 8 4 4 4 4 3 4 3 3" xfId="7814"/>
    <cellStyle name="Comma 8 4 4 4 4 3 4 4" xfId="4718"/>
    <cellStyle name="Comma 8 4 4 4 4 3 4 5" xfId="7812"/>
    <cellStyle name="Comma 8 4 4 4 4 3 5" xfId="4715"/>
    <cellStyle name="Comma 8 4 4 4 4 3 6" xfId="7809"/>
    <cellStyle name="Comma 8 4 4 4 4 4" xfId="4713"/>
    <cellStyle name="Comma 8 4 4 4 4 5" xfId="7807"/>
    <cellStyle name="Comma 8 4 4 4 5" xfId="4701"/>
    <cellStyle name="Comma 8 4 4 4 6" xfId="7795"/>
    <cellStyle name="Comma 8 4 4 5" xfId="4698"/>
    <cellStyle name="Comma 8 4 4 6" xfId="7792"/>
    <cellStyle name="Comma 8 4 5" xfId="4694"/>
    <cellStyle name="Comma 8 4 6" xfId="7788"/>
    <cellStyle name="Comma 8 5" xfId="992"/>
    <cellStyle name="Comma 8 5 2" xfId="993"/>
    <cellStyle name="Comma 8 5 2 2" xfId="4722"/>
    <cellStyle name="Comma 8 5 2 3" xfId="7816"/>
    <cellStyle name="Comma 8 5 3" xfId="4721"/>
    <cellStyle name="Comma 8 5 4" xfId="7815"/>
    <cellStyle name="Comma 8 6" xfId="994"/>
    <cellStyle name="Comma 8 6 2" xfId="995"/>
    <cellStyle name="Comma 8 6 2 2" xfId="4724"/>
    <cellStyle name="Comma 8 6 2 3" xfId="7818"/>
    <cellStyle name="Comma 8 6 3" xfId="996"/>
    <cellStyle name="Comma 8 6 3 2" xfId="4725"/>
    <cellStyle name="Comma 8 6 3 3" xfId="7819"/>
    <cellStyle name="Comma 8 6 4" xfId="997"/>
    <cellStyle name="Comma 8 6 4 2" xfId="998"/>
    <cellStyle name="Comma 8 6 4 2 2" xfId="999"/>
    <cellStyle name="Comma 8 6 4 2 2 2" xfId="4728"/>
    <cellStyle name="Comma 8 6 4 2 2 3" xfId="7822"/>
    <cellStyle name="Comma 8 6 4 2 3" xfId="1000"/>
    <cellStyle name="Comma 8 6 4 2 3 2" xfId="1001"/>
    <cellStyle name="Comma 8 6 4 2 3 2 2" xfId="4730"/>
    <cellStyle name="Comma 8 6 4 2 3 2 3" xfId="7824"/>
    <cellStyle name="Comma 8 6 4 2 3 3" xfId="1002"/>
    <cellStyle name="Comma 8 6 4 2 3 3 2" xfId="1003"/>
    <cellStyle name="Comma 8 6 4 2 3 3 2 2" xfId="4732"/>
    <cellStyle name="Comma 8 6 4 2 3 3 2 3" xfId="7826"/>
    <cellStyle name="Comma 8 6 4 2 3 3 3" xfId="1004"/>
    <cellStyle name="Comma 8 6 4 2 3 3 3 2" xfId="4733"/>
    <cellStyle name="Comma 8 6 4 2 3 3 3 3" xfId="7827"/>
    <cellStyle name="Comma 8 6 4 2 3 3 4" xfId="1005"/>
    <cellStyle name="Comma 8 6 4 2 3 3 4 2" xfId="1006"/>
    <cellStyle name="Comma 8 6 4 2 3 3 4 2 2" xfId="4735"/>
    <cellStyle name="Comma 8 6 4 2 3 3 4 2 3" xfId="7829"/>
    <cellStyle name="Comma 8 6 4 2 3 3 4 3" xfId="1007"/>
    <cellStyle name="Comma 8 6 4 2 3 3 4 3 2" xfId="4736"/>
    <cellStyle name="Comma 8 6 4 2 3 3 4 3 3" xfId="7830"/>
    <cellStyle name="Comma 8 6 4 2 3 3 4 4" xfId="4734"/>
    <cellStyle name="Comma 8 6 4 2 3 3 4 5" xfId="7828"/>
    <cellStyle name="Comma 8 6 4 2 3 3 5" xfId="4731"/>
    <cellStyle name="Comma 8 6 4 2 3 3 6" xfId="7825"/>
    <cellStyle name="Comma 8 6 4 2 3 4" xfId="4729"/>
    <cellStyle name="Comma 8 6 4 2 3 5" xfId="7823"/>
    <cellStyle name="Comma 8 6 4 2 4" xfId="4727"/>
    <cellStyle name="Comma 8 6 4 2 5" xfId="7821"/>
    <cellStyle name="Comma 8 6 4 3" xfId="1008"/>
    <cellStyle name="Comma 8 6 4 3 2" xfId="4737"/>
    <cellStyle name="Comma 8 6 4 3 3" xfId="7831"/>
    <cellStyle name="Comma 8 6 4 4" xfId="1009"/>
    <cellStyle name="Comma 8 6 4 4 2" xfId="1010"/>
    <cellStyle name="Comma 8 6 4 4 2 2" xfId="4739"/>
    <cellStyle name="Comma 8 6 4 4 2 3" xfId="7833"/>
    <cellStyle name="Comma 8 6 4 4 3" xfId="1011"/>
    <cellStyle name="Comma 8 6 4 4 3 2" xfId="1012"/>
    <cellStyle name="Comma 8 6 4 4 3 2 2" xfId="4741"/>
    <cellStyle name="Comma 8 6 4 4 3 2 3" xfId="7835"/>
    <cellStyle name="Comma 8 6 4 4 3 3" xfId="1013"/>
    <cellStyle name="Comma 8 6 4 4 3 3 2" xfId="4742"/>
    <cellStyle name="Comma 8 6 4 4 3 3 3" xfId="7836"/>
    <cellStyle name="Comma 8 6 4 4 3 4" xfId="1014"/>
    <cellStyle name="Comma 8 6 4 4 3 4 2" xfId="1015"/>
    <cellStyle name="Comma 8 6 4 4 3 4 2 2" xfId="4744"/>
    <cellStyle name="Comma 8 6 4 4 3 4 2 3" xfId="7838"/>
    <cellStyle name="Comma 8 6 4 4 3 4 3" xfId="1016"/>
    <cellStyle name="Comma 8 6 4 4 3 4 3 2" xfId="4745"/>
    <cellStyle name="Comma 8 6 4 4 3 4 3 3" xfId="7839"/>
    <cellStyle name="Comma 8 6 4 4 3 4 4" xfId="4743"/>
    <cellStyle name="Comma 8 6 4 4 3 4 5" xfId="7837"/>
    <cellStyle name="Comma 8 6 4 4 3 5" xfId="4740"/>
    <cellStyle name="Comma 8 6 4 4 3 6" xfId="7834"/>
    <cellStyle name="Comma 8 6 4 4 4" xfId="4738"/>
    <cellStyle name="Comma 8 6 4 4 5" xfId="7832"/>
    <cellStyle name="Comma 8 6 4 5" xfId="4726"/>
    <cellStyle name="Comma 8 6 4 6" xfId="7820"/>
    <cellStyle name="Comma 8 6 5" xfId="4723"/>
    <cellStyle name="Comma 8 6 6" xfId="7817"/>
    <cellStyle name="Comma 8 7" xfId="1017"/>
    <cellStyle name="Comma 8 8" xfId="1018"/>
    <cellStyle name="Comma 8 8 2" xfId="4746"/>
    <cellStyle name="Comma 8 8 3" xfId="7840"/>
    <cellStyle name="Comma 8 9" xfId="4637"/>
    <cellStyle name="Comma 9" xfId="1019"/>
    <cellStyle name="Comma 9 2" xfId="1020"/>
    <cellStyle name="Comma 9 2 2" xfId="4748"/>
    <cellStyle name="Comma 9 2 3" xfId="7842"/>
    <cellStyle name="Comma 9 3" xfId="1021"/>
    <cellStyle name="Comma 9 3 2" xfId="1022"/>
    <cellStyle name="Comma 9 3 2 2" xfId="4750"/>
    <cellStyle name="Comma 9 3 2 3" xfId="7844"/>
    <cellStyle name="Comma 9 3 3" xfId="1023"/>
    <cellStyle name="Comma 9 3 3 2" xfId="1024"/>
    <cellStyle name="Comma 9 3 3 2 2" xfId="4752"/>
    <cellStyle name="Comma 9 3 3 2 3" xfId="7846"/>
    <cellStyle name="Comma 9 3 3 3" xfId="4751"/>
    <cellStyle name="Comma 9 3 3 4" xfId="7845"/>
    <cellStyle name="Comma 9 3 4" xfId="1025"/>
    <cellStyle name="Comma 9 3 4 2" xfId="1026"/>
    <cellStyle name="Comma 9 3 4 2 2" xfId="4754"/>
    <cellStyle name="Comma 9 3 4 2 3" xfId="7848"/>
    <cellStyle name="Comma 9 3 4 3" xfId="1027"/>
    <cellStyle name="Comma 9 3 4 3 2" xfId="4755"/>
    <cellStyle name="Comma 9 3 4 3 3" xfId="7849"/>
    <cellStyle name="Comma 9 3 4 4" xfId="1028"/>
    <cellStyle name="Comma 9 3 4 4 2" xfId="1029"/>
    <cellStyle name="Comma 9 3 4 4 2 2" xfId="1030"/>
    <cellStyle name="Comma 9 3 4 4 2 2 2" xfId="4758"/>
    <cellStyle name="Comma 9 3 4 4 2 2 3" xfId="7852"/>
    <cellStyle name="Comma 9 3 4 4 2 3" xfId="1031"/>
    <cellStyle name="Comma 9 3 4 4 2 3 2" xfId="1032"/>
    <cellStyle name="Comma 9 3 4 4 2 3 2 2" xfId="4760"/>
    <cellStyle name="Comma 9 3 4 4 2 3 2 3" xfId="7854"/>
    <cellStyle name="Comma 9 3 4 4 2 3 3" xfId="1033"/>
    <cellStyle name="Comma 9 3 4 4 2 3 3 2" xfId="1034"/>
    <cellStyle name="Comma 9 3 4 4 2 3 3 2 2" xfId="4762"/>
    <cellStyle name="Comma 9 3 4 4 2 3 3 2 3" xfId="7856"/>
    <cellStyle name="Comma 9 3 4 4 2 3 3 3" xfId="1035"/>
    <cellStyle name="Comma 9 3 4 4 2 3 3 3 2" xfId="4763"/>
    <cellStyle name="Comma 9 3 4 4 2 3 3 3 3" xfId="7857"/>
    <cellStyle name="Comma 9 3 4 4 2 3 3 4" xfId="1036"/>
    <cellStyle name="Comma 9 3 4 4 2 3 3 4 2" xfId="1037"/>
    <cellStyle name="Comma 9 3 4 4 2 3 3 4 2 2" xfId="4765"/>
    <cellStyle name="Comma 9 3 4 4 2 3 3 4 2 3" xfId="7859"/>
    <cellStyle name="Comma 9 3 4 4 2 3 3 4 3" xfId="1038"/>
    <cellStyle name="Comma 9 3 4 4 2 3 3 4 3 2" xfId="4766"/>
    <cellStyle name="Comma 9 3 4 4 2 3 3 4 3 3" xfId="7860"/>
    <cellStyle name="Comma 9 3 4 4 2 3 3 4 4" xfId="4764"/>
    <cellStyle name="Comma 9 3 4 4 2 3 3 4 5" xfId="7858"/>
    <cellStyle name="Comma 9 3 4 4 2 3 3 5" xfId="4761"/>
    <cellStyle name="Comma 9 3 4 4 2 3 3 6" xfId="7855"/>
    <cellStyle name="Comma 9 3 4 4 2 3 4" xfId="4759"/>
    <cellStyle name="Comma 9 3 4 4 2 3 5" xfId="7853"/>
    <cellStyle name="Comma 9 3 4 4 2 4" xfId="4757"/>
    <cellStyle name="Comma 9 3 4 4 2 5" xfId="7851"/>
    <cellStyle name="Comma 9 3 4 4 3" xfId="1039"/>
    <cellStyle name="Comma 9 3 4 4 3 2" xfId="4767"/>
    <cellStyle name="Comma 9 3 4 4 3 3" xfId="7861"/>
    <cellStyle name="Comma 9 3 4 4 4" xfId="1040"/>
    <cellStyle name="Comma 9 3 4 4 4 2" xfId="1041"/>
    <cellStyle name="Comma 9 3 4 4 4 2 2" xfId="4769"/>
    <cellStyle name="Comma 9 3 4 4 4 2 3" xfId="7863"/>
    <cellStyle name="Comma 9 3 4 4 4 3" xfId="1042"/>
    <cellStyle name="Comma 9 3 4 4 4 3 2" xfId="1043"/>
    <cellStyle name="Comma 9 3 4 4 4 3 2 2" xfId="4771"/>
    <cellStyle name="Comma 9 3 4 4 4 3 2 3" xfId="7865"/>
    <cellStyle name="Comma 9 3 4 4 4 3 3" xfId="1044"/>
    <cellStyle name="Comma 9 3 4 4 4 3 3 2" xfId="4772"/>
    <cellStyle name="Comma 9 3 4 4 4 3 3 3" xfId="7866"/>
    <cellStyle name="Comma 9 3 4 4 4 3 4" xfId="1045"/>
    <cellStyle name="Comma 9 3 4 4 4 3 4 2" xfId="1046"/>
    <cellStyle name="Comma 9 3 4 4 4 3 4 2 2" xfId="4774"/>
    <cellStyle name="Comma 9 3 4 4 4 3 4 2 3" xfId="7868"/>
    <cellStyle name="Comma 9 3 4 4 4 3 4 3" xfId="1047"/>
    <cellStyle name="Comma 9 3 4 4 4 3 4 3 2" xfId="4775"/>
    <cellStyle name="Comma 9 3 4 4 4 3 4 3 3" xfId="7869"/>
    <cellStyle name="Comma 9 3 4 4 4 3 4 4" xfId="4773"/>
    <cellStyle name="Comma 9 3 4 4 4 3 4 5" xfId="7867"/>
    <cellStyle name="Comma 9 3 4 4 4 3 5" xfId="4770"/>
    <cellStyle name="Comma 9 3 4 4 4 3 6" xfId="7864"/>
    <cellStyle name="Comma 9 3 4 4 4 4" xfId="4768"/>
    <cellStyle name="Comma 9 3 4 4 4 5" xfId="7862"/>
    <cellStyle name="Comma 9 3 4 4 5" xfId="4756"/>
    <cellStyle name="Comma 9 3 4 4 6" xfId="7850"/>
    <cellStyle name="Comma 9 3 4 5" xfId="4753"/>
    <cellStyle name="Comma 9 3 4 6" xfId="7847"/>
    <cellStyle name="Comma 9 3 5" xfId="4749"/>
    <cellStyle name="Comma 9 3 6" xfId="7843"/>
    <cellStyle name="Comma 9 4" xfId="1048"/>
    <cellStyle name="Comma 9 4 2" xfId="1049"/>
    <cellStyle name="Comma 9 4 2 2" xfId="4777"/>
    <cellStyle name="Comma 9 4 2 3" xfId="7871"/>
    <cellStyle name="Comma 9 4 3" xfId="4776"/>
    <cellStyle name="Comma 9 4 4" xfId="7870"/>
    <cellStyle name="Comma 9 5" xfId="1050"/>
    <cellStyle name="Comma 9 5 2" xfId="1051"/>
    <cellStyle name="Comma 9 5 2 2" xfId="4779"/>
    <cellStyle name="Comma 9 5 2 3" xfId="7873"/>
    <cellStyle name="Comma 9 5 3" xfId="1052"/>
    <cellStyle name="Comma 9 5 3 2" xfId="4780"/>
    <cellStyle name="Comma 9 5 3 3" xfId="7874"/>
    <cellStyle name="Comma 9 5 4" xfId="1053"/>
    <cellStyle name="Comma 9 5 4 2" xfId="1054"/>
    <cellStyle name="Comma 9 5 4 2 2" xfId="1055"/>
    <cellStyle name="Comma 9 5 4 2 2 2" xfId="4783"/>
    <cellStyle name="Comma 9 5 4 2 2 3" xfId="7877"/>
    <cellStyle name="Comma 9 5 4 2 3" xfId="1056"/>
    <cellStyle name="Comma 9 5 4 2 3 2" xfId="1057"/>
    <cellStyle name="Comma 9 5 4 2 3 2 2" xfId="4785"/>
    <cellStyle name="Comma 9 5 4 2 3 2 3" xfId="7879"/>
    <cellStyle name="Comma 9 5 4 2 3 3" xfId="1058"/>
    <cellStyle name="Comma 9 5 4 2 3 3 2" xfId="1059"/>
    <cellStyle name="Comma 9 5 4 2 3 3 2 2" xfId="4787"/>
    <cellStyle name="Comma 9 5 4 2 3 3 2 3" xfId="7881"/>
    <cellStyle name="Comma 9 5 4 2 3 3 3" xfId="1060"/>
    <cellStyle name="Comma 9 5 4 2 3 3 3 2" xfId="4788"/>
    <cellStyle name="Comma 9 5 4 2 3 3 3 3" xfId="7882"/>
    <cellStyle name="Comma 9 5 4 2 3 3 4" xfId="1061"/>
    <cellStyle name="Comma 9 5 4 2 3 3 4 2" xfId="1062"/>
    <cellStyle name="Comma 9 5 4 2 3 3 4 2 2" xfId="4790"/>
    <cellStyle name="Comma 9 5 4 2 3 3 4 2 3" xfId="7884"/>
    <cellStyle name="Comma 9 5 4 2 3 3 4 3" xfId="1063"/>
    <cellStyle name="Comma 9 5 4 2 3 3 4 3 2" xfId="4791"/>
    <cellStyle name="Comma 9 5 4 2 3 3 4 3 3" xfId="7885"/>
    <cellStyle name="Comma 9 5 4 2 3 3 4 4" xfId="4789"/>
    <cellStyle name="Comma 9 5 4 2 3 3 4 5" xfId="7883"/>
    <cellStyle name="Comma 9 5 4 2 3 3 5" xfId="4786"/>
    <cellStyle name="Comma 9 5 4 2 3 3 6" xfId="7880"/>
    <cellStyle name="Comma 9 5 4 2 3 4" xfId="4784"/>
    <cellStyle name="Comma 9 5 4 2 3 5" xfId="7878"/>
    <cellStyle name="Comma 9 5 4 2 4" xfId="4782"/>
    <cellStyle name="Comma 9 5 4 2 5" xfId="7876"/>
    <cellStyle name="Comma 9 5 4 3" xfId="1064"/>
    <cellStyle name="Comma 9 5 4 3 2" xfId="4792"/>
    <cellStyle name="Comma 9 5 4 3 3" xfId="7886"/>
    <cellStyle name="Comma 9 5 4 4" xfId="1065"/>
    <cellStyle name="Comma 9 5 4 4 2" xfId="1066"/>
    <cellStyle name="Comma 9 5 4 4 2 2" xfId="4794"/>
    <cellStyle name="Comma 9 5 4 4 2 3" xfId="7888"/>
    <cellStyle name="Comma 9 5 4 4 3" xfId="1067"/>
    <cellStyle name="Comma 9 5 4 4 3 2" xfId="1068"/>
    <cellStyle name="Comma 9 5 4 4 3 2 2" xfId="4796"/>
    <cellStyle name="Comma 9 5 4 4 3 2 3" xfId="7890"/>
    <cellStyle name="Comma 9 5 4 4 3 3" xfId="1069"/>
    <cellStyle name="Comma 9 5 4 4 3 3 2" xfId="4797"/>
    <cellStyle name="Comma 9 5 4 4 3 3 3" xfId="7891"/>
    <cellStyle name="Comma 9 5 4 4 3 4" xfId="1070"/>
    <cellStyle name="Comma 9 5 4 4 3 4 2" xfId="1071"/>
    <cellStyle name="Comma 9 5 4 4 3 4 2 2" xfId="4799"/>
    <cellStyle name="Comma 9 5 4 4 3 4 2 3" xfId="7893"/>
    <cellStyle name="Comma 9 5 4 4 3 4 3" xfId="1072"/>
    <cellStyle name="Comma 9 5 4 4 3 4 3 2" xfId="4800"/>
    <cellStyle name="Comma 9 5 4 4 3 4 3 3" xfId="7894"/>
    <cellStyle name="Comma 9 5 4 4 3 4 4" xfId="4798"/>
    <cellStyle name="Comma 9 5 4 4 3 4 5" xfId="7892"/>
    <cellStyle name="Comma 9 5 4 4 3 5" xfId="4795"/>
    <cellStyle name="Comma 9 5 4 4 3 6" xfId="7889"/>
    <cellStyle name="Comma 9 5 4 4 4" xfId="4793"/>
    <cellStyle name="Comma 9 5 4 4 5" xfId="7887"/>
    <cellStyle name="Comma 9 5 4 5" xfId="4781"/>
    <cellStyle name="Comma 9 5 4 6" xfId="7875"/>
    <cellStyle name="Comma 9 5 5" xfId="4778"/>
    <cellStyle name="Comma 9 5 6" xfId="7872"/>
    <cellStyle name="Comma 9 6" xfId="4747"/>
    <cellStyle name="Comma 9 6 2" xfId="6725"/>
    <cellStyle name="Comma 9 6 3" xfId="9719"/>
    <cellStyle name="Comma 9 7" xfId="6726"/>
    <cellStyle name="Comma 9 7 2" xfId="10726"/>
    <cellStyle name="Comma 9 8" xfId="7841"/>
    <cellStyle name="copyvalue" xfId="1073"/>
    <cellStyle name="Currency 2" xfId="1074"/>
    <cellStyle name="Currency 2 2" xfId="1075"/>
    <cellStyle name="Currency 2 2 2" xfId="6727"/>
    <cellStyle name="Currency 2 2 2 2" xfId="10727"/>
    <cellStyle name="Currency 2 3" xfId="1076"/>
    <cellStyle name="Currency 2 3 2" xfId="1077"/>
    <cellStyle name="Currency 2 3 2 2" xfId="1078"/>
    <cellStyle name="Currency 2 3 2 2 2" xfId="1079"/>
    <cellStyle name="Currency 2 3 2 2 3" xfId="1080"/>
    <cellStyle name="Currency 2 3 2 3" xfId="1081"/>
    <cellStyle name="Currency 2 3 2 4" xfId="1082"/>
    <cellStyle name="Currency 2 3 2 4 2" xfId="1083"/>
    <cellStyle name="Currency 2 3 2 4 3" xfId="1084"/>
    <cellStyle name="Currency 2 3 2 4 3 2" xfId="1085"/>
    <cellStyle name="Currency 2 3 2 4 4" xfId="1086"/>
    <cellStyle name="Currency 2 3 2 4 4 2" xfId="1087"/>
    <cellStyle name="Currency 2 3 2 4 5" xfId="1088"/>
    <cellStyle name="Currency 2 3 2 4 5 2" xfId="1089"/>
    <cellStyle name="Currency 2 3 2 5" xfId="3197"/>
    <cellStyle name="Currency 2 3 2 5 2" xfId="6728"/>
    <cellStyle name="Currency 2 3 2 5 3" xfId="8842"/>
    <cellStyle name="Currency 2 3 3" xfId="1090"/>
    <cellStyle name="Currency 2 3 3 2" xfId="1091"/>
    <cellStyle name="Currency 2 3 3 3" xfId="1092"/>
    <cellStyle name="Currency 2 3 3 3 2" xfId="1093"/>
    <cellStyle name="Currency 2 3 3 4" xfId="6729"/>
    <cellStyle name="Currency 2 3 4" xfId="1094"/>
    <cellStyle name="Currency 2 3 4 2" xfId="1095"/>
    <cellStyle name="Currency 2 3 4 3" xfId="1096"/>
    <cellStyle name="Currency 2 3 5" xfId="1097"/>
    <cellStyle name="Currency 2 3 5 2" xfId="1098"/>
    <cellStyle name="Currency 2 3 6" xfId="1099"/>
    <cellStyle name="Currency 2 3 6 2" xfId="3198"/>
    <cellStyle name="Currency 2 3 6 3" xfId="4801"/>
    <cellStyle name="Currency 2 3 7" xfId="1100"/>
    <cellStyle name="Currency 2 3 7 2" xfId="4802"/>
    <cellStyle name="Currency 2 3 8" xfId="4050"/>
    <cellStyle name="Currency 2 3 8 2" xfId="4803"/>
    <cellStyle name="Currency 2 3 8 2 2" xfId="6731"/>
    <cellStyle name="Currency 2 3 8 2 3" xfId="9720"/>
    <cellStyle name="Currency 2 3 8 2 3 2" xfId="16722"/>
    <cellStyle name="Currency 2 3 8 2 3 2 2" xfId="23689"/>
    <cellStyle name="Currency 2 3 8 2 3 2 3" xfId="30656"/>
    <cellStyle name="Currency 2 3 8 2 3 2 4" xfId="37625"/>
    <cellStyle name="Currency 2 3 8 2 3 3" xfId="12080"/>
    <cellStyle name="Currency 2 3 8 2 3 4" xfId="19047"/>
    <cellStyle name="Currency 2 3 8 2 3 5" xfId="26014"/>
    <cellStyle name="Currency 2 3 8 2 3 6" xfId="32982"/>
    <cellStyle name="Currency 2 3 8 2 4" xfId="14402"/>
    <cellStyle name="Currency 2 3 8 2 4 2" xfId="21369"/>
    <cellStyle name="Currency 2 3 8 2 4 3" xfId="28336"/>
    <cellStyle name="Currency 2 3 8 2 4 4" xfId="35305"/>
    <cellStyle name="Currency 2 3 8 3" xfId="6730"/>
    <cellStyle name="Currency 2 3 8 4" xfId="9656"/>
    <cellStyle name="Currency 2 3 8 4 2" xfId="16689"/>
    <cellStyle name="Currency 2 3 8 4 2 2" xfId="23656"/>
    <cellStyle name="Currency 2 3 8 4 2 3" xfId="30623"/>
    <cellStyle name="Currency 2 3 8 4 2 4" xfId="37592"/>
    <cellStyle name="Currency 2 3 8 4 3" xfId="12047"/>
    <cellStyle name="Currency 2 3 8 4 4" xfId="19014"/>
    <cellStyle name="Currency 2 3 8 4 5" xfId="25981"/>
    <cellStyle name="Currency 2 3 8 4 6" xfId="32949"/>
    <cellStyle name="Currency 2 3 8 5" xfId="14369"/>
    <cellStyle name="Currency 2 3 8 5 2" xfId="21336"/>
    <cellStyle name="Currency 2 3 8 5 3" xfId="28303"/>
    <cellStyle name="Currency 2 3 8 5 4" xfId="35272"/>
    <cellStyle name="Currency 2 3 9" xfId="6732"/>
    <cellStyle name="Currency 2 4" xfId="1101"/>
    <cellStyle name="Currency 2 5" xfId="4087"/>
    <cellStyle name="Currency 2 5 2" xfId="6733"/>
    <cellStyle name="Currency 2 5 3" xfId="9689"/>
    <cellStyle name="Currency 2 6" xfId="7895"/>
    <cellStyle name="Currency 3" xfId="1102"/>
    <cellStyle name="Currency 3 2" xfId="1103"/>
    <cellStyle name="Currency 3 3" xfId="1104"/>
    <cellStyle name="Currency 3 4" xfId="1105"/>
    <cellStyle name="Currency 3 5" xfId="1106"/>
    <cellStyle name="Currency 3 5 2" xfId="4804"/>
    <cellStyle name="Currency 3 5 2 2" xfId="6734"/>
    <cellStyle name="Currency 3 5 2 3" xfId="9721"/>
    <cellStyle name="Currency 3 5 3" xfId="7896"/>
    <cellStyle name="Currency 3 6" xfId="4086"/>
    <cellStyle name="Currency 3 6 2" xfId="6735"/>
    <cellStyle name="Currency 3 6 3" xfId="9688"/>
    <cellStyle name="Currency 4" xfId="1107"/>
    <cellStyle name="Currency 4 10" xfId="4049"/>
    <cellStyle name="Currency 4 10 2" xfId="4806"/>
    <cellStyle name="Currency 4 10 2 2" xfId="6737"/>
    <cellStyle name="Currency 4 10 2 3" xfId="9723"/>
    <cellStyle name="Currency 4 10 2 3 2" xfId="16723"/>
    <cellStyle name="Currency 4 10 2 3 2 2" xfId="23690"/>
    <cellStyle name="Currency 4 10 2 3 2 3" xfId="30657"/>
    <cellStyle name="Currency 4 10 2 3 2 4" xfId="37626"/>
    <cellStyle name="Currency 4 10 2 3 3" xfId="12081"/>
    <cellStyle name="Currency 4 10 2 3 4" xfId="19048"/>
    <cellStyle name="Currency 4 10 2 3 5" xfId="26015"/>
    <cellStyle name="Currency 4 10 2 3 6" xfId="32983"/>
    <cellStyle name="Currency 4 10 2 4" xfId="14403"/>
    <cellStyle name="Currency 4 10 2 4 2" xfId="21370"/>
    <cellStyle name="Currency 4 10 2 4 3" xfId="28337"/>
    <cellStyle name="Currency 4 10 2 4 4" xfId="35306"/>
    <cellStyle name="Currency 4 10 3" xfId="6736"/>
    <cellStyle name="Currency 4 10 4" xfId="9655"/>
    <cellStyle name="Currency 4 10 4 2" xfId="16688"/>
    <cellStyle name="Currency 4 10 4 2 2" xfId="23655"/>
    <cellStyle name="Currency 4 10 4 2 3" xfId="30622"/>
    <cellStyle name="Currency 4 10 4 2 4" xfId="37591"/>
    <cellStyle name="Currency 4 10 4 3" xfId="12046"/>
    <cellStyle name="Currency 4 10 4 4" xfId="19013"/>
    <cellStyle name="Currency 4 10 4 5" xfId="25980"/>
    <cellStyle name="Currency 4 10 4 6" xfId="32948"/>
    <cellStyle name="Currency 4 10 5" xfId="14368"/>
    <cellStyle name="Currency 4 10 5 2" xfId="21335"/>
    <cellStyle name="Currency 4 10 5 3" xfId="28302"/>
    <cellStyle name="Currency 4 10 5 4" xfId="35271"/>
    <cellStyle name="Currency 4 11" xfId="4805"/>
    <cellStyle name="Currency 4 11 2" xfId="6738"/>
    <cellStyle name="Currency 4 11 3" xfId="9722"/>
    <cellStyle name="Currency 4 2" xfId="1108"/>
    <cellStyle name="Currency 4 2 2" xfId="4807"/>
    <cellStyle name="Currency 4 2 3" xfId="7897"/>
    <cellStyle name="Currency 4 3" xfId="1109"/>
    <cellStyle name="Currency 4 3 2" xfId="1110"/>
    <cellStyle name="Currency 4 3 2 2" xfId="1111"/>
    <cellStyle name="Currency 4 3 2 2 2" xfId="1112"/>
    <cellStyle name="Currency 4 3 2 2 3" xfId="1113"/>
    <cellStyle name="Currency 4 3 2 3" xfId="1114"/>
    <cellStyle name="Currency 4 3 2 4" xfId="1115"/>
    <cellStyle name="Currency 4 3 2 4 2" xfId="1116"/>
    <cellStyle name="Currency 4 3 2 4 3" xfId="1117"/>
    <cellStyle name="Currency 4 3 2 4 3 2" xfId="1118"/>
    <cellStyle name="Currency 4 3 2 4 4" xfId="1119"/>
    <cellStyle name="Currency 4 3 2 4 4 2" xfId="1120"/>
    <cellStyle name="Currency 4 3 2 4 5" xfId="1121"/>
    <cellStyle name="Currency 4 3 2 4 5 2" xfId="1122"/>
    <cellStyle name="Currency 4 3 2 5" xfId="3199"/>
    <cellStyle name="Currency 4 3 3" xfId="1123"/>
    <cellStyle name="Currency 4 3 3 2" xfId="1124"/>
    <cellStyle name="Currency 4 3 3 3" xfId="1125"/>
    <cellStyle name="Currency 4 3 3 3 2" xfId="1126"/>
    <cellStyle name="Currency 4 3 4" xfId="1127"/>
    <cellStyle name="Currency 4 3 4 2" xfId="1128"/>
    <cellStyle name="Currency 4 3 4 3" xfId="1129"/>
    <cellStyle name="Currency 4 3 5" xfId="1130"/>
    <cellStyle name="Currency 4 3 5 2" xfId="1131"/>
    <cellStyle name="Currency 4 3 6" xfId="1132"/>
    <cellStyle name="Currency 4 3 6 2" xfId="3200"/>
    <cellStyle name="Currency 4 3 6 3" xfId="4808"/>
    <cellStyle name="Currency 4 3 7" xfId="1133"/>
    <cellStyle name="Currency 4 3 7 2" xfId="4809"/>
    <cellStyle name="Currency 4 3 8" xfId="4048"/>
    <cellStyle name="Currency 4 3 8 2" xfId="4810"/>
    <cellStyle name="Currency 4 3 8 2 2" xfId="6740"/>
    <cellStyle name="Currency 4 3 8 2 3" xfId="9724"/>
    <cellStyle name="Currency 4 3 8 2 3 2" xfId="16724"/>
    <cellStyle name="Currency 4 3 8 2 3 2 2" xfId="23691"/>
    <cellStyle name="Currency 4 3 8 2 3 2 3" xfId="30658"/>
    <cellStyle name="Currency 4 3 8 2 3 2 4" xfId="37627"/>
    <cellStyle name="Currency 4 3 8 2 3 3" xfId="12082"/>
    <cellStyle name="Currency 4 3 8 2 3 4" xfId="19049"/>
    <cellStyle name="Currency 4 3 8 2 3 5" xfId="26016"/>
    <cellStyle name="Currency 4 3 8 2 3 6" xfId="32984"/>
    <cellStyle name="Currency 4 3 8 2 4" xfId="14404"/>
    <cellStyle name="Currency 4 3 8 2 4 2" xfId="21371"/>
    <cellStyle name="Currency 4 3 8 2 4 3" xfId="28338"/>
    <cellStyle name="Currency 4 3 8 2 4 4" xfId="35307"/>
    <cellStyle name="Currency 4 3 8 3" xfId="6739"/>
    <cellStyle name="Currency 4 3 8 4" xfId="9654"/>
    <cellStyle name="Currency 4 3 8 4 2" xfId="16687"/>
    <cellStyle name="Currency 4 3 8 4 2 2" xfId="23654"/>
    <cellStyle name="Currency 4 3 8 4 2 3" xfId="30621"/>
    <cellStyle name="Currency 4 3 8 4 2 4" xfId="37590"/>
    <cellStyle name="Currency 4 3 8 4 3" xfId="12045"/>
    <cellStyle name="Currency 4 3 8 4 4" xfId="19012"/>
    <cellStyle name="Currency 4 3 8 4 5" xfId="25979"/>
    <cellStyle name="Currency 4 3 8 4 6" xfId="32947"/>
    <cellStyle name="Currency 4 3 8 5" xfId="14367"/>
    <cellStyle name="Currency 4 3 8 5 2" xfId="21334"/>
    <cellStyle name="Currency 4 3 8 5 3" xfId="28301"/>
    <cellStyle name="Currency 4 3 8 5 4" xfId="35270"/>
    <cellStyle name="Currency 4 3 9" xfId="6741"/>
    <cellStyle name="Currency 4 4" xfId="1134"/>
    <cellStyle name="Currency 4 4 2" xfId="1135"/>
    <cellStyle name="Currency 4 4 2 2" xfId="1136"/>
    <cellStyle name="Currency 4 4 2 3" xfId="1137"/>
    <cellStyle name="Currency 4 4 3" xfId="1138"/>
    <cellStyle name="Currency 4 4 4" xfId="1139"/>
    <cellStyle name="Currency 4 4 4 2" xfId="1140"/>
    <cellStyle name="Currency 4 4 4 3" xfId="1141"/>
    <cellStyle name="Currency 4 4 4 3 2" xfId="1142"/>
    <cellStyle name="Currency 4 4 4 4" xfId="1143"/>
    <cellStyle name="Currency 4 4 4 4 2" xfId="1144"/>
    <cellStyle name="Currency 4 4 4 5" xfId="1145"/>
    <cellStyle name="Currency 4 4 4 5 2" xfId="1146"/>
    <cellStyle name="Currency 4 4 5" xfId="3201"/>
    <cellStyle name="Currency 4 5" xfId="1147"/>
    <cellStyle name="Currency 4 5 2" xfId="1148"/>
    <cellStyle name="Currency 4 5 3" xfId="1149"/>
    <cellStyle name="Currency 4 6" xfId="1150"/>
    <cellStyle name="Currency 4 7" xfId="1151"/>
    <cellStyle name="Currency 4 7 2" xfId="1152"/>
    <cellStyle name="Currency 4 8" xfId="1153"/>
    <cellStyle name="Currency 4 8 2" xfId="3203"/>
    <cellStyle name="Currency 4 8 3" xfId="3202"/>
    <cellStyle name="Currency 4 9" xfId="1154"/>
    <cellStyle name="Currency 4 9 2" xfId="4811"/>
    <cellStyle name="Currency 5" xfId="1155"/>
    <cellStyle name="Currency 5 10" xfId="1156"/>
    <cellStyle name="Currency 5 10 2" xfId="4812"/>
    <cellStyle name="Currency 5 11" xfId="4047"/>
    <cellStyle name="Currency 5 11 2" xfId="4813"/>
    <cellStyle name="Currency 5 11 2 2" xfId="6743"/>
    <cellStyle name="Currency 5 11 2 3" xfId="9725"/>
    <cellStyle name="Currency 5 11 2 3 2" xfId="16725"/>
    <cellStyle name="Currency 5 11 2 3 2 2" xfId="23692"/>
    <cellStyle name="Currency 5 11 2 3 2 3" xfId="30659"/>
    <cellStyle name="Currency 5 11 2 3 2 4" xfId="37628"/>
    <cellStyle name="Currency 5 11 2 3 3" xfId="12083"/>
    <cellStyle name="Currency 5 11 2 3 4" xfId="19050"/>
    <cellStyle name="Currency 5 11 2 3 5" xfId="26017"/>
    <cellStyle name="Currency 5 11 2 3 6" xfId="32985"/>
    <cellStyle name="Currency 5 11 2 4" xfId="14405"/>
    <cellStyle name="Currency 5 11 2 4 2" xfId="21372"/>
    <cellStyle name="Currency 5 11 2 4 3" xfId="28339"/>
    <cellStyle name="Currency 5 11 2 4 4" xfId="35308"/>
    <cellStyle name="Currency 5 11 3" xfId="6742"/>
    <cellStyle name="Currency 5 11 4" xfId="9653"/>
    <cellStyle name="Currency 5 11 4 2" xfId="16686"/>
    <cellStyle name="Currency 5 11 4 2 2" xfId="23653"/>
    <cellStyle name="Currency 5 11 4 2 3" xfId="30620"/>
    <cellStyle name="Currency 5 11 4 2 4" xfId="37589"/>
    <cellStyle name="Currency 5 11 4 3" xfId="12044"/>
    <cellStyle name="Currency 5 11 4 4" xfId="19011"/>
    <cellStyle name="Currency 5 11 4 5" xfId="25978"/>
    <cellStyle name="Currency 5 11 4 6" xfId="32946"/>
    <cellStyle name="Currency 5 11 5" xfId="14366"/>
    <cellStyle name="Currency 5 11 5 2" xfId="21333"/>
    <cellStyle name="Currency 5 11 5 3" xfId="28300"/>
    <cellStyle name="Currency 5 11 5 4" xfId="35269"/>
    <cellStyle name="Currency 5 2" xfId="1157"/>
    <cellStyle name="Currency 5 2 2" xfId="1158"/>
    <cellStyle name="Currency 5 2 2 2" xfId="1159"/>
    <cellStyle name="Currency 5 2 2 2 2" xfId="1160"/>
    <cellStyle name="Currency 5 2 2 2 3" xfId="1161"/>
    <cellStyle name="Currency 5 2 2 3" xfId="1162"/>
    <cellStyle name="Currency 5 2 2 4" xfId="1163"/>
    <cellStyle name="Currency 5 2 2 4 2" xfId="1164"/>
    <cellStyle name="Currency 5 2 2 4 3" xfId="1165"/>
    <cellStyle name="Currency 5 2 2 4 3 2" xfId="1166"/>
    <cellStyle name="Currency 5 2 2 4 4" xfId="1167"/>
    <cellStyle name="Currency 5 2 2 4 4 2" xfId="1168"/>
    <cellStyle name="Currency 5 2 2 4 5" xfId="1169"/>
    <cellStyle name="Currency 5 2 2 4 5 2" xfId="1170"/>
    <cellStyle name="Currency 5 2 2 5" xfId="3204"/>
    <cellStyle name="Currency 5 2 3" xfId="1171"/>
    <cellStyle name="Currency 5 2 3 2" xfId="1172"/>
    <cellStyle name="Currency 5 2 3 3" xfId="1173"/>
    <cellStyle name="Currency 5 2 3 3 2" xfId="1174"/>
    <cellStyle name="Currency 5 2 4" xfId="1175"/>
    <cellStyle name="Currency 5 2 4 2" xfId="1176"/>
    <cellStyle name="Currency 5 2 4 3" xfId="1177"/>
    <cellStyle name="Currency 5 2 5" xfId="1178"/>
    <cellStyle name="Currency 5 2 5 2" xfId="1179"/>
    <cellStyle name="Currency 5 2 6" xfId="1180"/>
    <cellStyle name="Currency 5 2 6 2" xfId="3205"/>
    <cellStyle name="Currency 5 2 6 3" xfId="4814"/>
    <cellStyle name="Currency 5 2 7" xfId="1181"/>
    <cellStyle name="Currency 5 2 7 2" xfId="4815"/>
    <cellStyle name="Currency 5 2 8" xfId="4046"/>
    <cellStyle name="Currency 5 2 8 2" xfId="4816"/>
    <cellStyle name="Currency 5 2 8 2 2" xfId="6745"/>
    <cellStyle name="Currency 5 2 8 2 3" xfId="9726"/>
    <cellStyle name="Currency 5 2 8 2 3 2" xfId="16726"/>
    <cellStyle name="Currency 5 2 8 2 3 2 2" xfId="23693"/>
    <cellStyle name="Currency 5 2 8 2 3 2 3" xfId="30660"/>
    <cellStyle name="Currency 5 2 8 2 3 2 4" xfId="37629"/>
    <cellStyle name="Currency 5 2 8 2 3 3" xfId="12084"/>
    <cellStyle name="Currency 5 2 8 2 3 4" xfId="19051"/>
    <cellStyle name="Currency 5 2 8 2 3 5" xfId="26018"/>
    <cellStyle name="Currency 5 2 8 2 3 6" xfId="32986"/>
    <cellStyle name="Currency 5 2 8 2 4" xfId="14406"/>
    <cellStyle name="Currency 5 2 8 2 4 2" xfId="21373"/>
    <cellStyle name="Currency 5 2 8 2 4 3" xfId="28340"/>
    <cellStyle name="Currency 5 2 8 2 4 4" xfId="35309"/>
    <cellStyle name="Currency 5 2 8 3" xfId="6744"/>
    <cellStyle name="Currency 5 2 8 4" xfId="9652"/>
    <cellStyle name="Currency 5 2 8 4 2" xfId="16685"/>
    <cellStyle name="Currency 5 2 8 4 2 2" xfId="23652"/>
    <cellStyle name="Currency 5 2 8 4 2 3" xfId="30619"/>
    <cellStyle name="Currency 5 2 8 4 2 4" xfId="37588"/>
    <cellStyle name="Currency 5 2 8 4 3" xfId="12043"/>
    <cellStyle name="Currency 5 2 8 4 4" xfId="19010"/>
    <cellStyle name="Currency 5 2 8 4 5" xfId="25977"/>
    <cellStyle name="Currency 5 2 8 4 6" xfId="32945"/>
    <cellStyle name="Currency 5 2 8 5" xfId="14365"/>
    <cellStyle name="Currency 5 2 8 5 2" xfId="21332"/>
    <cellStyle name="Currency 5 2 8 5 3" xfId="28299"/>
    <cellStyle name="Currency 5 2 8 5 4" xfId="35268"/>
    <cellStyle name="Currency 5 2 9" xfId="6746"/>
    <cellStyle name="Currency 5 3" xfId="1182"/>
    <cellStyle name="Currency 5 4" xfId="1183"/>
    <cellStyle name="Currency 5 4 2" xfId="1184"/>
    <cellStyle name="Currency 5 4 2 2" xfId="1185"/>
    <cellStyle name="Currency 5 4 2 2 2" xfId="1186"/>
    <cellStyle name="Currency 5 4 2 2 3" xfId="1187"/>
    <cellStyle name="Currency 5 4 2 3" xfId="1188"/>
    <cellStyle name="Currency 5 4 2 4" xfId="1189"/>
    <cellStyle name="Currency 5 4 2 4 2" xfId="1190"/>
    <cellStyle name="Currency 5 4 2 4 3" xfId="1191"/>
    <cellStyle name="Currency 5 4 2 4 3 2" xfId="1192"/>
    <cellStyle name="Currency 5 4 2 4 4" xfId="1193"/>
    <cellStyle name="Currency 5 4 2 4 4 2" xfId="1194"/>
    <cellStyle name="Currency 5 4 2 4 5" xfId="1195"/>
    <cellStyle name="Currency 5 4 2 4 5 2" xfId="1196"/>
    <cellStyle name="Currency 5 4 2 5" xfId="3206"/>
    <cellStyle name="Currency 5 4 3" xfId="1197"/>
    <cellStyle name="Currency 5 4 3 2" xfId="1198"/>
    <cellStyle name="Currency 5 4 3 3" xfId="1199"/>
    <cellStyle name="Currency 5 4 3 3 2" xfId="1200"/>
    <cellStyle name="Currency 5 4 4" xfId="1201"/>
    <cellStyle name="Currency 5 4 4 2" xfId="1202"/>
    <cellStyle name="Currency 5 4 4 3" xfId="1203"/>
    <cellStyle name="Currency 5 4 5" xfId="1204"/>
    <cellStyle name="Currency 5 4 5 2" xfId="1205"/>
    <cellStyle name="Currency 5 4 6" xfId="1206"/>
    <cellStyle name="Currency 5 4 6 2" xfId="4817"/>
    <cellStyle name="Currency 5 4 7" xfId="1207"/>
    <cellStyle name="Currency 5 4 7 2" xfId="4818"/>
    <cellStyle name="Currency 5 4 8" xfId="4045"/>
    <cellStyle name="Currency 5 4 8 2" xfId="4819"/>
    <cellStyle name="Currency 5 4 8 2 2" xfId="6748"/>
    <cellStyle name="Currency 5 4 8 2 3" xfId="9727"/>
    <cellStyle name="Currency 5 4 8 2 3 2" xfId="16727"/>
    <cellStyle name="Currency 5 4 8 2 3 2 2" xfId="23694"/>
    <cellStyle name="Currency 5 4 8 2 3 2 3" xfId="30661"/>
    <cellStyle name="Currency 5 4 8 2 3 2 4" xfId="37630"/>
    <cellStyle name="Currency 5 4 8 2 3 3" xfId="12085"/>
    <cellStyle name="Currency 5 4 8 2 3 4" xfId="19052"/>
    <cellStyle name="Currency 5 4 8 2 3 5" xfId="26019"/>
    <cellStyle name="Currency 5 4 8 2 3 6" xfId="32987"/>
    <cellStyle name="Currency 5 4 8 2 4" xfId="14407"/>
    <cellStyle name="Currency 5 4 8 2 4 2" xfId="21374"/>
    <cellStyle name="Currency 5 4 8 2 4 3" xfId="28341"/>
    <cellStyle name="Currency 5 4 8 2 4 4" xfId="35310"/>
    <cellStyle name="Currency 5 4 8 3" xfId="6747"/>
    <cellStyle name="Currency 5 4 8 4" xfId="9651"/>
    <cellStyle name="Currency 5 4 8 4 2" xfId="16684"/>
    <cellStyle name="Currency 5 4 8 4 2 2" xfId="23651"/>
    <cellStyle name="Currency 5 4 8 4 2 3" xfId="30618"/>
    <cellStyle name="Currency 5 4 8 4 2 4" xfId="37587"/>
    <cellStyle name="Currency 5 4 8 4 3" xfId="12042"/>
    <cellStyle name="Currency 5 4 8 4 4" xfId="19009"/>
    <cellStyle name="Currency 5 4 8 4 5" xfId="25976"/>
    <cellStyle name="Currency 5 4 8 4 6" xfId="32944"/>
    <cellStyle name="Currency 5 4 8 5" xfId="14364"/>
    <cellStyle name="Currency 5 4 8 5 2" xfId="21331"/>
    <cellStyle name="Currency 5 4 8 5 3" xfId="28298"/>
    <cellStyle name="Currency 5 4 8 5 4" xfId="35267"/>
    <cellStyle name="Currency 5 4 9" xfId="6749"/>
    <cellStyle name="Currency 5 5" xfId="1208"/>
    <cellStyle name="Currency 5 5 2" xfId="1209"/>
    <cellStyle name="Currency 5 5 2 2" xfId="1210"/>
    <cellStyle name="Currency 5 5 2 3" xfId="1211"/>
    <cellStyle name="Currency 5 5 3" xfId="1212"/>
    <cellStyle name="Currency 5 5 4" xfId="1213"/>
    <cellStyle name="Currency 5 5 4 2" xfId="1214"/>
    <cellStyle name="Currency 5 5 4 3" xfId="1215"/>
    <cellStyle name="Currency 5 5 4 3 2" xfId="1216"/>
    <cellStyle name="Currency 5 5 4 4" xfId="1217"/>
    <cellStyle name="Currency 5 5 4 4 2" xfId="1218"/>
    <cellStyle name="Currency 5 5 4 5" xfId="1219"/>
    <cellStyle name="Currency 5 5 4 5 2" xfId="1220"/>
    <cellStyle name="Currency 5 5 5" xfId="3207"/>
    <cellStyle name="Currency 5 6" xfId="1221"/>
    <cellStyle name="Currency 5 7" xfId="1222"/>
    <cellStyle name="Currency 5 7 2" xfId="1223"/>
    <cellStyle name="Currency 5 7 3" xfId="1224"/>
    <cellStyle name="Currency 5 8" xfId="1225"/>
    <cellStyle name="Currency 5 8 2" xfId="1226"/>
    <cellStyle name="Currency 5 9" xfId="1227"/>
    <cellStyle name="Currency 5 9 2" xfId="3208"/>
    <cellStyle name="Currency 5 9 3" xfId="4820"/>
    <cellStyle name="Currency 6" xfId="1228"/>
    <cellStyle name="Currency 6 2" xfId="1229"/>
    <cellStyle name="Currency 6 2 2" xfId="1230"/>
    <cellStyle name="Currency 6 2 2 2" xfId="4823"/>
    <cellStyle name="Currency 6 2 2 3" xfId="7900"/>
    <cellStyle name="Currency 6 2 3" xfId="1231"/>
    <cellStyle name="Currency 6 2 3 2" xfId="1232"/>
    <cellStyle name="Currency 6 2 3 2 2" xfId="4825"/>
    <cellStyle name="Currency 6 2 3 2 3" xfId="7902"/>
    <cellStyle name="Currency 6 2 3 3" xfId="1233"/>
    <cellStyle name="Currency 6 2 3 3 2" xfId="1234"/>
    <cellStyle name="Currency 6 2 3 3 2 2" xfId="4827"/>
    <cellStyle name="Currency 6 2 3 3 2 3" xfId="7904"/>
    <cellStyle name="Currency 6 2 3 3 3" xfId="1235"/>
    <cellStyle name="Currency 6 2 3 3 3 2" xfId="4828"/>
    <cellStyle name="Currency 6 2 3 3 3 3" xfId="7905"/>
    <cellStyle name="Currency 6 2 3 3 4" xfId="1236"/>
    <cellStyle name="Currency 6 2 3 3 4 2" xfId="1237"/>
    <cellStyle name="Currency 6 2 3 3 4 2 2" xfId="4830"/>
    <cellStyle name="Currency 6 2 3 3 4 2 3" xfId="7907"/>
    <cellStyle name="Currency 6 2 3 3 4 3" xfId="1238"/>
    <cellStyle name="Currency 6 2 3 3 4 3 2" xfId="4831"/>
    <cellStyle name="Currency 6 2 3 3 4 3 3" xfId="7908"/>
    <cellStyle name="Currency 6 2 3 3 4 4" xfId="4829"/>
    <cellStyle name="Currency 6 2 3 3 4 5" xfId="7906"/>
    <cellStyle name="Currency 6 2 3 3 5" xfId="4826"/>
    <cellStyle name="Currency 6 2 3 3 6" xfId="7903"/>
    <cellStyle name="Currency 6 2 3 4" xfId="4824"/>
    <cellStyle name="Currency 6 2 3 5" xfId="7901"/>
    <cellStyle name="Currency 6 2 4" xfId="4822"/>
    <cellStyle name="Currency 6 2 5" xfId="7899"/>
    <cellStyle name="Currency 6 3" xfId="1239"/>
    <cellStyle name="Currency 6 3 2" xfId="4832"/>
    <cellStyle name="Currency 6 3 3" xfId="7909"/>
    <cellStyle name="Currency 6 4" xfId="1240"/>
    <cellStyle name="Currency 6 4 2" xfId="1241"/>
    <cellStyle name="Currency 6 4 2 2" xfId="4834"/>
    <cellStyle name="Currency 6 4 2 3" xfId="7911"/>
    <cellStyle name="Currency 6 4 3" xfId="1242"/>
    <cellStyle name="Currency 6 4 3 2" xfId="1243"/>
    <cellStyle name="Currency 6 4 3 2 2" xfId="4836"/>
    <cellStyle name="Currency 6 4 3 2 3" xfId="7913"/>
    <cellStyle name="Currency 6 4 3 3" xfId="1244"/>
    <cellStyle name="Currency 6 4 3 3 2" xfId="4837"/>
    <cellStyle name="Currency 6 4 3 3 3" xfId="7914"/>
    <cellStyle name="Currency 6 4 3 4" xfId="1245"/>
    <cellStyle name="Currency 6 4 3 4 2" xfId="1246"/>
    <cellStyle name="Currency 6 4 3 4 2 2" xfId="4839"/>
    <cellStyle name="Currency 6 4 3 4 2 3" xfId="7916"/>
    <cellStyle name="Currency 6 4 3 4 3" xfId="1247"/>
    <cellStyle name="Currency 6 4 3 4 3 2" xfId="4840"/>
    <cellStyle name="Currency 6 4 3 4 3 3" xfId="7917"/>
    <cellStyle name="Currency 6 4 3 4 4" xfId="4838"/>
    <cellStyle name="Currency 6 4 3 4 5" xfId="7915"/>
    <cellStyle name="Currency 6 4 3 5" xfId="4835"/>
    <cellStyle name="Currency 6 4 3 6" xfId="7912"/>
    <cellStyle name="Currency 6 4 4" xfId="4833"/>
    <cellStyle name="Currency 6 4 5" xfId="7910"/>
    <cellStyle name="Currency 6 5" xfId="4821"/>
    <cellStyle name="Currency 6 6" xfId="7898"/>
    <cellStyle name="Currency 7" xfId="1248"/>
    <cellStyle name="Currency 7 2" xfId="1249"/>
    <cellStyle name="Currency 7 2 2" xfId="4842"/>
    <cellStyle name="Currency 7 2 3" xfId="7919"/>
    <cellStyle name="Currency 7 3" xfId="1250"/>
    <cellStyle name="Currency 7 3 2" xfId="4843"/>
    <cellStyle name="Currency 7 3 3" xfId="7920"/>
    <cellStyle name="Currency 7 4" xfId="1251"/>
    <cellStyle name="Currency 7 4 2" xfId="1252"/>
    <cellStyle name="Currency 7 4 2 2" xfId="4845"/>
    <cellStyle name="Currency 7 4 2 3" xfId="7922"/>
    <cellStyle name="Currency 7 4 3" xfId="1253"/>
    <cellStyle name="Currency 7 4 3 2" xfId="4846"/>
    <cellStyle name="Currency 7 4 3 3" xfId="7923"/>
    <cellStyle name="Currency 7 4 4" xfId="4844"/>
    <cellStyle name="Currency 7 4 5" xfId="7921"/>
    <cellStyle name="Currency 7 5" xfId="4841"/>
    <cellStyle name="Currency 7 6" xfId="7918"/>
    <cellStyle name="Currency 8" xfId="1254"/>
    <cellStyle name="Currency 8 2" xfId="1255"/>
    <cellStyle name="Currency 8 2 2" xfId="4848"/>
    <cellStyle name="Currency 8 2 3" xfId="7925"/>
    <cellStyle name="Currency 8 3" xfId="1256"/>
    <cellStyle name="Currency 8 3 2" xfId="4849"/>
    <cellStyle name="Currency 8 3 3" xfId="7926"/>
    <cellStyle name="Currency 8 4" xfId="4847"/>
    <cellStyle name="Currency 8 5" xfId="7924"/>
    <cellStyle name="Currency 9" xfId="1257"/>
    <cellStyle name="Currency 9 2" xfId="1258"/>
    <cellStyle name="Currency 9 2 2" xfId="4851"/>
    <cellStyle name="Currency 9 2 3" xfId="7928"/>
    <cellStyle name="Currency 9 3" xfId="4850"/>
    <cellStyle name="Currency 9 4" xfId="7927"/>
    <cellStyle name="Decimal" xfId="6750"/>
    <cellStyle name="Decimal 2" xfId="6751"/>
    <cellStyle name="Entry" xfId="1259"/>
    <cellStyle name="heading" xfId="1260"/>
    <cellStyle name="Hyperlink 2" xfId="1261"/>
    <cellStyle name="List" xfId="6752"/>
    <cellStyle name="Normal" xfId="0" builtinId="0"/>
    <cellStyle name="Normal 10" xfId="1262"/>
    <cellStyle name="Normal 10 2" xfId="1263"/>
    <cellStyle name="Normal 10 2 2" xfId="1264"/>
    <cellStyle name="Normal 10 2 2 10" xfId="7929"/>
    <cellStyle name="Normal 10 2 2 10 2" xfId="15729"/>
    <cellStyle name="Normal 10 2 2 10 2 2" xfId="22696"/>
    <cellStyle name="Normal 10 2 2 10 2 3" xfId="29663"/>
    <cellStyle name="Normal 10 2 2 10 2 4" xfId="36632"/>
    <cellStyle name="Normal 10 2 2 10 3" xfId="11085"/>
    <cellStyle name="Normal 10 2 2 10 4" xfId="18052"/>
    <cellStyle name="Normal 10 2 2 10 5" xfId="25019"/>
    <cellStyle name="Normal 10 2 2 10 6" xfId="31987"/>
    <cellStyle name="Normal 10 2 2 11" xfId="13407"/>
    <cellStyle name="Normal 10 2 2 11 2" xfId="20374"/>
    <cellStyle name="Normal 10 2 2 11 3" xfId="27341"/>
    <cellStyle name="Normal 10 2 2 11 4" xfId="34310"/>
    <cellStyle name="Normal 10 2 2 12" xfId="10912"/>
    <cellStyle name="Normal 10 2 2 13" xfId="17877"/>
    <cellStyle name="Normal 10 2 2 14" xfId="24846"/>
    <cellStyle name="Normal 10 2 2 15" xfId="31814"/>
    <cellStyle name="Normal 10 2 2 2" xfId="1265"/>
    <cellStyle name="Normal 10 2 2 2 10" xfId="13408"/>
    <cellStyle name="Normal 10 2 2 2 10 2" xfId="20375"/>
    <cellStyle name="Normal 10 2 2 2 10 3" xfId="27342"/>
    <cellStyle name="Normal 10 2 2 2 10 4" xfId="34311"/>
    <cellStyle name="Normal 10 2 2 2 11" xfId="10913"/>
    <cellStyle name="Normal 10 2 2 2 12" xfId="17878"/>
    <cellStyle name="Normal 10 2 2 2 13" xfId="24847"/>
    <cellStyle name="Normal 10 2 2 2 14" xfId="31815"/>
    <cellStyle name="Normal 10 2 2 2 2" xfId="3212"/>
    <cellStyle name="Normal 10 2 2 2 2 2" xfId="4856"/>
    <cellStyle name="Normal 10 2 2 2 2 2 2" xfId="9732"/>
    <cellStyle name="Normal 10 2 2 2 2 2 2 2" xfId="16732"/>
    <cellStyle name="Normal 10 2 2 2 2 2 2 3" xfId="23699"/>
    <cellStyle name="Normal 10 2 2 2 2 2 2 4" xfId="30666"/>
    <cellStyle name="Normal 10 2 2 2 2 2 2 5" xfId="37635"/>
    <cellStyle name="Normal 10 2 2 2 2 2 3" xfId="14412"/>
    <cellStyle name="Normal 10 2 2 2 2 2 3 2" xfId="21379"/>
    <cellStyle name="Normal 10 2 2 2 2 2 3 3" xfId="28346"/>
    <cellStyle name="Normal 10 2 2 2 2 2 3 4" xfId="35315"/>
    <cellStyle name="Normal 10 2 2 2 2 2 4" xfId="12090"/>
    <cellStyle name="Normal 10 2 2 2 2 2 5" xfId="19057"/>
    <cellStyle name="Normal 10 2 2 2 2 2 6" xfId="26024"/>
    <cellStyle name="Normal 10 2 2 2 2 2 7" xfId="32992"/>
    <cellStyle name="Normal 10 2 2 2 2 3" xfId="8846"/>
    <cellStyle name="Normal 10 2 2 2 2 3 2" xfId="15902"/>
    <cellStyle name="Normal 10 2 2 2 2 3 3" xfId="22869"/>
    <cellStyle name="Normal 10 2 2 2 2 3 4" xfId="29836"/>
    <cellStyle name="Normal 10 2 2 2 2 3 5" xfId="36805"/>
    <cellStyle name="Normal 10 2 2 2 2 4" xfId="13580"/>
    <cellStyle name="Normal 10 2 2 2 2 4 2" xfId="20547"/>
    <cellStyle name="Normal 10 2 2 2 2 4 3" xfId="27514"/>
    <cellStyle name="Normal 10 2 2 2 2 4 4" xfId="34483"/>
    <cellStyle name="Normal 10 2 2 2 2 5" xfId="11258"/>
    <cellStyle name="Normal 10 2 2 2 2 6" xfId="18225"/>
    <cellStyle name="Normal 10 2 2 2 2 7" xfId="25192"/>
    <cellStyle name="Normal 10 2 2 2 2 8" xfId="32160"/>
    <cellStyle name="Normal 10 2 2 2 3" xfId="3418"/>
    <cellStyle name="Normal 10 2 2 2 3 2" xfId="4857"/>
    <cellStyle name="Normal 10 2 2 2 3 2 2" xfId="9733"/>
    <cellStyle name="Normal 10 2 2 2 3 2 2 2" xfId="16733"/>
    <cellStyle name="Normal 10 2 2 2 3 2 2 3" xfId="23700"/>
    <cellStyle name="Normal 10 2 2 2 3 2 2 4" xfId="30667"/>
    <cellStyle name="Normal 10 2 2 2 3 2 2 5" xfId="37636"/>
    <cellStyle name="Normal 10 2 2 2 3 2 3" xfId="14413"/>
    <cellStyle name="Normal 10 2 2 2 3 2 3 2" xfId="21380"/>
    <cellStyle name="Normal 10 2 2 2 3 2 3 3" xfId="28347"/>
    <cellStyle name="Normal 10 2 2 2 3 2 3 4" xfId="35316"/>
    <cellStyle name="Normal 10 2 2 2 3 2 4" xfId="12091"/>
    <cellStyle name="Normal 10 2 2 2 3 2 5" xfId="19058"/>
    <cellStyle name="Normal 10 2 2 2 3 2 6" xfId="26025"/>
    <cellStyle name="Normal 10 2 2 2 3 2 7" xfId="32993"/>
    <cellStyle name="Normal 10 2 2 2 3 3" xfId="9030"/>
    <cellStyle name="Normal 10 2 2 2 3 3 2" xfId="16069"/>
    <cellStyle name="Normal 10 2 2 2 3 3 3" xfId="23036"/>
    <cellStyle name="Normal 10 2 2 2 3 3 4" xfId="30003"/>
    <cellStyle name="Normal 10 2 2 2 3 3 5" xfId="36972"/>
    <cellStyle name="Normal 10 2 2 2 3 4" xfId="13749"/>
    <cellStyle name="Normal 10 2 2 2 3 4 2" xfId="20716"/>
    <cellStyle name="Normal 10 2 2 2 3 4 3" xfId="27683"/>
    <cellStyle name="Normal 10 2 2 2 3 4 4" xfId="34652"/>
    <cellStyle name="Normal 10 2 2 2 3 5" xfId="11427"/>
    <cellStyle name="Normal 10 2 2 2 3 6" xfId="18394"/>
    <cellStyle name="Normal 10 2 2 2 3 7" xfId="25361"/>
    <cellStyle name="Normal 10 2 2 2 3 8" xfId="32329"/>
    <cellStyle name="Normal 10 2 2 2 4" xfId="3593"/>
    <cellStyle name="Normal 10 2 2 2 4 2" xfId="4858"/>
    <cellStyle name="Normal 10 2 2 2 4 2 2" xfId="9734"/>
    <cellStyle name="Normal 10 2 2 2 4 2 2 2" xfId="16734"/>
    <cellStyle name="Normal 10 2 2 2 4 2 2 3" xfId="23701"/>
    <cellStyle name="Normal 10 2 2 2 4 2 2 4" xfId="30668"/>
    <cellStyle name="Normal 10 2 2 2 4 2 2 5" xfId="37637"/>
    <cellStyle name="Normal 10 2 2 2 4 2 3" xfId="14414"/>
    <cellStyle name="Normal 10 2 2 2 4 2 3 2" xfId="21381"/>
    <cellStyle name="Normal 10 2 2 2 4 2 3 3" xfId="28348"/>
    <cellStyle name="Normal 10 2 2 2 4 2 3 4" xfId="35317"/>
    <cellStyle name="Normal 10 2 2 2 4 2 4" xfId="12092"/>
    <cellStyle name="Normal 10 2 2 2 4 2 5" xfId="19059"/>
    <cellStyle name="Normal 10 2 2 2 4 2 6" xfId="26026"/>
    <cellStyle name="Normal 10 2 2 2 4 2 7" xfId="32994"/>
    <cellStyle name="Normal 10 2 2 2 4 3" xfId="9201"/>
    <cellStyle name="Normal 10 2 2 2 4 3 2" xfId="16240"/>
    <cellStyle name="Normal 10 2 2 2 4 3 3" xfId="23207"/>
    <cellStyle name="Normal 10 2 2 2 4 3 4" xfId="30174"/>
    <cellStyle name="Normal 10 2 2 2 4 3 5" xfId="37143"/>
    <cellStyle name="Normal 10 2 2 2 4 4" xfId="13920"/>
    <cellStyle name="Normal 10 2 2 2 4 4 2" xfId="20887"/>
    <cellStyle name="Normal 10 2 2 2 4 4 3" xfId="27854"/>
    <cellStyle name="Normal 10 2 2 2 4 4 4" xfId="34823"/>
    <cellStyle name="Normal 10 2 2 2 4 5" xfId="11598"/>
    <cellStyle name="Normal 10 2 2 2 4 6" xfId="18565"/>
    <cellStyle name="Normal 10 2 2 2 4 7" xfId="25532"/>
    <cellStyle name="Normal 10 2 2 2 4 8" xfId="32500"/>
    <cellStyle name="Normal 10 2 2 2 5" xfId="3856"/>
    <cellStyle name="Normal 10 2 2 2 5 2" xfId="4859"/>
    <cellStyle name="Normal 10 2 2 2 5 2 2" xfId="9735"/>
    <cellStyle name="Normal 10 2 2 2 5 2 2 2" xfId="16735"/>
    <cellStyle name="Normal 10 2 2 2 5 2 2 3" xfId="23702"/>
    <cellStyle name="Normal 10 2 2 2 5 2 2 4" xfId="30669"/>
    <cellStyle name="Normal 10 2 2 2 5 2 2 5" xfId="37638"/>
    <cellStyle name="Normal 10 2 2 2 5 2 3" xfId="14415"/>
    <cellStyle name="Normal 10 2 2 2 5 2 3 2" xfId="21382"/>
    <cellStyle name="Normal 10 2 2 2 5 2 3 3" xfId="28349"/>
    <cellStyle name="Normal 10 2 2 2 5 2 3 4" xfId="35318"/>
    <cellStyle name="Normal 10 2 2 2 5 2 4" xfId="12093"/>
    <cellStyle name="Normal 10 2 2 2 5 2 5" xfId="19060"/>
    <cellStyle name="Normal 10 2 2 2 5 2 6" xfId="26027"/>
    <cellStyle name="Normal 10 2 2 2 5 2 7" xfId="32995"/>
    <cellStyle name="Normal 10 2 2 2 5 3" xfId="9462"/>
    <cellStyle name="Normal 10 2 2 2 5 3 2" xfId="16499"/>
    <cellStyle name="Normal 10 2 2 2 5 3 3" xfId="23466"/>
    <cellStyle name="Normal 10 2 2 2 5 3 4" xfId="30433"/>
    <cellStyle name="Normal 10 2 2 2 5 3 5" xfId="37402"/>
    <cellStyle name="Normal 10 2 2 2 5 4" xfId="14179"/>
    <cellStyle name="Normal 10 2 2 2 5 4 2" xfId="21146"/>
    <cellStyle name="Normal 10 2 2 2 5 4 3" xfId="28113"/>
    <cellStyle name="Normal 10 2 2 2 5 4 4" xfId="35082"/>
    <cellStyle name="Normal 10 2 2 2 5 5" xfId="11857"/>
    <cellStyle name="Normal 10 2 2 2 5 6" xfId="18824"/>
    <cellStyle name="Normal 10 2 2 2 5 7" xfId="25791"/>
    <cellStyle name="Normal 10 2 2 2 5 8" xfId="32759"/>
    <cellStyle name="Normal 10 2 2 2 6" xfId="4855"/>
    <cellStyle name="Normal 10 2 2 2 6 2" xfId="9731"/>
    <cellStyle name="Normal 10 2 2 2 6 2 2" xfId="16731"/>
    <cellStyle name="Normal 10 2 2 2 6 2 3" xfId="23698"/>
    <cellStyle name="Normal 10 2 2 2 6 2 4" xfId="30665"/>
    <cellStyle name="Normal 10 2 2 2 6 2 5" xfId="37634"/>
    <cellStyle name="Normal 10 2 2 2 6 3" xfId="14411"/>
    <cellStyle name="Normal 10 2 2 2 6 3 2" xfId="21378"/>
    <cellStyle name="Normal 10 2 2 2 6 3 3" xfId="28345"/>
    <cellStyle name="Normal 10 2 2 2 6 3 4" xfId="35314"/>
    <cellStyle name="Normal 10 2 2 2 6 4" xfId="12089"/>
    <cellStyle name="Normal 10 2 2 2 6 5" xfId="19056"/>
    <cellStyle name="Normal 10 2 2 2 6 6" xfId="26023"/>
    <cellStyle name="Normal 10 2 2 2 6 7" xfId="32991"/>
    <cellStyle name="Normal 10 2 2 2 7" xfId="6754"/>
    <cellStyle name="Normal 10 2 2 2 7 2" xfId="10729"/>
    <cellStyle name="Normal 10 2 2 2 7 2 2" xfId="17704"/>
    <cellStyle name="Normal 10 2 2 2 7 2 3" xfId="24671"/>
    <cellStyle name="Normal 10 2 2 2 7 2 4" xfId="31638"/>
    <cellStyle name="Normal 10 2 2 2 7 2 5" xfId="38607"/>
    <cellStyle name="Normal 10 2 2 2 7 3" xfId="15384"/>
    <cellStyle name="Normal 10 2 2 2 7 3 2" xfId="22351"/>
    <cellStyle name="Normal 10 2 2 2 7 3 3" xfId="29318"/>
    <cellStyle name="Normal 10 2 2 2 7 3 4" xfId="36287"/>
    <cellStyle name="Normal 10 2 2 2 7 4" xfId="13062"/>
    <cellStyle name="Normal 10 2 2 2 7 5" xfId="20029"/>
    <cellStyle name="Normal 10 2 2 2 7 6" xfId="26996"/>
    <cellStyle name="Normal 10 2 2 2 7 7" xfId="33965"/>
    <cellStyle name="Normal 10 2 2 2 8" xfId="7073"/>
    <cellStyle name="Normal 10 2 2 2 8 2" xfId="15557"/>
    <cellStyle name="Normal 10 2 2 2 8 2 2" xfId="22524"/>
    <cellStyle name="Normal 10 2 2 2 8 2 3" xfId="29491"/>
    <cellStyle name="Normal 10 2 2 2 8 2 4" xfId="36460"/>
    <cellStyle name="Normal 10 2 2 2 8 3" xfId="13235"/>
    <cellStyle name="Normal 10 2 2 2 8 4" xfId="20202"/>
    <cellStyle name="Normal 10 2 2 2 8 5" xfId="27169"/>
    <cellStyle name="Normal 10 2 2 2 8 6" xfId="34138"/>
    <cellStyle name="Normal 10 2 2 2 9" xfId="7930"/>
    <cellStyle name="Normal 10 2 2 2 9 2" xfId="15730"/>
    <cellStyle name="Normal 10 2 2 2 9 2 2" xfId="22697"/>
    <cellStyle name="Normal 10 2 2 2 9 2 3" xfId="29664"/>
    <cellStyle name="Normal 10 2 2 2 9 2 4" xfId="36633"/>
    <cellStyle name="Normal 10 2 2 2 9 3" xfId="11086"/>
    <cellStyle name="Normal 10 2 2 2 9 4" xfId="18053"/>
    <cellStyle name="Normal 10 2 2 2 9 5" xfId="25020"/>
    <cellStyle name="Normal 10 2 2 2 9 6" xfId="31988"/>
    <cellStyle name="Normal 10 2 2 3" xfId="3211"/>
    <cellStyle name="Normal 10 2 2 3 2" xfId="4860"/>
    <cellStyle name="Normal 10 2 2 3 2 2" xfId="9736"/>
    <cellStyle name="Normal 10 2 2 3 2 2 2" xfId="16736"/>
    <cellStyle name="Normal 10 2 2 3 2 2 3" xfId="23703"/>
    <cellStyle name="Normal 10 2 2 3 2 2 4" xfId="30670"/>
    <cellStyle name="Normal 10 2 2 3 2 2 5" xfId="37639"/>
    <cellStyle name="Normal 10 2 2 3 2 3" xfId="14416"/>
    <cellStyle name="Normal 10 2 2 3 2 3 2" xfId="21383"/>
    <cellStyle name="Normal 10 2 2 3 2 3 3" xfId="28350"/>
    <cellStyle name="Normal 10 2 2 3 2 3 4" xfId="35319"/>
    <cellStyle name="Normal 10 2 2 3 2 4" xfId="12094"/>
    <cellStyle name="Normal 10 2 2 3 2 5" xfId="19061"/>
    <cellStyle name="Normal 10 2 2 3 2 6" xfId="26028"/>
    <cellStyle name="Normal 10 2 2 3 2 7" xfId="32996"/>
    <cellStyle name="Normal 10 2 2 3 3" xfId="8845"/>
    <cellStyle name="Normal 10 2 2 3 3 2" xfId="15901"/>
    <cellStyle name="Normal 10 2 2 3 3 3" xfId="22868"/>
    <cellStyle name="Normal 10 2 2 3 3 4" xfId="29835"/>
    <cellStyle name="Normal 10 2 2 3 3 5" xfId="36804"/>
    <cellStyle name="Normal 10 2 2 3 4" xfId="13579"/>
    <cellStyle name="Normal 10 2 2 3 4 2" xfId="20546"/>
    <cellStyle name="Normal 10 2 2 3 4 3" xfId="27513"/>
    <cellStyle name="Normal 10 2 2 3 4 4" xfId="34482"/>
    <cellStyle name="Normal 10 2 2 3 5" xfId="11257"/>
    <cellStyle name="Normal 10 2 2 3 6" xfId="18224"/>
    <cellStyle name="Normal 10 2 2 3 7" xfId="25191"/>
    <cellStyle name="Normal 10 2 2 3 8" xfId="32159"/>
    <cellStyle name="Normal 10 2 2 4" xfId="3417"/>
    <cellStyle name="Normal 10 2 2 4 2" xfId="4861"/>
    <cellStyle name="Normal 10 2 2 4 2 2" xfId="9737"/>
    <cellStyle name="Normal 10 2 2 4 2 2 2" xfId="16737"/>
    <cellStyle name="Normal 10 2 2 4 2 2 3" xfId="23704"/>
    <cellStyle name="Normal 10 2 2 4 2 2 4" xfId="30671"/>
    <cellStyle name="Normal 10 2 2 4 2 2 5" xfId="37640"/>
    <cellStyle name="Normal 10 2 2 4 2 3" xfId="14417"/>
    <cellStyle name="Normal 10 2 2 4 2 3 2" xfId="21384"/>
    <cellStyle name="Normal 10 2 2 4 2 3 3" xfId="28351"/>
    <cellStyle name="Normal 10 2 2 4 2 3 4" xfId="35320"/>
    <cellStyle name="Normal 10 2 2 4 2 4" xfId="12095"/>
    <cellStyle name="Normal 10 2 2 4 2 5" xfId="19062"/>
    <cellStyle name="Normal 10 2 2 4 2 6" xfId="26029"/>
    <cellStyle name="Normal 10 2 2 4 2 7" xfId="32997"/>
    <cellStyle name="Normal 10 2 2 4 3" xfId="9029"/>
    <cellStyle name="Normal 10 2 2 4 3 2" xfId="16068"/>
    <cellStyle name="Normal 10 2 2 4 3 3" xfId="23035"/>
    <cellStyle name="Normal 10 2 2 4 3 4" xfId="30002"/>
    <cellStyle name="Normal 10 2 2 4 3 5" xfId="36971"/>
    <cellStyle name="Normal 10 2 2 4 4" xfId="13748"/>
    <cellStyle name="Normal 10 2 2 4 4 2" xfId="20715"/>
    <cellStyle name="Normal 10 2 2 4 4 3" xfId="27682"/>
    <cellStyle name="Normal 10 2 2 4 4 4" xfId="34651"/>
    <cellStyle name="Normal 10 2 2 4 5" xfId="11426"/>
    <cellStyle name="Normal 10 2 2 4 6" xfId="18393"/>
    <cellStyle name="Normal 10 2 2 4 7" xfId="25360"/>
    <cellStyle name="Normal 10 2 2 4 8" xfId="32328"/>
    <cellStyle name="Normal 10 2 2 5" xfId="3592"/>
    <cellStyle name="Normal 10 2 2 5 2" xfId="4862"/>
    <cellStyle name="Normal 10 2 2 5 2 2" xfId="9738"/>
    <cellStyle name="Normal 10 2 2 5 2 2 2" xfId="16738"/>
    <cellStyle name="Normal 10 2 2 5 2 2 3" xfId="23705"/>
    <cellStyle name="Normal 10 2 2 5 2 2 4" xfId="30672"/>
    <cellStyle name="Normal 10 2 2 5 2 2 5" xfId="37641"/>
    <cellStyle name="Normal 10 2 2 5 2 3" xfId="14418"/>
    <cellStyle name="Normal 10 2 2 5 2 3 2" xfId="21385"/>
    <cellStyle name="Normal 10 2 2 5 2 3 3" xfId="28352"/>
    <cellStyle name="Normal 10 2 2 5 2 3 4" xfId="35321"/>
    <cellStyle name="Normal 10 2 2 5 2 4" xfId="12096"/>
    <cellStyle name="Normal 10 2 2 5 2 5" xfId="19063"/>
    <cellStyle name="Normal 10 2 2 5 2 6" xfId="26030"/>
    <cellStyle name="Normal 10 2 2 5 2 7" xfId="32998"/>
    <cellStyle name="Normal 10 2 2 5 3" xfId="9200"/>
    <cellStyle name="Normal 10 2 2 5 3 2" xfId="16239"/>
    <cellStyle name="Normal 10 2 2 5 3 3" xfId="23206"/>
    <cellStyle name="Normal 10 2 2 5 3 4" xfId="30173"/>
    <cellStyle name="Normal 10 2 2 5 3 5" xfId="37142"/>
    <cellStyle name="Normal 10 2 2 5 4" xfId="13919"/>
    <cellStyle name="Normal 10 2 2 5 4 2" xfId="20886"/>
    <cellStyle name="Normal 10 2 2 5 4 3" xfId="27853"/>
    <cellStyle name="Normal 10 2 2 5 4 4" xfId="34822"/>
    <cellStyle name="Normal 10 2 2 5 5" xfId="11597"/>
    <cellStyle name="Normal 10 2 2 5 6" xfId="18564"/>
    <cellStyle name="Normal 10 2 2 5 7" xfId="25531"/>
    <cellStyle name="Normal 10 2 2 5 8" xfId="32499"/>
    <cellStyle name="Normal 10 2 2 6" xfId="3855"/>
    <cellStyle name="Normal 10 2 2 6 2" xfId="4863"/>
    <cellStyle name="Normal 10 2 2 6 2 2" xfId="9739"/>
    <cellStyle name="Normal 10 2 2 6 2 2 2" xfId="16739"/>
    <cellStyle name="Normal 10 2 2 6 2 2 3" xfId="23706"/>
    <cellStyle name="Normal 10 2 2 6 2 2 4" xfId="30673"/>
    <cellStyle name="Normal 10 2 2 6 2 2 5" xfId="37642"/>
    <cellStyle name="Normal 10 2 2 6 2 3" xfId="14419"/>
    <cellStyle name="Normal 10 2 2 6 2 3 2" xfId="21386"/>
    <cellStyle name="Normal 10 2 2 6 2 3 3" xfId="28353"/>
    <cellStyle name="Normal 10 2 2 6 2 3 4" xfId="35322"/>
    <cellStyle name="Normal 10 2 2 6 2 4" xfId="12097"/>
    <cellStyle name="Normal 10 2 2 6 2 5" xfId="19064"/>
    <cellStyle name="Normal 10 2 2 6 2 6" xfId="26031"/>
    <cellStyle name="Normal 10 2 2 6 2 7" xfId="32999"/>
    <cellStyle name="Normal 10 2 2 6 3" xfId="9461"/>
    <cellStyle name="Normal 10 2 2 6 3 2" xfId="16498"/>
    <cellStyle name="Normal 10 2 2 6 3 3" xfId="23465"/>
    <cellStyle name="Normal 10 2 2 6 3 4" xfId="30432"/>
    <cellStyle name="Normal 10 2 2 6 3 5" xfId="37401"/>
    <cellStyle name="Normal 10 2 2 6 4" xfId="14178"/>
    <cellStyle name="Normal 10 2 2 6 4 2" xfId="21145"/>
    <cellStyle name="Normal 10 2 2 6 4 3" xfId="28112"/>
    <cellStyle name="Normal 10 2 2 6 4 4" xfId="35081"/>
    <cellStyle name="Normal 10 2 2 6 5" xfId="11856"/>
    <cellStyle name="Normal 10 2 2 6 6" xfId="18823"/>
    <cellStyle name="Normal 10 2 2 6 7" xfId="25790"/>
    <cellStyle name="Normal 10 2 2 6 8" xfId="32758"/>
    <cellStyle name="Normal 10 2 2 7" xfId="4854"/>
    <cellStyle name="Normal 10 2 2 7 2" xfId="9730"/>
    <cellStyle name="Normal 10 2 2 7 2 2" xfId="16730"/>
    <cellStyle name="Normal 10 2 2 7 2 3" xfId="23697"/>
    <cellStyle name="Normal 10 2 2 7 2 4" xfId="30664"/>
    <cellStyle name="Normal 10 2 2 7 2 5" xfId="37633"/>
    <cellStyle name="Normal 10 2 2 7 3" xfId="14410"/>
    <cellStyle name="Normal 10 2 2 7 3 2" xfId="21377"/>
    <cellStyle name="Normal 10 2 2 7 3 3" xfId="28344"/>
    <cellStyle name="Normal 10 2 2 7 3 4" xfId="35313"/>
    <cellStyle name="Normal 10 2 2 7 4" xfId="12088"/>
    <cellStyle name="Normal 10 2 2 7 5" xfId="19055"/>
    <cellStyle name="Normal 10 2 2 7 6" xfId="26022"/>
    <cellStyle name="Normal 10 2 2 7 7" xfId="32990"/>
    <cellStyle name="Normal 10 2 2 8" xfId="6753"/>
    <cellStyle name="Normal 10 2 2 8 2" xfId="10728"/>
    <cellStyle name="Normal 10 2 2 8 2 2" xfId="17703"/>
    <cellStyle name="Normal 10 2 2 8 2 3" xfId="24670"/>
    <cellStyle name="Normal 10 2 2 8 2 4" xfId="31637"/>
    <cellStyle name="Normal 10 2 2 8 2 5" xfId="38606"/>
    <cellStyle name="Normal 10 2 2 8 3" xfId="15383"/>
    <cellStyle name="Normal 10 2 2 8 3 2" xfId="22350"/>
    <cellStyle name="Normal 10 2 2 8 3 3" xfId="29317"/>
    <cellStyle name="Normal 10 2 2 8 3 4" xfId="36286"/>
    <cellStyle name="Normal 10 2 2 8 4" xfId="13061"/>
    <cellStyle name="Normal 10 2 2 8 5" xfId="20028"/>
    <cellStyle name="Normal 10 2 2 8 6" xfId="26995"/>
    <cellStyle name="Normal 10 2 2 8 7" xfId="33964"/>
    <cellStyle name="Normal 10 2 2 9" xfId="7072"/>
    <cellStyle name="Normal 10 2 2 9 2" xfId="15556"/>
    <cellStyle name="Normal 10 2 2 9 2 2" xfId="22523"/>
    <cellStyle name="Normal 10 2 2 9 2 3" xfId="29490"/>
    <cellStyle name="Normal 10 2 2 9 2 4" xfId="36459"/>
    <cellStyle name="Normal 10 2 2 9 3" xfId="13234"/>
    <cellStyle name="Normal 10 2 2 9 4" xfId="20201"/>
    <cellStyle name="Normal 10 2 2 9 5" xfId="27168"/>
    <cellStyle name="Normal 10 2 2 9 6" xfId="34137"/>
    <cellStyle name="Normal 10 2 3" xfId="1266"/>
    <cellStyle name="Normal 10 2 4" xfId="3210"/>
    <cellStyle name="Normal 10 2 4 2" xfId="4864"/>
    <cellStyle name="Normal 10 2 4 2 2" xfId="9740"/>
    <cellStyle name="Normal 10 2 4 2 2 2" xfId="16740"/>
    <cellStyle name="Normal 10 2 4 2 2 3" xfId="23707"/>
    <cellStyle name="Normal 10 2 4 2 2 4" xfId="30674"/>
    <cellStyle name="Normal 10 2 4 2 2 5" xfId="37643"/>
    <cellStyle name="Normal 10 2 4 2 3" xfId="14420"/>
    <cellStyle name="Normal 10 2 4 2 3 2" xfId="21387"/>
    <cellStyle name="Normal 10 2 4 2 3 3" xfId="28354"/>
    <cellStyle name="Normal 10 2 4 2 3 4" xfId="35323"/>
    <cellStyle name="Normal 10 2 4 2 4" xfId="12098"/>
    <cellStyle name="Normal 10 2 4 2 5" xfId="19065"/>
    <cellStyle name="Normal 10 2 4 2 6" xfId="26032"/>
    <cellStyle name="Normal 10 2 4 2 7" xfId="33000"/>
    <cellStyle name="Normal 10 2 4 3" xfId="8844"/>
    <cellStyle name="Normal 10 2 4 3 2" xfId="15900"/>
    <cellStyle name="Normal 10 2 4 3 3" xfId="22867"/>
    <cellStyle name="Normal 10 2 4 3 4" xfId="29834"/>
    <cellStyle name="Normal 10 2 4 3 5" xfId="36803"/>
    <cellStyle name="Normal 10 2 4 4" xfId="13578"/>
    <cellStyle name="Normal 10 2 4 4 2" xfId="20545"/>
    <cellStyle name="Normal 10 2 4 4 3" xfId="27512"/>
    <cellStyle name="Normal 10 2 4 4 4" xfId="34481"/>
    <cellStyle name="Normal 10 2 4 5" xfId="11256"/>
    <cellStyle name="Normal 10 2 4 6" xfId="18223"/>
    <cellStyle name="Normal 10 2 4 7" xfId="25190"/>
    <cellStyle name="Normal 10 2 4 8" xfId="32158"/>
    <cellStyle name="Normal 10 2 5" xfId="3416"/>
    <cellStyle name="Normal 10 2 5 2" xfId="4865"/>
    <cellStyle name="Normal 10 2 5 2 2" xfId="9741"/>
    <cellStyle name="Normal 10 2 5 2 2 2" xfId="16741"/>
    <cellStyle name="Normal 10 2 5 2 2 3" xfId="23708"/>
    <cellStyle name="Normal 10 2 5 2 2 4" xfId="30675"/>
    <cellStyle name="Normal 10 2 5 2 2 5" xfId="37644"/>
    <cellStyle name="Normal 10 2 5 2 3" xfId="14421"/>
    <cellStyle name="Normal 10 2 5 2 3 2" xfId="21388"/>
    <cellStyle name="Normal 10 2 5 2 3 3" xfId="28355"/>
    <cellStyle name="Normal 10 2 5 2 3 4" xfId="35324"/>
    <cellStyle name="Normal 10 2 5 2 4" xfId="12099"/>
    <cellStyle name="Normal 10 2 5 2 5" xfId="19066"/>
    <cellStyle name="Normal 10 2 5 2 6" xfId="26033"/>
    <cellStyle name="Normal 10 2 5 2 7" xfId="33001"/>
    <cellStyle name="Normal 10 2 5 3" xfId="9028"/>
    <cellStyle name="Normal 10 2 5 3 2" xfId="16067"/>
    <cellStyle name="Normal 10 2 5 3 3" xfId="23034"/>
    <cellStyle name="Normal 10 2 5 3 4" xfId="30001"/>
    <cellStyle name="Normal 10 2 5 3 5" xfId="36970"/>
    <cellStyle name="Normal 10 2 5 4" xfId="13747"/>
    <cellStyle name="Normal 10 2 5 4 2" xfId="20714"/>
    <cellStyle name="Normal 10 2 5 4 3" xfId="27681"/>
    <cellStyle name="Normal 10 2 5 4 4" xfId="34650"/>
    <cellStyle name="Normal 10 2 5 5" xfId="11425"/>
    <cellStyle name="Normal 10 2 5 6" xfId="18392"/>
    <cellStyle name="Normal 10 2 5 7" xfId="25359"/>
    <cellStyle name="Normal 10 2 5 8" xfId="32327"/>
    <cellStyle name="Normal 10 2 6" xfId="3591"/>
    <cellStyle name="Normal 10 2 6 2" xfId="4866"/>
    <cellStyle name="Normal 10 2 6 2 2" xfId="9742"/>
    <cellStyle name="Normal 10 2 6 2 2 2" xfId="16742"/>
    <cellStyle name="Normal 10 2 6 2 2 3" xfId="23709"/>
    <cellStyle name="Normal 10 2 6 2 2 4" xfId="30676"/>
    <cellStyle name="Normal 10 2 6 2 2 5" xfId="37645"/>
    <cellStyle name="Normal 10 2 6 2 3" xfId="14422"/>
    <cellStyle name="Normal 10 2 6 2 3 2" xfId="21389"/>
    <cellStyle name="Normal 10 2 6 2 3 3" xfId="28356"/>
    <cellStyle name="Normal 10 2 6 2 3 4" xfId="35325"/>
    <cellStyle name="Normal 10 2 6 2 4" xfId="12100"/>
    <cellStyle name="Normal 10 2 6 2 5" xfId="19067"/>
    <cellStyle name="Normal 10 2 6 2 6" xfId="26034"/>
    <cellStyle name="Normal 10 2 6 2 7" xfId="33002"/>
    <cellStyle name="Normal 10 2 6 3" xfId="9199"/>
    <cellStyle name="Normal 10 2 6 3 2" xfId="16238"/>
    <cellStyle name="Normal 10 2 6 3 3" xfId="23205"/>
    <cellStyle name="Normal 10 2 6 3 4" xfId="30172"/>
    <cellStyle name="Normal 10 2 6 3 5" xfId="37141"/>
    <cellStyle name="Normal 10 2 6 4" xfId="13918"/>
    <cellStyle name="Normal 10 2 6 4 2" xfId="20885"/>
    <cellStyle name="Normal 10 2 6 4 3" xfId="27852"/>
    <cellStyle name="Normal 10 2 6 4 4" xfId="34821"/>
    <cellStyle name="Normal 10 2 6 5" xfId="11596"/>
    <cellStyle name="Normal 10 2 6 6" xfId="18563"/>
    <cellStyle name="Normal 10 2 6 7" xfId="25530"/>
    <cellStyle name="Normal 10 2 6 8" xfId="32498"/>
    <cellStyle name="Normal 10 2 7" xfId="3854"/>
    <cellStyle name="Normal 10 2 7 2" xfId="4867"/>
    <cellStyle name="Normal 10 2 7 2 2" xfId="9743"/>
    <cellStyle name="Normal 10 2 7 2 2 2" xfId="16743"/>
    <cellStyle name="Normal 10 2 7 2 2 3" xfId="23710"/>
    <cellStyle name="Normal 10 2 7 2 2 4" xfId="30677"/>
    <cellStyle name="Normal 10 2 7 2 2 5" xfId="37646"/>
    <cellStyle name="Normal 10 2 7 2 3" xfId="14423"/>
    <cellStyle name="Normal 10 2 7 2 3 2" xfId="21390"/>
    <cellStyle name="Normal 10 2 7 2 3 3" xfId="28357"/>
    <cellStyle name="Normal 10 2 7 2 3 4" xfId="35326"/>
    <cellStyle name="Normal 10 2 7 2 4" xfId="12101"/>
    <cellStyle name="Normal 10 2 7 2 5" xfId="19068"/>
    <cellStyle name="Normal 10 2 7 2 6" xfId="26035"/>
    <cellStyle name="Normal 10 2 7 2 7" xfId="33003"/>
    <cellStyle name="Normal 10 2 7 3" xfId="9460"/>
    <cellStyle name="Normal 10 2 7 3 2" xfId="16497"/>
    <cellStyle name="Normal 10 2 7 3 3" xfId="23464"/>
    <cellStyle name="Normal 10 2 7 3 4" xfId="30431"/>
    <cellStyle name="Normal 10 2 7 3 5" xfId="37400"/>
    <cellStyle name="Normal 10 2 7 4" xfId="14177"/>
    <cellStyle name="Normal 10 2 7 4 2" xfId="21144"/>
    <cellStyle name="Normal 10 2 7 4 3" xfId="28111"/>
    <cellStyle name="Normal 10 2 7 4 4" xfId="35080"/>
    <cellStyle name="Normal 10 2 7 5" xfId="11855"/>
    <cellStyle name="Normal 10 2 7 6" xfId="18822"/>
    <cellStyle name="Normal 10 2 7 7" xfId="25789"/>
    <cellStyle name="Normal 10 2 7 8" xfId="32757"/>
    <cellStyle name="Normal 10 2 8" xfId="4853"/>
    <cellStyle name="Normal 10 2 8 2" xfId="9729"/>
    <cellStyle name="Normal 10 2 8 2 2" xfId="16729"/>
    <cellStyle name="Normal 10 2 8 2 3" xfId="23696"/>
    <cellStyle name="Normal 10 2 8 2 4" xfId="30663"/>
    <cellStyle name="Normal 10 2 8 2 5" xfId="37632"/>
    <cellStyle name="Normal 10 2 8 3" xfId="14409"/>
    <cellStyle name="Normal 10 2 8 3 2" xfId="21376"/>
    <cellStyle name="Normal 10 2 8 3 3" xfId="28343"/>
    <cellStyle name="Normal 10 2 8 3 4" xfId="35312"/>
    <cellStyle name="Normal 10 2 8 4" xfId="12087"/>
    <cellStyle name="Normal 10 2 8 5" xfId="19054"/>
    <cellStyle name="Normal 10 2 8 6" xfId="26021"/>
    <cellStyle name="Normal 10 2 8 7" xfId="32989"/>
    <cellStyle name="Normal 10 3" xfId="1267"/>
    <cellStyle name="Normal 10 3 10" xfId="17879"/>
    <cellStyle name="Normal 10 3 11" xfId="24848"/>
    <cellStyle name="Normal 10 3 12" xfId="31816"/>
    <cellStyle name="Normal 10 3 2" xfId="1268"/>
    <cellStyle name="Normal 10 3 3" xfId="1269"/>
    <cellStyle name="Normal 10 3 3 10" xfId="7932"/>
    <cellStyle name="Normal 10 3 3 10 2" xfId="15732"/>
    <cellStyle name="Normal 10 3 3 10 2 2" xfId="22699"/>
    <cellStyle name="Normal 10 3 3 10 2 3" xfId="29666"/>
    <cellStyle name="Normal 10 3 3 10 2 4" xfId="36635"/>
    <cellStyle name="Normal 10 3 3 10 3" xfId="11088"/>
    <cellStyle name="Normal 10 3 3 10 4" xfId="18055"/>
    <cellStyle name="Normal 10 3 3 10 5" xfId="25022"/>
    <cellStyle name="Normal 10 3 3 10 6" xfId="31990"/>
    <cellStyle name="Normal 10 3 3 11" xfId="13410"/>
    <cellStyle name="Normal 10 3 3 11 2" xfId="20377"/>
    <cellStyle name="Normal 10 3 3 11 3" xfId="27344"/>
    <cellStyle name="Normal 10 3 3 11 4" xfId="34313"/>
    <cellStyle name="Normal 10 3 3 12" xfId="10915"/>
    <cellStyle name="Normal 10 3 3 13" xfId="17880"/>
    <cellStyle name="Normal 10 3 3 14" xfId="24849"/>
    <cellStyle name="Normal 10 3 3 15" xfId="31817"/>
    <cellStyle name="Normal 10 3 3 2" xfId="1270"/>
    <cellStyle name="Normal 10 3 3 2 10" xfId="13411"/>
    <cellStyle name="Normal 10 3 3 2 10 2" xfId="20378"/>
    <cellStyle name="Normal 10 3 3 2 10 3" xfId="27345"/>
    <cellStyle name="Normal 10 3 3 2 10 4" xfId="34314"/>
    <cellStyle name="Normal 10 3 3 2 11" xfId="10916"/>
    <cellStyle name="Normal 10 3 3 2 12" xfId="17881"/>
    <cellStyle name="Normal 10 3 3 2 13" xfId="24850"/>
    <cellStyle name="Normal 10 3 3 2 14" xfId="31818"/>
    <cellStyle name="Normal 10 3 3 2 2" xfId="3214"/>
    <cellStyle name="Normal 10 3 3 2 2 2" xfId="4870"/>
    <cellStyle name="Normal 10 3 3 2 2 2 2" xfId="9746"/>
    <cellStyle name="Normal 10 3 3 2 2 2 2 2" xfId="16746"/>
    <cellStyle name="Normal 10 3 3 2 2 2 2 3" xfId="23713"/>
    <cellStyle name="Normal 10 3 3 2 2 2 2 4" xfId="30680"/>
    <cellStyle name="Normal 10 3 3 2 2 2 2 5" xfId="37649"/>
    <cellStyle name="Normal 10 3 3 2 2 2 3" xfId="14426"/>
    <cellStyle name="Normal 10 3 3 2 2 2 3 2" xfId="21393"/>
    <cellStyle name="Normal 10 3 3 2 2 2 3 3" xfId="28360"/>
    <cellStyle name="Normal 10 3 3 2 2 2 3 4" xfId="35329"/>
    <cellStyle name="Normal 10 3 3 2 2 2 4" xfId="12104"/>
    <cellStyle name="Normal 10 3 3 2 2 2 5" xfId="19071"/>
    <cellStyle name="Normal 10 3 3 2 2 2 6" xfId="26038"/>
    <cellStyle name="Normal 10 3 3 2 2 2 7" xfId="33006"/>
    <cellStyle name="Normal 10 3 3 2 2 3" xfId="8848"/>
    <cellStyle name="Normal 10 3 3 2 2 3 2" xfId="15904"/>
    <cellStyle name="Normal 10 3 3 2 2 3 3" xfId="22871"/>
    <cellStyle name="Normal 10 3 3 2 2 3 4" xfId="29838"/>
    <cellStyle name="Normal 10 3 3 2 2 3 5" xfId="36807"/>
    <cellStyle name="Normal 10 3 3 2 2 4" xfId="13582"/>
    <cellStyle name="Normal 10 3 3 2 2 4 2" xfId="20549"/>
    <cellStyle name="Normal 10 3 3 2 2 4 3" xfId="27516"/>
    <cellStyle name="Normal 10 3 3 2 2 4 4" xfId="34485"/>
    <cellStyle name="Normal 10 3 3 2 2 5" xfId="11260"/>
    <cellStyle name="Normal 10 3 3 2 2 6" xfId="18227"/>
    <cellStyle name="Normal 10 3 3 2 2 7" xfId="25194"/>
    <cellStyle name="Normal 10 3 3 2 2 8" xfId="32162"/>
    <cellStyle name="Normal 10 3 3 2 3" xfId="3420"/>
    <cellStyle name="Normal 10 3 3 2 3 2" xfId="4871"/>
    <cellStyle name="Normal 10 3 3 2 3 2 2" xfId="9747"/>
    <cellStyle name="Normal 10 3 3 2 3 2 2 2" xfId="16747"/>
    <cellStyle name="Normal 10 3 3 2 3 2 2 3" xfId="23714"/>
    <cellStyle name="Normal 10 3 3 2 3 2 2 4" xfId="30681"/>
    <cellStyle name="Normal 10 3 3 2 3 2 2 5" xfId="37650"/>
    <cellStyle name="Normal 10 3 3 2 3 2 3" xfId="14427"/>
    <cellStyle name="Normal 10 3 3 2 3 2 3 2" xfId="21394"/>
    <cellStyle name="Normal 10 3 3 2 3 2 3 3" xfId="28361"/>
    <cellStyle name="Normal 10 3 3 2 3 2 3 4" xfId="35330"/>
    <cellStyle name="Normal 10 3 3 2 3 2 4" xfId="12105"/>
    <cellStyle name="Normal 10 3 3 2 3 2 5" xfId="19072"/>
    <cellStyle name="Normal 10 3 3 2 3 2 6" xfId="26039"/>
    <cellStyle name="Normal 10 3 3 2 3 2 7" xfId="33007"/>
    <cellStyle name="Normal 10 3 3 2 3 3" xfId="9032"/>
    <cellStyle name="Normal 10 3 3 2 3 3 2" xfId="16071"/>
    <cellStyle name="Normal 10 3 3 2 3 3 3" xfId="23038"/>
    <cellStyle name="Normal 10 3 3 2 3 3 4" xfId="30005"/>
    <cellStyle name="Normal 10 3 3 2 3 3 5" xfId="36974"/>
    <cellStyle name="Normal 10 3 3 2 3 4" xfId="13751"/>
    <cellStyle name="Normal 10 3 3 2 3 4 2" xfId="20718"/>
    <cellStyle name="Normal 10 3 3 2 3 4 3" xfId="27685"/>
    <cellStyle name="Normal 10 3 3 2 3 4 4" xfId="34654"/>
    <cellStyle name="Normal 10 3 3 2 3 5" xfId="11429"/>
    <cellStyle name="Normal 10 3 3 2 3 6" xfId="18396"/>
    <cellStyle name="Normal 10 3 3 2 3 7" xfId="25363"/>
    <cellStyle name="Normal 10 3 3 2 3 8" xfId="32331"/>
    <cellStyle name="Normal 10 3 3 2 4" xfId="3595"/>
    <cellStyle name="Normal 10 3 3 2 4 2" xfId="4872"/>
    <cellStyle name="Normal 10 3 3 2 4 2 2" xfId="9748"/>
    <cellStyle name="Normal 10 3 3 2 4 2 2 2" xfId="16748"/>
    <cellStyle name="Normal 10 3 3 2 4 2 2 3" xfId="23715"/>
    <cellStyle name="Normal 10 3 3 2 4 2 2 4" xfId="30682"/>
    <cellStyle name="Normal 10 3 3 2 4 2 2 5" xfId="37651"/>
    <cellStyle name="Normal 10 3 3 2 4 2 3" xfId="14428"/>
    <cellStyle name="Normal 10 3 3 2 4 2 3 2" xfId="21395"/>
    <cellStyle name="Normal 10 3 3 2 4 2 3 3" xfId="28362"/>
    <cellStyle name="Normal 10 3 3 2 4 2 3 4" xfId="35331"/>
    <cellStyle name="Normal 10 3 3 2 4 2 4" xfId="12106"/>
    <cellStyle name="Normal 10 3 3 2 4 2 5" xfId="19073"/>
    <cellStyle name="Normal 10 3 3 2 4 2 6" xfId="26040"/>
    <cellStyle name="Normal 10 3 3 2 4 2 7" xfId="33008"/>
    <cellStyle name="Normal 10 3 3 2 4 3" xfId="9203"/>
    <cellStyle name="Normal 10 3 3 2 4 3 2" xfId="16242"/>
    <cellStyle name="Normal 10 3 3 2 4 3 3" xfId="23209"/>
    <cellStyle name="Normal 10 3 3 2 4 3 4" xfId="30176"/>
    <cellStyle name="Normal 10 3 3 2 4 3 5" xfId="37145"/>
    <cellStyle name="Normal 10 3 3 2 4 4" xfId="13922"/>
    <cellStyle name="Normal 10 3 3 2 4 4 2" xfId="20889"/>
    <cellStyle name="Normal 10 3 3 2 4 4 3" xfId="27856"/>
    <cellStyle name="Normal 10 3 3 2 4 4 4" xfId="34825"/>
    <cellStyle name="Normal 10 3 3 2 4 5" xfId="11600"/>
    <cellStyle name="Normal 10 3 3 2 4 6" xfId="18567"/>
    <cellStyle name="Normal 10 3 3 2 4 7" xfId="25534"/>
    <cellStyle name="Normal 10 3 3 2 4 8" xfId="32502"/>
    <cellStyle name="Normal 10 3 3 2 5" xfId="3858"/>
    <cellStyle name="Normal 10 3 3 2 5 2" xfId="4873"/>
    <cellStyle name="Normal 10 3 3 2 5 2 2" xfId="9749"/>
    <cellStyle name="Normal 10 3 3 2 5 2 2 2" xfId="16749"/>
    <cellStyle name="Normal 10 3 3 2 5 2 2 3" xfId="23716"/>
    <cellStyle name="Normal 10 3 3 2 5 2 2 4" xfId="30683"/>
    <cellStyle name="Normal 10 3 3 2 5 2 2 5" xfId="37652"/>
    <cellStyle name="Normal 10 3 3 2 5 2 3" xfId="14429"/>
    <cellStyle name="Normal 10 3 3 2 5 2 3 2" xfId="21396"/>
    <cellStyle name="Normal 10 3 3 2 5 2 3 3" xfId="28363"/>
    <cellStyle name="Normal 10 3 3 2 5 2 3 4" xfId="35332"/>
    <cellStyle name="Normal 10 3 3 2 5 2 4" xfId="12107"/>
    <cellStyle name="Normal 10 3 3 2 5 2 5" xfId="19074"/>
    <cellStyle name="Normal 10 3 3 2 5 2 6" xfId="26041"/>
    <cellStyle name="Normal 10 3 3 2 5 2 7" xfId="33009"/>
    <cellStyle name="Normal 10 3 3 2 5 3" xfId="9464"/>
    <cellStyle name="Normal 10 3 3 2 5 3 2" xfId="16501"/>
    <cellStyle name="Normal 10 3 3 2 5 3 3" xfId="23468"/>
    <cellStyle name="Normal 10 3 3 2 5 3 4" xfId="30435"/>
    <cellStyle name="Normal 10 3 3 2 5 3 5" xfId="37404"/>
    <cellStyle name="Normal 10 3 3 2 5 4" xfId="14181"/>
    <cellStyle name="Normal 10 3 3 2 5 4 2" xfId="21148"/>
    <cellStyle name="Normal 10 3 3 2 5 4 3" xfId="28115"/>
    <cellStyle name="Normal 10 3 3 2 5 4 4" xfId="35084"/>
    <cellStyle name="Normal 10 3 3 2 5 5" xfId="11859"/>
    <cellStyle name="Normal 10 3 3 2 5 6" xfId="18826"/>
    <cellStyle name="Normal 10 3 3 2 5 7" xfId="25793"/>
    <cellStyle name="Normal 10 3 3 2 5 8" xfId="32761"/>
    <cellStyle name="Normal 10 3 3 2 6" xfId="4869"/>
    <cellStyle name="Normal 10 3 3 2 6 2" xfId="9745"/>
    <cellStyle name="Normal 10 3 3 2 6 2 2" xfId="16745"/>
    <cellStyle name="Normal 10 3 3 2 6 2 3" xfId="23712"/>
    <cellStyle name="Normal 10 3 3 2 6 2 4" xfId="30679"/>
    <cellStyle name="Normal 10 3 3 2 6 2 5" xfId="37648"/>
    <cellStyle name="Normal 10 3 3 2 6 3" xfId="14425"/>
    <cellStyle name="Normal 10 3 3 2 6 3 2" xfId="21392"/>
    <cellStyle name="Normal 10 3 3 2 6 3 3" xfId="28359"/>
    <cellStyle name="Normal 10 3 3 2 6 3 4" xfId="35328"/>
    <cellStyle name="Normal 10 3 3 2 6 4" xfId="12103"/>
    <cellStyle name="Normal 10 3 3 2 6 5" xfId="19070"/>
    <cellStyle name="Normal 10 3 3 2 6 6" xfId="26037"/>
    <cellStyle name="Normal 10 3 3 2 6 7" xfId="33005"/>
    <cellStyle name="Normal 10 3 3 2 7" xfId="6757"/>
    <cellStyle name="Normal 10 3 3 2 7 2" xfId="10732"/>
    <cellStyle name="Normal 10 3 3 2 7 2 2" xfId="17707"/>
    <cellStyle name="Normal 10 3 3 2 7 2 3" xfId="24674"/>
    <cellStyle name="Normal 10 3 3 2 7 2 4" xfId="31641"/>
    <cellStyle name="Normal 10 3 3 2 7 2 5" xfId="38610"/>
    <cellStyle name="Normal 10 3 3 2 7 3" xfId="15387"/>
    <cellStyle name="Normal 10 3 3 2 7 3 2" xfId="22354"/>
    <cellStyle name="Normal 10 3 3 2 7 3 3" xfId="29321"/>
    <cellStyle name="Normal 10 3 3 2 7 3 4" xfId="36290"/>
    <cellStyle name="Normal 10 3 3 2 7 4" xfId="13065"/>
    <cellStyle name="Normal 10 3 3 2 7 5" xfId="20032"/>
    <cellStyle name="Normal 10 3 3 2 7 6" xfId="26999"/>
    <cellStyle name="Normal 10 3 3 2 7 7" xfId="33968"/>
    <cellStyle name="Normal 10 3 3 2 8" xfId="7076"/>
    <cellStyle name="Normal 10 3 3 2 8 2" xfId="15560"/>
    <cellStyle name="Normal 10 3 3 2 8 2 2" xfId="22527"/>
    <cellStyle name="Normal 10 3 3 2 8 2 3" xfId="29494"/>
    <cellStyle name="Normal 10 3 3 2 8 2 4" xfId="36463"/>
    <cellStyle name="Normal 10 3 3 2 8 3" xfId="13238"/>
    <cellStyle name="Normal 10 3 3 2 8 4" xfId="20205"/>
    <cellStyle name="Normal 10 3 3 2 8 5" xfId="27172"/>
    <cellStyle name="Normal 10 3 3 2 8 6" xfId="34141"/>
    <cellStyle name="Normal 10 3 3 2 9" xfId="7933"/>
    <cellStyle name="Normal 10 3 3 2 9 2" xfId="15733"/>
    <cellStyle name="Normal 10 3 3 2 9 2 2" xfId="22700"/>
    <cellStyle name="Normal 10 3 3 2 9 2 3" xfId="29667"/>
    <cellStyle name="Normal 10 3 3 2 9 2 4" xfId="36636"/>
    <cellStyle name="Normal 10 3 3 2 9 3" xfId="11089"/>
    <cellStyle name="Normal 10 3 3 2 9 4" xfId="18056"/>
    <cellStyle name="Normal 10 3 3 2 9 5" xfId="25023"/>
    <cellStyle name="Normal 10 3 3 2 9 6" xfId="31991"/>
    <cellStyle name="Normal 10 3 3 3" xfId="3213"/>
    <cellStyle name="Normal 10 3 3 3 2" xfId="4874"/>
    <cellStyle name="Normal 10 3 3 3 2 2" xfId="9750"/>
    <cellStyle name="Normal 10 3 3 3 2 2 2" xfId="16750"/>
    <cellStyle name="Normal 10 3 3 3 2 2 3" xfId="23717"/>
    <cellStyle name="Normal 10 3 3 3 2 2 4" xfId="30684"/>
    <cellStyle name="Normal 10 3 3 3 2 2 5" xfId="37653"/>
    <cellStyle name="Normal 10 3 3 3 2 3" xfId="14430"/>
    <cellStyle name="Normal 10 3 3 3 2 3 2" xfId="21397"/>
    <cellStyle name="Normal 10 3 3 3 2 3 3" xfId="28364"/>
    <cellStyle name="Normal 10 3 3 3 2 3 4" xfId="35333"/>
    <cellStyle name="Normal 10 3 3 3 2 4" xfId="12108"/>
    <cellStyle name="Normal 10 3 3 3 2 5" xfId="19075"/>
    <cellStyle name="Normal 10 3 3 3 2 6" xfId="26042"/>
    <cellStyle name="Normal 10 3 3 3 2 7" xfId="33010"/>
    <cellStyle name="Normal 10 3 3 3 3" xfId="8847"/>
    <cellStyle name="Normal 10 3 3 3 3 2" xfId="15903"/>
    <cellStyle name="Normal 10 3 3 3 3 3" xfId="22870"/>
    <cellStyle name="Normal 10 3 3 3 3 4" xfId="29837"/>
    <cellStyle name="Normal 10 3 3 3 3 5" xfId="36806"/>
    <cellStyle name="Normal 10 3 3 3 4" xfId="13581"/>
    <cellStyle name="Normal 10 3 3 3 4 2" xfId="20548"/>
    <cellStyle name="Normal 10 3 3 3 4 3" xfId="27515"/>
    <cellStyle name="Normal 10 3 3 3 4 4" xfId="34484"/>
    <cellStyle name="Normal 10 3 3 3 5" xfId="11259"/>
    <cellStyle name="Normal 10 3 3 3 6" xfId="18226"/>
    <cellStyle name="Normal 10 3 3 3 7" xfId="25193"/>
    <cellStyle name="Normal 10 3 3 3 8" xfId="32161"/>
    <cellStyle name="Normal 10 3 3 4" xfId="3419"/>
    <cellStyle name="Normal 10 3 3 4 2" xfId="4875"/>
    <cellStyle name="Normal 10 3 3 4 2 2" xfId="9751"/>
    <cellStyle name="Normal 10 3 3 4 2 2 2" xfId="16751"/>
    <cellStyle name="Normal 10 3 3 4 2 2 3" xfId="23718"/>
    <cellStyle name="Normal 10 3 3 4 2 2 4" xfId="30685"/>
    <cellStyle name="Normal 10 3 3 4 2 2 5" xfId="37654"/>
    <cellStyle name="Normal 10 3 3 4 2 3" xfId="14431"/>
    <cellStyle name="Normal 10 3 3 4 2 3 2" xfId="21398"/>
    <cellStyle name="Normal 10 3 3 4 2 3 3" xfId="28365"/>
    <cellStyle name="Normal 10 3 3 4 2 3 4" xfId="35334"/>
    <cellStyle name="Normal 10 3 3 4 2 4" xfId="12109"/>
    <cellStyle name="Normal 10 3 3 4 2 5" xfId="19076"/>
    <cellStyle name="Normal 10 3 3 4 2 6" xfId="26043"/>
    <cellStyle name="Normal 10 3 3 4 2 7" xfId="33011"/>
    <cellStyle name="Normal 10 3 3 4 3" xfId="9031"/>
    <cellStyle name="Normal 10 3 3 4 3 2" xfId="16070"/>
    <cellStyle name="Normal 10 3 3 4 3 3" xfId="23037"/>
    <cellStyle name="Normal 10 3 3 4 3 4" xfId="30004"/>
    <cellStyle name="Normal 10 3 3 4 3 5" xfId="36973"/>
    <cellStyle name="Normal 10 3 3 4 4" xfId="13750"/>
    <cellStyle name="Normal 10 3 3 4 4 2" xfId="20717"/>
    <cellStyle name="Normal 10 3 3 4 4 3" xfId="27684"/>
    <cellStyle name="Normal 10 3 3 4 4 4" xfId="34653"/>
    <cellStyle name="Normal 10 3 3 4 5" xfId="11428"/>
    <cellStyle name="Normal 10 3 3 4 6" xfId="18395"/>
    <cellStyle name="Normal 10 3 3 4 7" xfId="25362"/>
    <cellStyle name="Normal 10 3 3 4 8" xfId="32330"/>
    <cellStyle name="Normal 10 3 3 5" xfId="3594"/>
    <cellStyle name="Normal 10 3 3 5 2" xfId="4876"/>
    <cellStyle name="Normal 10 3 3 5 2 2" xfId="9752"/>
    <cellStyle name="Normal 10 3 3 5 2 2 2" xfId="16752"/>
    <cellStyle name="Normal 10 3 3 5 2 2 3" xfId="23719"/>
    <cellStyle name="Normal 10 3 3 5 2 2 4" xfId="30686"/>
    <cellStyle name="Normal 10 3 3 5 2 2 5" xfId="37655"/>
    <cellStyle name="Normal 10 3 3 5 2 3" xfId="14432"/>
    <cellStyle name="Normal 10 3 3 5 2 3 2" xfId="21399"/>
    <cellStyle name="Normal 10 3 3 5 2 3 3" xfId="28366"/>
    <cellStyle name="Normal 10 3 3 5 2 3 4" xfId="35335"/>
    <cellStyle name="Normal 10 3 3 5 2 4" xfId="12110"/>
    <cellStyle name="Normal 10 3 3 5 2 5" xfId="19077"/>
    <cellStyle name="Normal 10 3 3 5 2 6" xfId="26044"/>
    <cellStyle name="Normal 10 3 3 5 2 7" xfId="33012"/>
    <cellStyle name="Normal 10 3 3 5 3" xfId="9202"/>
    <cellStyle name="Normal 10 3 3 5 3 2" xfId="16241"/>
    <cellStyle name="Normal 10 3 3 5 3 3" xfId="23208"/>
    <cellStyle name="Normal 10 3 3 5 3 4" xfId="30175"/>
    <cellStyle name="Normal 10 3 3 5 3 5" xfId="37144"/>
    <cellStyle name="Normal 10 3 3 5 4" xfId="13921"/>
    <cellStyle name="Normal 10 3 3 5 4 2" xfId="20888"/>
    <cellStyle name="Normal 10 3 3 5 4 3" xfId="27855"/>
    <cellStyle name="Normal 10 3 3 5 4 4" xfId="34824"/>
    <cellStyle name="Normal 10 3 3 5 5" xfId="11599"/>
    <cellStyle name="Normal 10 3 3 5 6" xfId="18566"/>
    <cellStyle name="Normal 10 3 3 5 7" xfId="25533"/>
    <cellStyle name="Normal 10 3 3 5 8" xfId="32501"/>
    <cellStyle name="Normal 10 3 3 6" xfId="3857"/>
    <cellStyle name="Normal 10 3 3 6 2" xfId="4877"/>
    <cellStyle name="Normal 10 3 3 6 2 2" xfId="9753"/>
    <cellStyle name="Normal 10 3 3 6 2 2 2" xfId="16753"/>
    <cellStyle name="Normal 10 3 3 6 2 2 3" xfId="23720"/>
    <cellStyle name="Normal 10 3 3 6 2 2 4" xfId="30687"/>
    <cellStyle name="Normal 10 3 3 6 2 2 5" xfId="37656"/>
    <cellStyle name="Normal 10 3 3 6 2 3" xfId="14433"/>
    <cellStyle name="Normal 10 3 3 6 2 3 2" xfId="21400"/>
    <cellStyle name="Normal 10 3 3 6 2 3 3" xfId="28367"/>
    <cellStyle name="Normal 10 3 3 6 2 3 4" xfId="35336"/>
    <cellStyle name="Normal 10 3 3 6 2 4" xfId="12111"/>
    <cellStyle name="Normal 10 3 3 6 2 5" xfId="19078"/>
    <cellStyle name="Normal 10 3 3 6 2 6" xfId="26045"/>
    <cellStyle name="Normal 10 3 3 6 2 7" xfId="33013"/>
    <cellStyle name="Normal 10 3 3 6 3" xfId="9463"/>
    <cellStyle name="Normal 10 3 3 6 3 2" xfId="16500"/>
    <cellStyle name="Normal 10 3 3 6 3 3" xfId="23467"/>
    <cellStyle name="Normal 10 3 3 6 3 4" xfId="30434"/>
    <cellStyle name="Normal 10 3 3 6 3 5" xfId="37403"/>
    <cellStyle name="Normal 10 3 3 6 4" xfId="14180"/>
    <cellStyle name="Normal 10 3 3 6 4 2" xfId="21147"/>
    <cellStyle name="Normal 10 3 3 6 4 3" xfId="28114"/>
    <cellStyle name="Normal 10 3 3 6 4 4" xfId="35083"/>
    <cellStyle name="Normal 10 3 3 6 5" xfId="11858"/>
    <cellStyle name="Normal 10 3 3 6 6" xfId="18825"/>
    <cellStyle name="Normal 10 3 3 6 7" xfId="25792"/>
    <cellStyle name="Normal 10 3 3 6 8" xfId="32760"/>
    <cellStyle name="Normal 10 3 3 7" xfId="4868"/>
    <cellStyle name="Normal 10 3 3 7 2" xfId="9744"/>
    <cellStyle name="Normal 10 3 3 7 2 2" xfId="16744"/>
    <cellStyle name="Normal 10 3 3 7 2 3" xfId="23711"/>
    <cellStyle name="Normal 10 3 3 7 2 4" xfId="30678"/>
    <cellStyle name="Normal 10 3 3 7 2 5" xfId="37647"/>
    <cellStyle name="Normal 10 3 3 7 3" xfId="14424"/>
    <cellStyle name="Normal 10 3 3 7 3 2" xfId="21391"/>
    <cellStyle name="Normal 10 3 3 7 3 3" xfId="28358"/>
    <cellStyle name="Normal 10 3 3 7 3 4" xfId="35327"/>
    <cellStyle name="Normal 10 3 3 7 4" xfId="12102"/>
    <cellStyle name="Normal 10 3 3 7 5" xfId="19069"/>
    <cellStyle name="Normal 10 3 3 7 6" xfId="26036"/>
    <cellStyle name="Normal 10 3 3 7 7" xfId="33004"/>
    <cellStyle name="Normal 10 3 3 8" xfId="6756"/>
    <cellStyle name="Normal 10 3 3 8 2" xfId="10731"/>
    <cellStyle name="Normal 10 3 3 8 2 2" xfId="17706"/>
    <cellStyle name="Normal 10 3 3 8 2 3" xfId="24673"/>
    <cellStyle name="Normal 10 3 3 8 2 4" xfId="31640"/>
    <cellStyle name="Normal 10 3 3 8 2 5" xfId="38609"/>
    <cellStyle name="Normal 10 3 3 8 3" xfId="15386"/>
    <cellStyle name="Normal 10 3 3 8 3 2" xfId="22353"/>
    <cellStyle name="Normal 10 3 3 8 3 3" xfId="29320"/>
    <cellStyle name="Normal 10 3 3 8 3 4" xfId="36289"/>
    <cellStyle name="Normal 10 3 3 8 4" xfId="13064"/>
    <cellStyle name="Normal 10 3 3 8 5" xfId="20031"/>
    <cellStyle name="Normal 10 3 3 8 6" xfId="26998"/>
    <cellStyle name="Normal 10 3 3 8 7" xfId="33967"/>
    <cellStyle name="Normal 10 3 3 9" xfId="7075"/>
    <cellStyle name="Normal 10 3 3 9 2" xfId="15559"/>
    <cellStyle name="Normal 10 3 3 9 2 2" xfId="22526"/>
    <cellStyle name="Normal 10 3 3 9 2 3" xfId="29493"/>
    <cellStyle name="Normal 10 3 3 9 2 4" xfId="36462"/>
    <cellStyle name="Normal 10 3 3 9 3" xfId="13237"/>
    <cellStyle name="Normal 10 3 3 9 4" xfId="20204"/>
    <cellStyle name="Normal 10 3 3 9 5" xfId="27171"/>
    <cellStyle name="Normal 10 3 3 9 6" xfId="34140"/>
    <cellStyle name="Normal 10 3 4" xfId="1271"/>
    <cellStyle name="Normal 10 3 4 10" xfId="13412"/>
    <cellStyle name="Normal 10 3 4 10 2" xfId="20379"/>
    <cellStyle name="Normal 10 3 4 10 3" xfId="27346"/>
    <cellStyle name="Normal 10 3 4 10 4" xfId="34315"/>
    <cellStyle name="Normal 10 3 4 11" xfId="10917"/>
    <cellStyle name="Normal 10 3 4 12" xfId="17882"/>
    <cellStyle name="Normal 10 3 4 13" xfId="24851"/>
    <cellStyle name="Normal 10 3 4 14" xfId="31819"/>
    <cellStyle name="Normal 10 3 4 2" xfId="3215"/>
    <cellStyle name="Normal 10 3 4 2 2" xfId="4879"/>
    <cellStyle name="Normal 10 3 4 2 2 2" xfId="9755"/>
    <cellStyle name="Normal 10 3 4 2 2 2 2" xfId="16755"/>
    <cellStyle name="Normal 10 3 4 2 2 2 3" xfId="23722"/>
    <cellStyle name="Normal 10 3 4 2 2 2 4" xfId="30689"/>
    <cellStyle name="Normal 10 3 4 2 2 2 5" xfId="37658"/>
    <cellStyle name="Normal 10 3 4 2 2 3" xfId="14435"/>
    <cellStyle name="Normal 10 3 4 2 2 3 2" xfId="21402"/>
    <cellStyle name="Normal 10 3 4 2 2 3 3" xfId="28369"/>
    <cellStyle name="Normal 10 3 4 2 2 3 4" xfId="35338"/>
    <cellStyle name="Normal 10 3 4 2 2 4" xfId="12113"/>
    <cellStyle name="Normal 10 3 4 2 2 5" xfId="19080"/>
    <cellStyle name="Normal 10 3 4 2 2 6" xfId="26047"/>
    <cellStyle name="Normal 10 3 4 2 2 7" xfId="33015"/>
    <cellStyle name="Normal 10 3 4 2 3" xfId="8849"/>
    <cellStyle name="Normal 10 3 4 2 3 2" xfId="15905"/>
    <cellStyle name="Normal 10 3 4 2 3 3" xfId="22872"/>
    <cellStyle name="Normal 10 3 4 2 3 4" xfId="29839"/>
    <cellStyle name="Normal 10 3 4 2 3 5" xfId="36808"/>
    <cellStyle name="Normal 10 3 4 2 4" xfId="13583"/>
    <cellStyle name="Normal 10 3 4 2 4 2" xfId="20550"/>
    <cellStyle name="Normal 10 3 4 2 4 3" xfId="27517"/>
    <cellStyle name="Normal 10 3 4 2 4 4" xfId="34486"/>
    <cellStyle name="Normal 10 3 4 2 5" xfId="11261"/>
    <cellStyle name="Normal 10 3 4 2 6" xfId="18228"/>
    <cellStyle name="Normal 10 3 4 2 7" xfId="25195"/>
    <cellStyle name="Normal 10 3 4 2 8" xfId="32163"/>
    <cellStyle name="Normal 10 3 4 3" xfId="3421"/>
    <cellStyle name="Normal 10 3 4 3 2" xfId="4880"/>
    <cellStyle name="Normal 10 3 4 3 2 2" xfId="9756"/>
    <cellStyle name="Normal 10 3 4 3 2 2 2" xfId="16756"/>
    <cellStyle name="Normal 10 3 4 3 2 2 3" xfId="23723"/>
    <cellStyle name="Normal 10 3 4 3 2 2 4" xfId="30690"/>
    <cellStyle name="Normal 10 3 4 3 2 2 5" xfId="37659"/>
    <cellStyle name="Normal 10 3 4 3 2 3" xfId="14436"/>
    <cellStyle name="Normal 10 3 4 3 2 3 2" xfId="21403"/>
    <cellStyle name="Normal 10 3 4 3 2 3 3" xfId="28370"/>
    <cellStyle name="Normal 10 3 4 3 2 3 4" xfId="35339"/>
    <cellStyle name="Normal 10 3 4 3 2 4" xfId="12114"/>
    <cellStyle name="Normal 10 3 4 3 2 5" xfId="19081"/>
    <cellStyle name="Normal 10 3 4 3 2 6" xfId="26048"/>
    <cellStyle name="Normal 10 3 4 3 2 7" xfId="33016"/>
    <cellStyle name="Normal 10 3 4 3 3" xfId="9033"/>
    <cellStyle name="Normal 10 3 4 3 3 2" xfId="16072"/>
    <cellStyle name="Normal 10 3 4 3 3 3" xfId="23039"/>
    <cellStyle name="Normal 10 3 4 3 3 4" xfId="30006"/>
    <cellStyle name="Normal 10 3 4 3 3 5" xfId="36975"/>
    <cellStyle name="Normal 10 3 4 3 4" xfId="13752"/>
    <cellStyle name="Normal 10 3 4 3 4 2" xfId="20719"/>
    <cellStyle name="Normal 10 3 4 3 4 3" xfId="27686"/>
    <cellStyle name="Normal 10 3 4 3 4 4" xfId="34655"/>
    <cellStyle name="Normal 10 3 4 3 5" xfId="11430"/>
    <cellStyle name="Normal 10 3 4 3 6" xfId="18397"/>
    <cellStyle name="Normal 10 3 4 3 7" xfId="25364"/>
    <cellStyle name="Normal 10 3 4 3 8" xfId="32332"/>
    <cellStyle name="Normal 10 3 4 4" xfId="3596"/>
    <cellStyle name="Normal 10 3 4 4 2" xfId="4881"/>
    <cellStyle name="Normal 10 3 4 4 2 2" xfId="9757"/>
    <cellStyle name="Normal 10 3 4 4 2 2 2" xfId="16757"/>
    <cellStyle name="Normal 10 3 4 4 2 2 3" xfId="23724"/>
    <cellStyle name="Normal 10 3 4 4 2 2 4" xfId="30691"/>
    <cellStyle name="Normal 10 3 4 4 2 2 5" xfId="37660"/>
    <cellStyle name="Normal 10 3 4 4 2 3" xfId="14437"/>
    <cellStyle name="Normal 10 3 4 4 2 3 2" xfId="21404"/>
    <cellStyle name="Normal 10 3 4 4 2 3 3" xfId="28371"/>
    <cellStyle name="Normal 10 3 4 4 2 3 4" xfId="35340"/>
    <cellStyle name="Normal 10 3 4 4 2 4" xfId="12115"/>
    <cellStyle name="Normal 10 3 4 4 2 5" xfId="19082"/>
    <cellStyle name="Normal 10 3 4 4 2 6" xfId="26049"/>
    <cellStyle name="Normal 10 3 4 4 2 7" xfId="33017"/>
    <cellStyle name="Normal 10 3 4 4 3" xfId="9204"/>
    <cellStyle name="Normal 10 3 4 4 3 2" xfId="16243"/>
    <cellStyle name="Normal 10 3 4 4 3 3" xfId="23210"/>
    <cellStyle name="Normal 10 3 4 4 3 4" xfId="30177"/>
    <cellStyle name="Normal 10 3 4 4 3 5" xfId="37146"/>
    <cellStyle name="Normal 10 3 4 4 4" xfId="13923"/>
    <cellStyle name="Normal 10 3 4 4 4 2" xfId="20890"/>
    <cellStyle name="Normal 10 3 4 4 4 3" xfId="27857"/>
    <cellStyle name="Normal 10 3 4 4 4 4" xfId="34826"/>
    <cellStyle name="Normal 10 3 4 4 5" xfId="11601"/>
    <cellStyle name="Normal 10 3 4 4 6" xfId="18568"/>
    <cellStyle name="Normal 10 3 4 4 7" xfId="25535"/>
    <cellStyle name="Normal 10 3 4 4 8" xfId="32503"/>
    <cellStyle name="Normal 10 3 4 5" xfId="3859"/>
    <cellStyle name="Normal 10 3 4 5 2" xfId="4882"/>
    <cellStyle name="Normal 10 3 4 5 2 2" xfId="9758"/>
    <cellStyle name="Normal 10 3 4 5 2 2 2" xfId="16758"/>
    <cellStyle name="Normal 10 3 4 5 2 2 3" xfId="23725"/>
    <cellStyle name="Normal 10 3 4 5 2 2 4" xfId="30692"/>
    <cellStyle name="Normal 10 3 4 5 2 2 5" xfId="37661"/>
    <cellStyle name="Normal 10 3 4 5 2 3" xfId="14438"/>
    <cellStyle name="Normal 10 3 4 5 2 3 2" xfId="21405"/>
    <cellStyle name="Normal 10 3 4 5 2 3 3" xfId="28372"/>
    <cellStyle name="Normal 10 3 4 5 2 3 4" xfId="35341"/>
    <cellStyle name="Normal 10 3 4 5 2 4" xfId="12116"/>
    <cellStyle name="Normal 10 3 4 5 2 5" xfId="19083"/>
    <cellStyle name="Normal 10 3 4 5 2 6" xfId="26050"/>
    <cellStyle name="Normal 10 3 4 5 2 7" xfId="33018"/>
    <cellStyle name="Normal 10 3 4 5 3" xfId="9465"/>
    <cellStyle name="Normal 10 3 4 5 3 2" xfId="16502"/>
    <cellStyle name="Normal 10 3 4 5 3 3" xfId="23469"/>
    <cellStyle name="Normal 10 3 4 5 3 4" xfId="30436"/>
    <cellStyle name="Normal 10 3 4 5 3 5" xfId="37405"/>
    <cellStyle name="Normal 10 3 4 5 4" xfId="14182"/>
    <cellStyle name="Normal 10 3 4 5 4 2" xfId="21149"/>
    <cellStyle name="Normal 10 3 4 5 4 3" xfId="28116"/>
    <cellStyle name="Normal 10 3 4 5 4 4" xfId="35085"/>
    <cellStyle name="Normal 10 3 4 5 5" xfId="11860"/>
    <cellStyle name="Normal 10 3 4 5 6" xfId="18827"/>
    <cellStyle name="Normal 10 3 4 5 7" xfId="25794"/>
    <cellStyle name="Normal 10 3 4 5 8" xfId="32762"/>
    <cellStyle name="Normal 10 3 4 6" xfId="4878"/>
    <cellStyle name="Normal 10 3 4 6 2" xfId="9754"/>
    <cellStyle name="Normal 10 3 4 6 2 2" xfId="16754"/>
    <cellStyle name="Normal 10 3 4 6 2 3" xfId="23721"/>
    <cellStyle name="Normal 10 3 4 6 2 4" xfId="30688"/>
    <cellStyle name="Normal 10 3 4 6 2 5" xfId="37657"/>
    <cellStyle name="Normal 10 3 4 6 3" xfId="14434"/>
    <cellStyle name="Normal 10 3 4 6 3 2" xfId="21401"/>
    <cellStyle name="Normal 10 3 4 6 3 3" xfId="28368"/>
    <cellStyle name="Normal 10 3 4 6 3 4" xfId="35337"/>
    <cellStyle name="Normal 10 3 4 6 4" xfId="12112"/>
    <cellStyle name="Normal 10 3 4 6 5" xfId="19079"/>
    <cellStyle name="Normal 10 3 4 6 6" xfId="26046"/>
    <cellStyle name="Normal 10 3 4 6 7" xfId="33014"/>
    <cellStyle name="Normal 10 3 4 7" xfId="6758"/>
    <cellStyle name="Normal 10 3 4 7 2" xfId="10733"/>
    <cellStyle name="Normal 10 3 4 7 2 2" xfId="17708"/>
    <cellStyle name="Normal 10 3 4 7 2 3" xfId="24675"/>
    <cellStyle name="Normal 10 3 4 7 2 4" xfId="31642"/>
    <cellStyle name="Normal 10 3 4 7 2 5" xfId="38611"/>
    <cellStyle name="Normal 10 3 4 7 3" xfId="15388"/>
    <cellStyle name="Normal 10 3 4 7 3 2" xfId="22355"/>
    <cellStyle name="Normal 10 3 4 7 3 3" xfId="29322"/>
    <cellStyle name="Normal 10 3 4 7 3 4" xfId="36291"/>
    <cellStyle name="Normal 10 3 4 7 4" xfId="13066"/>
    <cellStyle name="Normal 10 3 4 7 5" xfId="20033"/>
    <cellStyle name="Normal 10 3 4 7 6" xfId="27000"/>
    <cellStyle name="Normal 10 3 4 7 7" xfId="33969"/>
    <cellStyle name="Normal 10 3 4 8" xfId="7077"/>
    <cellStyle name="Normal 10 3 4 8 2" xfId="15561"/>
    <cellStyle name="Normal 10 3 4 8 2 2" xfId="22528"/>
    <cellStyle name="Normal 10 3 4 8 2 3" xfId="29495"/>
    <cellStyle name="Normal 10 3 4 8 2 4" xfId="36464"/>
    <cellStyle name="Normal 10 3 4 8 3" xfId="13239"/>
    <cellStyle name="Normal 10 3 4 8 4" xfId="20206"/>
    <cellStyle name="Normal 10 3 4 8 5" xfId="27173"/>
    <cellStyle name="Normal 10 3 4 8 6" xfId="34142"/>
    <cellStyle name="Normal 10 3 4 9" xfId="7934"/>
    <cellStyle name="Normal 10 3 4 9 2" xfId="15734"/>
    <cellStyle name="Normal 10 3 4 9 2 2" xfId="22701"/>
    <cellStyle name="Normal 10 3 4 9 2 3" xfId="29668"/>
    <cellStyle name="Normal 10 3 4 9 2 4" xfId="36637"/>
    <cellStyle name="Normal 10 3 4 9 3" xfId="11090"/>
    <cellStyle name="Normal 10 3 4 9 4" xfId="18057"/>
    <cellStyle name="Normal 10 3 4 9 5" xfId="25024"/>
    <cellStyle name="Normal 10 3 4 9 6" xfId="31992"/>
    <cellStyle name="Normal 10 3 5" xfId="6755"/>
    <cellStyle name="Normal 10 3 5 2" xfId="10730"/>
    <cellStyle name="Normal 10 3 5 2 2" xfId="17705"/>
    <cellStyle name="Normal 10 3 5 2 3" xfId="24672"/>
    <cellStyle name="Normal 10 3 5 2 4" xfId="31639"/>
    <cellStyle name="Normal 10 3 5 2 5" xfId="38608"/>
    <cellStyle name="Normal 10 3 5 3" xfId="15385"/>
    <cellStyle name="Normal 10 3 5 3 2" xfId="22352"/>
    <cellStyle name="Normal 10 3 5 3 3" xfId="29319"/>
    <cellStyle name="Normal 10 3 5 3 4" xfId="36288"/>
    <cellStyle name="Normal 10 3 5 4" xfId="13063"/>
    <cellStyle name="Normal 10 3 5 5" xfId="20030"/>
    <cellStyle name="Normal 10 3 5 6" xfId="26997"/>
    <cellStyle name="Normal 10 3 5 7" xfId="33966"/>
    <cellStyle name="Normal 10 3 6" xfId="7074"/>
    <cellStyle name="Normal 10 3 6 2" xfId="15558"/>
    <cellStyle name="Normal 10 3 6 2 2" xfId="22525"/>
    <cellStyle name="Normal 10 3 6 2 3" xfId="29492"/>
    <cellStyle name="Normal 10 3 6 2 4" xfId="36461"/>
    <cellStyle name="Normal 10 3 6 3" xfId="13236"/>
    <cellStyle name="Normal 10 3 6 4" xfId="20203"/>
    <cellStyle name="Normal 10 3 6 5" xfId="27170"/>
    <cellStyle name="Normal 10 3 6 6" xfId="34139"/>
    <cellStyle name="Normal 10 3 7" xfId="7931"/>
    <cellStyle name="Normal 10 3 7 2" xfId="15731"/>
    <cellStyle name="Normal 10 3 7 2 2" xfId="22698"/>
    <cellStyle name="Normal 10 3 7 2 3" xfId="29665"/>
    <cellStyle name="Normal 10 3 7 2 4" xfId="36634"/>
    <cellStyle name="Normal 10 3 7 3" xfId="11087"/>
    <cellStyle name="Normal 10 3 7 4" xfId="18054"/>
    <cellStyle name="Normal 10 3 7 5" xfId="25021"/>
    <cellStyle name="Normal 10 3 7 6" xfId="31989"/>
    <cellStyle name="Normal 10 3 8" xfId="13409"/>
    <cellStyle name="Normal 10 3 8 2" xfId="20376"/>
    <cellStyle name="Normal 10 3 8 3" xfId="27343"/>
    <cellStyle name="Normal 10 3 8 4" xfId="34312"/>
    <cellStyle name="Normal 10 3 9" xfId="10914"/>
    <cellStyle name="Normal 10 4" xfId="3209"/>
    <cellStyle name="Normal 10 4 10" xfId="31820"/>
    <cellStyle name="Normal 10 4 2" xfId="4883"/>
    <cellStyle name="Normal 10 4 2 2" xfId="9759"/>
    <cellStyle name="Normal 10 4 2 2 2" xfId="16759"/>
    <cellStyle name="Normal 10 4 2 2 3" xfId="23726"/>
    <cellStyle name="Normal 10 4 2 2 4" xfId="30693"/>
    <cellStyle name="Normal 10 4 2 2 5" xfId="37662"/>
    <cellStyle name="Normal 10 4 2 3" xfId="14439"/>
    <cellStyle name="Normal 10 4 2 3 2" xfId="21406"/>
    <cellStyle name="Normal 10 4 2 3 3" xfId="28373"/>
    <cellStyle name="Normal 10 4 2 3 4" xfId="35342"/>
    <cellStyle name="Normal 10 4 2 4" xfId="12117"/>
    <cellStyle name="Normal 10 4 2 5" xfId="19084"/>
    <cellStyle name="Normal 10 4 2 6" xfId="26051"/>
    <cellStyle name="Normal 10 4 2 7" xfId="33019"/>
    <cellStyle name="Normal 10 4 3" xfId="6759"/>
    <cellStyle name="Normal 10 4 3 2" xfId="10734"/>
    <cellStyle name="Normal 10 4 3 2 2" xfId="17709"/>
    <cellStyle name="Normal 10 4 3 2 3" xfId="24676"/>
    <cellStyle name="Normal 10 4 3 2 4" xfId="31643"/>
    <cellStyle name="Normal 10 4 3 2 5" xfId="38612"/>
    <cellStyle name="Normal 10 4 3 3" xfId="15389"/>
    <cellStyle name="Normal 10 4 3 3 2" xfId="22356"/>
    <cellStyle name="Normal 10 4 3 3 3" xfId="29323"/>
    <cellStyle name="Normal 10 4 3 3 4" xfId="36292"/>
    <cellStyle name="Normal 10 4 3 4" xfId="13067"/>
    <cellStyle name="Normal 10 4 3 5" xfId="20034"/>
    <cellStyle name="Normal 10 4 3 6" xfId="27001"/>
    <cellStyle name="Normal 10 4 3 7" xfId="33970"/>
    <cellStyle name="Normal 10 4 4" xfId="7078"/>
    <cellStyle name="Normal 10 4 4 2" xfId="15562"/>
    <cellStyle name="Normal 10 4 4 2 2" xfId="22529"/>
    <cellStyle name="Normal 10 4 4 2 3" xfId="29496"/>
    <cellStyle name="Normal 10 4 4 2 4" xfId="36465"/>
    <cellStyle name="Normal 10 4 4 3" xfId="13240"/>
    <cellStyle name="Normal 10 4 4 4" xfId="20207"/>
    <cellStyle name="Normal 10 4 4 5" xfId="27174"/>
    <cellStyle name="Normal 10 4 4 6" xfId="34143"/>
    <cellStyle name="Normal 10 4 5" xfId="8843"/>
    <cellStyle name="Normal 10 4 5 2" xfId="15899"/>
    <cellStyle name="Normal 10 4 5 2 2" xfId="22866"/>
    <cellStyle name="Normal 10 4 5 2 3" xfId="29833"/>
    <cellStyle name="Normal 10 4 5 2 4" xfId="36802"/>
    <cellStyle name="Normal 10 4 5 3" xfId="11255"/>
    <cellStyle name="Normal 10 4 5 4" xfId="18222"/>
    <cellStyle name="Normal 10 4 5 5" xfId="25189"/>
    <cellStyle name="Normal 10 4 5 6" xfId="32157"/>
    <cellStyle name="Normal 10 4 6" xfId="13577"/>
    <cellStyle name="Normal 10 4 6 2" xfId="20544"/>
    <cellStyle name="Normal 10 4 6 3" xfId="27511"/>
    <cellStyle name="Normal 10 4 6 4" xfId="34480"/>
    <cellStyle name="Normal 10 4 7" xfId="10918"/>
    <cellStyle name="Normal 10 4 8" xfId="17883"/>
    <cellStyle name="Normal 10 4 9" xfId="24852"/>
    <cellStyle name="Normal 10 5" xfId="3415"/>
    <cellStyle name="Normal 10 5 2" xfId="4884"/>
    <cellStyle name="Normal 10 5 2 2" xfId="9760"/>
    <cellStyle name="Normal 10 5 2 2 2" xfId="16760"/>
    <cellStyle name="Normal 10 5 2 2 3" xfId="23727"/>
    <cellStyle name="Normal 10 5 2 2 4" xfId="30694"/>
    <cellStyle name="Normal 10 5 2 2 5" xfId="37663"/>
    <cellStyle name="Normal 10 5 2 3" xfId="14440"/>
    <cellStyle name="Normal 10 5 2 3 2" xfId="21407"/>
    <cellStyle name="Normal 10 5 2 3 3" xfId="28374"/>
    <cellStyle name="Normal 10 5 2 3 4" xfId="35343"/>
    <cellStyle name="Normal 10 5 2 4" xfId="12118"/>
    <cellStyle name="Normal 10 5 2 5" xfId="19085"/>
    <cellStyle name="Normal 10 5 2 6" xfId="26052"/>
    <cellStyle name="Normal 10 5 2 7" xfId="33020"/>
    <cellStyle name="Normal 10 5 3" xfId="9027"/>
    <cellStyle name="Normal 10 5 3 2" xfId="16066"/>
    <cellStyle name="Normal 10 5 3 3" xfId="23033"/>
    <cellStyle name="Normal 10 5 3 4" xfId="30000"/>
    <cellStyle name="Normal 10 5 3 5" xfId="36969"/>
    <cellStyle name="Normal 10 5 4" xfId="13746"/>
    <cellStyle name="Normal 10 5 4 2" xfId="20713"/>
    <cellStyle name="Normal 10 5 4 3" xfId="27680"/>
    <cellStyle name="Normal 10 5 4 4" xfId="34649"/>
    <cellStyle name="Normal 10 5 5" xfId="11424"/>
    <cellStyle name="Normal 10 5 6" xfId="18391"/>
    <cellStyle name="Normal 10 5 7" xfId="25358"/>
    <cellStyle name="Normal 10 5 8" xfId="32326"/>
    <cellStyle name="Normal 10 6" xfId="3590"/>
    <cellStyle name="Normal 10 6 2" xfId="4885"/>
    <cellStyle name="Normal 10 6 2 2" xfId="9761"/>
    <cellStyle name="Normal 10 6 2 2 2" xfId="16761"/>
    <cellStyle name="Normal 10 6 2 2 3" xfId="23728"/>
    <cellStyle name="Normal 10 6 2 2 4" xfId="30695"/>
    <cellStyle name="Normal 10 6 2 2 5" xfId="37664"/>
    <cellStyle name="Normal 10 6 2 3" xfId="14441"/>
    <cellStyle name="Normal 10 6 2 3 2" xfId="21408"/>
    <cellStyle name="Normal 10 6 2 3 3" xfId="28375"/>
    <cellStyle name="Normal 10 6 2 3 4" xfId="35344"/>
    <cellStyle name="Normal 10 6 2 4" xfId="12119"/>
    <cellStyle name="Normal 10 6 2 5" xfId="19086"/>
    <cellStyle name="Normal 10 6 2 6" xfId="26053"/>
    <cellStyle name="Normal 10 6 2 7" xfId="33021"/>
    <cellStyle name="Normal 10 6 3" xfId="9198"/>
    <cellStyle name="Normal 10 6 3 2" xfId="16237"/>
    <cellStyle name="Normal 10 6 3 3" xfId="23204"/>
    <cellStyle name="Normal 10 6 3 4" xfId="30171"/>
    <cellStyle name="Normal 10 6 3 5" xfId="37140"/>
    <cellStyle name="Normal 10 6 4" xfId="13917"/>
    <cellStyle name="Normal 10 6 4 2" xfId="20884"/>
    <cellStyle name="Normal 10 6 4 3" xfId="27851"/>
    <cellStyle name="Normal 10 6 4 4" xfId="34820"/>
    <cellStyle name="Normal 10 6 5" xfId="11595"/>
    <cellStyle name="Normal 10 6 6" xfId="18562"/>
    <cellStyle name="Normal 10 6 7" xfId="25529"/>
    <cellStyle name="Normal 10 6 8" xfId="32497"/>
    <cellStyle name="Normal 10 7" xfId="3853"/>
    <cellStyle name="Normal 10 7 2" xfId="4886"/>
    <cellStyle name="Normal 10 7 2 2" xfId="9762"/>
    <cellStyle name="Normal 10 7 2 2 2" xfId="16762"/>
    <cellStyle name="Normal 10 7 2 2 3" xfId="23729"/>
    <cellStyle name="Normal 10 7 2 2 4" xfId="30696"/>
    <cellStyle name="Normal 10 7 2 2 5" xfId="37665"/>
    <cellStyle name="Normal 10 7 2 3" xfId="14442"/>
    <cellStyle name="Normal 10 7 2 3 2" xfId="21409"/>
    <cellStyle name="Normal 10 7 2 3 3" xfId="28376"/>
    <cellStyle name="Normal 10 7 2 3 4" xfId="35345"/>
    <cellStyle name="Normal 10 7 2 4" xfId="12120"/>
    <cellStyle name="Normal 10 7 2 5" xfId="19087"/>
    <cellStyle name="Normal 10 7 2 6" xfId="26054"/>
    <cellStyle name="Normal 10 7 2 7" xfId="33022"/>
    <cellStyle name="Normal 10 7 3" xfId="9459"/>
    <cellStyle name="Normal 10 7 3 2" xfId="16496"/>
    <cellStyle name="Normal 10 7 3 3" xfId="23463"/>
    <cellStyle name="Normal 10 7 3 4" xfId="30430"/>
    <cellStyle name="Normal 10 7 3 5" xfId="37399"/>
    <cellStyle name="Normal 10 7 4" xfId="14176"/>
    <cellStyle name="Normal 10 7 4 2" xfId="21143"/>
    <cellStyle name="Normal 10 7 4 3" xfId="28110"/>
    <cellStyle name="Normal 10 7 4 4" xfId="35079"/>
    <cellStyle name="Normal 10 7 5" xfId="11854"/>
    <cellStyle name="Normal 10 7 6" xfId="18821"/>
    <cellStyle name="Normal 10 7 7" xfId="25788"/>
    <cellStyle name="Normal 10 7 8" xfId="32756"/>
    <cellStyle name="Normal 10 8" xfId="4852"/>
    <cellStyle name="Normal 10 8 2" xfId="9728"/>
    <cellStyle name="Normal 10 8 2 2" xfId="16728"/>
    <cellStyle name="Normal 10 8 2 3" xfId="23695"/>
    <cellStyle name="Normal 10 8 2 4" xfId="30662"/>
    <cellStyle name="Normal 10 8 2 5" xfId="37631"/>
    <cellStyle name="Normal 10 8 3" xfId="14408"/>
    <cellStyle name="Normal 10 8 3 2" xfId="21375"/>
    <cellStyle name="Normal 10 8 3 3" xfId="28342"/>
    <cellStyle name="Normal 10 8 3 4" xfId="35311"/>
    <cellStyle name="Normal 10 8 4" xfId="12086"/>
    <cellStyle name="Normal 10 8 5" xfId="19053"/>
    <cellStyle name="Normal 10 8 6" xfId="26020"/>
    <cellStyle name="Normal 10 8 7" xfId="32988"/>
    <cellStyle name="Normal 10_Sheet1" xfId="1272"/>
    <cellStyle name="Normal 100" xfId="1273"/>
    <cellStyle name="Normal 100 2" xfId="1274"/>
    <cellStyle name="Normal 100 3" xfId="1275"/>
    <cellStyle name="Normal 101" xfId="1276"/>
    <cellStyle name="Normal 101 2" xfId="1277"/>
    <cellStyle name="Normal 101 3" xfId="1278"/>
    <cellStyle name="Normal 102" xfId="1279"/>
    <cellStyle name="Normal 102 2" xfId="1280"/>
    <cellStyle name="Normal 102 3" xfId="1281"/>
    <cellStyle name="Normal 103" xfId="1282"/>
    <cellStyle name="Normal 103 2" xfId="1283"/>
    <cellStyle name="Normal 103 3" xfId="1284"/>
    <cellStyle name="Normal 104" xfId="1285"/>
    <cellStyle name="Normal 104 2" xfId="1286"/>
    <cellStyle name="Normal 104 3" xfId="1287"/>
    <cellStyle name="Normal 105" xfId="1288"/>
    <cellStyle name="Normal 105 2" xfId="1289"/>
    <cellStyle name="Normal 105 3" xfId="1290"/>
    <cellStyle name="Normal 106" xfId="1291"/>
    <cellStyle name="Normal 106 2" xfId="1292"/>
    <cellStyle name="Normal 106 3" xfId="1293"/>
    <cellStyle name="Normal 107" xfId="1294"/>
    <cellStyle name="Normal 107 2" xfId="1295"/>
    <cellStyle name="Normal 107 3" xfId="1296"/>
    <cellStyle name="Normal 108" xfId="1297"/>
    <cellStyle name="Normal 108 2" xfId="1298"/>
    <cellStyle name="Normal 108 3" xfId="1299"/>
    <cellStyle name="Normal 109" xfId="1300"/>
    <cellStyle name="Normal 109 2" xfId="1301"/>
    <cellStyle name="Normal 109 3" xfId="1302"/>
    <cellStyle name="Normal 11" xfId="1303"/>
    <cellStyle name="Normal 11 2" xfId="1304"/>
    <cellStyle name="Normal 11 2 2" xfId="1305"/>
    <cellStyle name="Normal 11 2 2 2" xfId="4888"/>
    <cellStyle name="Normal 11 2 2 3" xfId="7937"/>
    <cellStyle name="Normal 11 2 3" xfId="4103"/>
    <cellStyle name="Normal 11 2 4" xfId="7936"/>
    <cellStyle name="Normal 11 3" xfId="1306"/>
    <cellStyle name="Normal 11 3 2" xfId="4889"/>
    <cellStyle name="Normal 11 3 2 2" xfId="6760"/>
    <cellStyle name="Normal 11 3 2 3" xfId="9764"/>
    <cellStyle name="Normal 11 3 3" xfId="7938"/>
    <cellStyle name="Normal 11 4" xfId="4887"/>
    <cellStyle name="Normal 11 4 2" xfId="6761"/>
    <cellStyle name="Normal 11 4 3" xfId="9763"/>
    <cellStyle name="Normal 11 5" xfId="7935"/>
    <cellStyle name="Normal 110" xfId="1307"/>
    <cellStyle name="Normal 110 2" xfId="1308"/>
    <cellStyle name="Normal 110 3" xfId="1309"/>
    <cellStyle name="Normal 111" xfId="1310"/>
    <cellStyle name="Normal 111 2" xfId="1311"/>
    <cellStyle name="Normal 111 3" xfId="1312"/>
    <cellStyle name="Normal 112" xfId="1313"/>
    <cellStyle name="Normal 112 2" xfId="1314"/>
    <cellStyle name="Normal 112 3" xfId="1315"/>
    <cellStyle name="Normal 113" xfId="1316"/>
    <cellStyle name="Normal 113 2" xfId="1317"/>
    <cellStyle name="Normal 113 3" xfId="1318"/>
    <cellStyle name="Normal 114" xfId="1319"/>
    <cellStyle name="Normal 114 2" xfId="1320"/>
    <cellStyle name="Normal 114 3" xfId="1321"/>
    <cellStyle name="Normal 115" xfId="1322"/>
    <cellStyle name="Normal 115 2" xfId="1323"/>
    <cellStyle name="Normal 115 3" xfId="1324"/>
    <cellStyle name="Normal 116" xfId="1325"/>
    <cellStyle name="Normal 116 2" xfId="1326"/>
    <cellStyle name="Normal 116 3" xfId="1327"/>
    <cellStyle name="Normal 117" xfId="1328"/>
    <cellStyle name="Normal 117 2" xfId="1329"/>
    <cellStyle name="Normal 117 3" xfId="1330"/>
    <cellStyle name="Normal 118" xfId="1331"/>
    <cellStyle name="Normal 118 2" xfId="1332"/>
    <cellStyle name="Normal 118 3" xfId="1333"/>
    <cellStyle name="Normal 119" xfId="1334"/>
    <cellStyle name="Normal 119 2" xfId="1335"/>
    <cellStyle name="Normal 119 3" xfId="1336"/>
    <cellStyle name="Normal 12" xfId="1337"/>
    <cellStyle name="Normal 12 10" xfId="7079"/>
    <cellStyle name="Normal 12 10 2" xfId="15563"/>
    <cellStyle name="Normal 12 10 2 2" xfId="22530"/>
    <cellStyle name="Normal 12 10 2 3" xfId="29497"/>
    <cellStyle name="Normal 12 10 2 4" xfId="36466"/>
    <cellStyle name="Normal 12 10 3" xfId="13241"/>
    <cellStyle name="Normal 12 10 4" xfId="20208"/>
    <cellStyle name="Normal 12 10 5" xfId="27175"/>
    <cellStyle name="Normal 12 10 6" xfId="34144"/>
    <cellStyle name="Normal 12 11" xfId="7939"/>
    <cellStyle name="Normal 12 11 2" xfId="15735"/>
    <cellStyle name="Normal 12 11 2 2" xfId="22702"/>
    <cellStyle name="Normal 12 11 2 3" xfId="29669"/>
    <cellStyle name="Normal 12 11 2 4" xfId="36638"/>
    <cellStyle name="Normal 12 11 3" xfId="11091"/>
    <cellStyle name="Normal 12 11 4" xfId="18058"/>
    <cellStyle name="Normal 12 11 5" xfId="25025"/>
    <cellStyle name="Normal 12 11 6" xfId="31993"/>
    <cellStyle name="Normal 12 12" xfId="13413"/>
    <cellStyle name="Normal 12 12 2" xfId="20380"/>
    <cellStyle name="Normal 12 12 3" xfId="27347"/>
    <cellStyle name="Normal 12 12 4" xfId="34316"/>
    <cellStyle name="Normal 12 13" xfId="10919"/>
    <cellStyle name="Normal 12 14" xfId="17885"/>
    <cellStyle name="Normal 12 15" xfId="24853"/>
    <cellStyle name="Normal 12 16" xfId="31821"/>
    <cellStyle name="Normal 12 2" xfId="1338"/>
    <cellStyle name="Normal 12 2 10" xfId="7940"/>
    <cellStyle name="Normal 12 2 10 2" xfId="15736"/>
    <cellStyle name="Normal 12 2 10 2 2" xfId="22703"/>
    <cellStyle name="Normal 12 2 10 2 3" xfId="29670"/>
    <cellStyle name="Normal 12 2 10 2 4" xfId="36639"/>
    <cellStyle name="Normal 12 2 10 3" xfId="11092"/>
    <cellStyle name="Normal 12 2 10 4" xfId="18059"/>
    <cellStyle name="Normal 12 2 10 5" xfId="25026"/>
    <cellStyle name="Normal 12 2 10 6" xfId="31994"/>
    <cellStyle name="Normal 12 2 11" xfId="13414"/>
    <cellStyle name="Normal 12 2 11 2" xfId="20381"/>
    <cellStyle name="Normal 12 2 11 3" xfId="27348"/>
    <cellStyle name="Normal 12 2 11 4" xfId="34317"/>
    <cellStyle name="Normal 12 2 12" xfId="10920"/>
    <cellStyle name="Normal 12 2 13" xfId="17886"/>
    <cellStyle name="Normal 12 2 14" xfId="24854"/>
    <cellStyle name="Normal 12 2 15" xfId="31822"/>
    <cellStyle name="Normal 12 2 2" xfId="1339"/>
    <cellStyle name="Normal 12 2 2 10" xfId="13415"/>
    <cellStyle name="Normal 12 2 2 10 2" xfId="20382"/>
    <cellStyle name="Normal 12 2 2 10 3" xfId="27349"/>
    <cellStyle name="Normal 12 2 2 10 4" xfId="34318"/>
    <cellStyle name="Normal 12 2 2 11" xfId="10921"/>
    <cellStyle name="Normal 12 2 2 12" xfId="17887"/>
    <cellStyle name="Normal 12 2 2 13" xfId="24855"/>
    <cellStyle name="Normal 12 2 2 14" xfId="31823"/>
    <cellStyle name="Normal 12 2 2 2" xfId="3218"/>
    <cellStyle name="Normal 12 2 2 2 2" xfId="4893"/>
    <cellStyle name="Normal 12 2 2 2 2 2" xfId="9768"/>
    <cellStyle name="Normal 12 2 2 2 2 2 2" xfId="16766"/>
    <cellStyle name="Normal 12 2 2 2 2 2 3" xfId="23733"/>
    <cellStyle name="Normal 12 2 2 2 2 2 4" xfId="30700"/>
    <cellStyle name="Normal 12 2 2 2 2 2 5" xfId="37669"/>
    <cellStyle name="Normal 12 2 2 2 2 3" xfId="14446"/>
    <cellStyle name="Normal 12 2 2 2 2 3 2" xfId="21413"/>
    <cellStyle name="Normal 12 2 2 2 2 3 3" xfId="28380"/>
    <cellStyle name="Normal 12 2 2 2 2 3 4" xfId="35349"/>
    <cellStyle name="Normal 12 2 2 2 2 4" xfId="12124"/>
    <cellStyle name="Normal 12 2 2 2 2 5" xfId="19091"/>
    <cellStyle name="Normal 12 2 2 2 2 6" xfId="26058"/>
    <cellStyle name="Normal 12 2 2 2 2 7" xfId="33026"/>
    <cellStyle name="Normal 12 2 2 2 3" xfId="8852"/>
    <cellStyle name="Normal 12 2 2 2 3 2" xfId="15908"/>
    <cellStyle name="Normal 12 2 2 2 3 3" xfId="22875"/>
    <cellStyle name="Normal 12 2 2 2 3 4" xfId="29842"/>
    <cellStyle name="Normal 12 2 2 2 3 5" xfId="36811"/>
    <cellStyle name="Normal 12 2 2 2 4" xfId="13586"/>
    <cellStyle name="Normal 12 2 2 2 4 2" xfId="20553"/>
    <cellStyle name="Normal 12 2 2 2 4 3" xfId="27520"/>
    <cellStyle name="Normal 12 2 2 2 4 4" xfId="34489"/>
    <cellStyle name="Normal 12 2 2 2 5" xfId="11264"/>
    <cellStyle name="Normal 12 2 2 2 6" xfId="18231"/>
    <cellStyle name="Normal 12 2 2 2 7" xfId="25198"/>
    <cellStyle name="Normal 12 2 2 2 8" xfId="32166"/>
    <cellStyle name="Normal 12 2 2 3" xfId="3424"/>
    <cellStyle name="Normal 12 2 2 3 2" xfId="4894"/>
    <cellStyle name="Normal 12 2 2 3 2 2" xfId="9769"/>
    <cellStyle name="Normal 12 2 2 3 2 2 2" xfId="16767"/>
    <cellStyle name="Normal 12 2 2 3 2 2 3" xfId="23734"/>
    <cellStyle name="Normal 12 2 2 3 2 2 4" xfId="30701"/>
    <cellStyle name="Normal 12 2 2 3 2 2 5" xfId="37670"/>
    <cellStyle name="Normal 12 2 2 3 2 3" xfId="14447"/>
    <cellStyle name="Normal 12 2 2 3 2 3 2" xfId="21414"/>
    <cellStyle name="Normal 12 2 2 3 2 3 3" xfId="28381"/>
    <cellStyle name="Normal 12 2 2 3 2 3 4" xfId="35350"/>
    <cellStyle name="Normal 12 2 2 3 2 4" xfId="12125"/>
    <cellStyle name="Normal 12 2 2 3 2 5" xfId="19092"/>
    <cellStyle name="Normal 12 2 2 3 2 6" xfId="26059"/>
    <cellStyle name="Normal 12 2 2 3 2 7" xfId="33027"/>
    <cellStyle name="Normal 12 2 2 3 3" xfId="9036"/>
    <cellStyle name="Normal 12 2 2 3 3 2" xfId="16075"/>
    <cellStyle name="Normal 12 2 2 3 3 3" xfId="23042"/>
    <cellStyle name="Normal 12 2 2 3 3 4" xfId="30009"/>
    <cellStyle name="Normal 12 2 2 3 3 5" xfId="36978"/>
    <cellStyle name="Normal 12 2 2 3 4" xfId="13755"/>
    <cellStyle name="Normal 12 2 2 3 4 2" xfId="20722"/>
    <cellStyle name="Normal 12 2 2 3 4 3" xfId="27689"/>
    <cellStyle name="Normal 12 2 2 3 4 4" xfId="34658"/>
    <cellStyle name="Normal 12 2 2 3 5" xfId="11433"/>
    <cellStyle name="Normal 12 2 2 3 6" xfId="18400"/>
    <cellStyle name="Normal 12 2 2 3 7" xfId="25367"/>
    <cellStyle name="Normal 12 2 2 3 8" xfId="32335"/>
    <cellStyle name="Normal 12 2 2 4" xfId="3599"/>
    <cellStyle name="Normal 12 2 2 4 2" xfId="4895"/>
    <cellStyle name="Normal 12 2 2 4 2 2" xfId="9770"/>
    <cellStyle name="Normal 12 2 2 4 2 2 2" xfId="16768"/>
    <cellStyle name="Normal 12 2 2 4 2 2 3" xfId="23735"/>
    <cellStyle name="Normal 12 2 2 4 2 2 4" xfId="30702"/>
    <cellStyle name="Normal 12 2 2 4 2 2 5" xfId="37671"/>
    <cellStyle name="Normal 12 2 2 4 2 3" xfId="14448"/>
    <cellStyle name="Normal 12 2 2 4 2 3 2" xfId="21415"/>
    <cellStyle name="Normal 12 2 2 4 2 3 3" xfId="28382"/>
    <cellStyle name="Normal 12 2 2 4 2 3 4" xfId="35351"/>
    <cellStyle name="Normal 12 2 2 4 2 4" xfId="12126"/>
    <cellStyle name="Normal 12 2 2 4 2 5" xfId="19093"/>
    <cellStyle name="Normal 12 2 2 4 2 6" xfId="26060"/>
    <cellStyle name="Normal 12 2 2 4 2 7" xfId="33028"/>
    <cellStyle name="Normal 12 2 2 4 3" xfId="9207"/>
    <cellStyle name="Normal 12 2 2 4 3 2" xfId="16246"/>
    <cellStyle name="Normal 12 2 2 4 3 3" xfId="23213"/>
    <cellStyle name="Normal 12 2 2 4 3 4" xfId="30180"/>
    <cellStyle name="Normal 12 2 2 4 3 5" xfId="37149"/>
    <cellStyle name="Normal 12 2 2 4 4" xfId="13926"/>
    <cellStyle name="Normal 12 2 2 4 4 2" xfId="20893"/>
    <cellStyle name="Normal 12 2 2 4 4 3" xfId="27860"/>
    <cellStyle name="Normal 12 2 2 4 4 4" xfId="34829"/>
    <cellStyle name="Normal 12 2 2 4 5" xfId="11604"/>
    <cellStyle name="Normal 12 2 2 4 6" xfId="18571"/>
    <cellStyle name="Normal 12 2 2 4 7" xfId="25538"/>
    <cellStyle name="Normal 12 2 2 4 8" xfId="32506"/>
    <cellStyle name="Normal 12 2 2 5" xfId="3874"/>
    <cellStyle name="Normal 12 2 2 5 2" xfId="4896"/>
    <cellStyle name="Normal 12 2 2 5 2 2" xfId="9771"/>
    <cellStyle name="Normal 12 2 2 5 2 2 2" xfId="16769"/>
    <cellStyle name="Normal 12 2 2 5 2 2 3" xfId="23736"/>
    <cellStyle name="Normal 12 2 2 5 2 2 4" xfId="30703"/>
    <cellStyle name="Normal 12 2 2 5 2 2 5" xfId="37672"/>
    <cellStyle name="Normal 12 2 2 5 2 3" xfId="14449"/>
    <cellStyle name="Normal 12 2 2 5 2 3 2" xfId="21416"/>
    <cellStyle name="Normal 12 2 2 5 2 3 3" xfId="28383"/>
    <cellStyle name="Normal 12 2 2 5 2 3 4" xfId="35352"/>
    <cellStyle name="Normal 12 2 2 5 2 4" xfId="12127"/>
    <cellStyle name="Normal 12 2 2 5 2 5" xfId="19094"/>
    <cellStyle name="Normal 12 2 2 5 2 6" xfId="26061"/>
    <cellStyle name="Normal 12 2 2 5 2 7" xfId="33029"/>
    <cellStyle name="Normal 12 2 2 5 3" xfId="9480"/>
    <cellStyle name="Normal 12 2 2 5 3 2" xfId="16517"/>
    <cellStyle name="Normal 12 2 2 5 3 3" xfId="23484"/>
    <cellStyle name="Normal 12 2 2 5 3 4" xfId="30451"/>
    <cellStyle name="Normal 12 2 2 5 3 5" xfId="37420"/>
    <cellStyle name="Normal 12 2 2 5 4" xfId="14197"/>
    <cellStyle name="Normal 12 2 2 5 4 2" xfId="21164"/>
    <cellStyle name="Normal 12 2 2 5 4 3" xfId="28131"/>
    <cellStyle name="Normal 12 2 2 5 4 4" xfId="35100"/>
    <cellStyle name="Normal 12 2 2 5 5" xfId="11875"/>
    <cellStyle name="Normal 12 2 2 5 6" xfId="18842"/>
    <cellStyle name="Normal 12 2 2 5 7" xfId="25809"/>
    <cellStyle name="Normal 12 2 2 5 8" xfId="32777"/>
    <cellStyle name="Normal 12 2 2 6" xfId="4892"/>
    <cellStyle name="Normal 12 2 2 6 2" xfId="9767"/>
    <cellStyle name="Normal 12 2 2 6 2 2" xfId="16765"/>
    <cellStyle name="Normal 12 2 2 6 2 3" xfId="23732"/>
    <cellStyle name="Normal 12 2 2 6 2 4" xfId="30699"/>
    <cellStyle name="Normal 12 2 2 6 2 5" xfId="37668"/>
    <cellStyle name="Normal 12 2 2 6 3" xfId="14445"/>
    <cellStyle name="Normal 12 2 2 6 3 2" xfId="21412"/>
    <cellStyle name="Normal 12 2 2 6 3 3" xfId="28379"/>
    <cellStyle name="Normal 12 2 2 6 3 4" xfId="35348"/>
    <cellStyle name="Normal 12 2 2 6 4" xfId="12123"/>
    <cellStyle name="Normal 12 2 2 6 5" xfId="19090"/>
    <cellStyle name="Normal 12 2 2 6 6" xfId="26057"/>
    <cellStyle name="Normal 12 2 2 6 7" xfId="33025"/>
    <cellStyle name="Normal 12 2 2 7" xfId="6764"/>
    <cellStyle name="Normal 12 2 2 7 2" xfId="10737"/>
    <cellStyle name="Normal 12 2 2 7 2 2" xfId="17712"/>
    <cellStyle name="Normal 12 2 2 7 2 3" xfId="24679"/>
    <cellStyle name="Normal 12 2 2 7 2 4" xfId="31646"/>
    <cellStyle name="Normal 12 2 2 7 2 5" xfId="38615"/>
    <cellStyle name="Normal 12 2 2 7 3" xfId="15392"/>
    <cellStyle name="Normal 12 2 2 7 3 2" xfId="22359"/>
    <cellStyle name="Normal 12 2 2 7 3 3" xfId="29326"/>
    <cellStyle name="Normal 12 2 2 7 3 4" xfId="36295"/>
    <cellStyle name="Normal 12 2 2 7 4" xfId="13070"/>
    <cellStyle name="Normal 12 2 2 7 5" xfId="20037"/>
    <cellStyle name="Normal 12 2 2 7 6" xfId="27004"/>
    <cellStyle name="Normal 12 2 2 7 7" xfId="33973"/>
    <cellStyle name="Normal 12 2 2 8" xfId="7081"/>
    <cellStyle name="Normal 12 2 2 8 2" xfId="15565"/>
    <cellStyle name="Normal 12 2 2 8 2 2" xfId="22532"/>
    <cellStyle name="Normal 12 2 2 8 2 3" xfId="29499"/>
    <cellStyle name="Normal 12 2 2 8 2 4" xfId="36468"/>
    <cellStyle name="Normal 12 2 2 8 3" xfId="13243"/>
    <cellStyle name="Normal 12 2 2 8 4" xfId="20210"/>
    <cellStyle name="Normal 12 2 2 8 5" xfId="27177"/>
    <cellStyle name="Normal 12 2 2 8 6" xfId="34146"/>
    <cellStyle name="Normal 12 2 2 9" xfId="7941"/>
    <cellStyle name="Normal 12 2 2 9 2" xfId="15737"/>
    <cellStyle name="Normal 12 2 2 9 2 2" xfId="22704"/>
    <cellStyle name="Normal 12 2 2 9 2 3" xfId="29671"/>
    <cellStyle name="Normal 12 2 2 9 2 4" xfId="36640"/>
    <cellStyle name="Normal 12 2 2 9 3" xfId="11093"/>
    <cellStyle name="Normal 12 2 2 9 4" xfId="18060"/>
    <cellStyle name="Normal 12 2 2 9 5" xfId="25027"/>
    <cellStyle name="Normal 12 2 2 9 6" xfId="31995"/>
    <cellStyle name="Normal 12 2 3" xfId="3217"/>
    <cellStyle name="Normal 12 2 3 2" xfId="4897"/>
    <cellStyle name="Normal 12 2 3 2 2" xfId="9772"/>
    <cellStyle name="Normal 12 2 3 2 2 2" xfId="16770"/>
    <cellStyle name="Normal 12 2 3 2 2 3" xfId="23737"/>
    <cellStyle name="Normal 12 2 3 2 2 4" xfId="30704"/>
    <cellStyle name="Normal 12 2 3 2 2 5" xfId="37673"/>
    <cellStyle name="Normal 12 2 3 2 3" xfId="14450"/>
    <cellStyle name="Normal 12 2 3 2 3 2" xfId="21417"/>
    <cellStyle name="Normal 12 2 3 2 3 3" xfId="28384"/>
    <cellStyle name="Normal 12 2 3 2 3 4" xfId="35353"/>
    <cellStyle name="Normal 12 2 3 2 4" xfId="12128"/>
    <cellStyle name="Normal 12 2 3 2 5" xfId="19095"/>
    <cellStyle name="Normal 12 2 3 2 6" xfId="26062"/>
    <cellStyle name="Normal 12 2 3 2 7" xfId="33030"/>
    <cellStyle name="Normal 12 2 3 3" xfId="8851"/>
    <cellStyle name="Normal 12 2 3 3 2" xfId="15907"/>
    <cellStyle name="Normal 12 2 3 3 3" xfId="22874"/>
    <cellStyle name="Normal 12 2 3 3 4" xfId="29841"/>
    <cellStyle name="Normal 12 2 3 3 5" xfId="36810"/>
    <cellStyle name="Normal 12 2 3 4" xfId="13585"/>
    <cellStyle name="Normal 12 2 3 4 2" xfId="20552"/>
    <cellStyle name="Normal 12 2 3 4 3" xfId="27519"/>
    <cellStyle name="Normal 12 2 3 4 4" xfId="34488"/>
    <cellStyle name="Normal 12 2 3 5" xfId="11263"/>
    <cellStyle name="Normal 12 2 3 6" xfId="18230"/>
    <cellStyle name="Normal 12 2 3 7" xfId="25197"/>
    <cellStyle name="Normal 12 2 3 8" xfId="32165"/>
    <cellStyle name="Normal 12 2 4" xfId="3423"/>
    <cellStyle name="Normal 12 2 4 2" xfId="4898"/>
    <cellStyle name="Normal 12 2 4 2 2" xfId="9773"/>
    <cellStyle name="Normal 12 2 4 2 2 2" xfId="16771"/>
    <cellStyle name="Normal 12 2 4 2 2 3" xfId="23738"/>
    <cellStyle name="Normal 12 2 4 2 2 4" xfId="30705"/>
    <cellStyle name="Normal 12 2 4 2 2 5" xfId="37674"/>
    <cellStyle name="Normal 12 2 4 2 3" xfId="14451"/>
    <cellStyle name="Normal 12 2 4 2 3 2" xfId="21418"/>
    <cellStyle name="Normal 12 2 4 2 3 3" xfId="28385"/>
    <cellStyle name="Normal 12 2 4 2 3 4" xfId="35354"/>
    <cellStyle name="Normal 12 2 4 2 4" xfId="12129"/>
    <cellStyle name="Normal 12 2 4 2 5" xfId="19096"/>
    <cellStyle name="Normal 12 2 4 2 6" xfId="26063"/>
    <cellStyle name="Normal 12 2 4 2 7" xfId="33031"/>
    <cellStyle name="Normal 12 2 4 3" xfId="9035"/>
    <cellStyle name="Normal 12 2 4 3 2" xfId="16074"/>
    <cellStyle name="Normal 12 2 4 3 3" xfId="23041"/>
    <cellStyle name="Normal 12 2 4 3 4" xfId="30008"/>
    <cellStyle name="Normal 12 2 4 3 5" xfId="36977"/>
    <cellStyle name="Normal 12 2 4 4" xfId="13754"/>
    <cellStyle name="Normal 12 2 4 4 2" xfId="20721"/>
    <cellStyle name="Normal 12 2 4 4 3" xfId="27688"/>
    <cellStyle name="Normal 12 2 4 4 4" xfId="34657"/>
    <cellStyle name="Normal 12 2 4 5" xfId="11432"/>
    <cellStyle name="Normal 12 2 4 6" xfId="18399"/>
    <cellStyle name="Normal 12 2 4 7" xfId="25366"/>
    <cellStyle name="Normal 12 2 4 8" xfId="32334"/>
    <cellStyle name="Normal 12 2 5" xfId="3598"/>
    <cellStyle name="Normal 12 2 5 2" xfId="4899"/>
    <cellStyle name="Normal 12 2 5 2 2" xfId="9774"/>
    <cellStyle name="Normal 12 2 5 2 2 2" xfId="16772"/>
    <cellStyle name="Normal 12 2 5 2 2 3" xfId="23739"/>
    <cellStyle name="Normal 12 2 5 2 2 4" xfId="30706"/>
    <cellStyle name="Normal 12 2 5 2 2 5" xfId="37675"/>
    <cellStyle name="Normal 12 2 5 2 3" xfId="14452"/>
    <cellStyle name="Normal 12 2 5 2 3 2" xfId="21419"/>
    <cellStyle name="Normal 12 2 5 2 3 3" xfId="28386"/>
    <cellStyle name="Normal 12 2 5 2 3 4" xfId="35355"/>
    <cellStyle name="Normal 12 2 5 2 4" xfId="12130"/>
    <cellStyle name="Normal 12 2 5 2 5" xfId="19097"/>
    <cellStyle name="Normal 12 2 5 2 6" xfId="26064"/>
    <cellStyle name="Normal 12 2 5 2 7" xfId="33032"/>
    <cellStyle name="Normal 12 2 5 3" xfId="9206"/>
    <cellStyle name="Normal 12 2 5 3 2" xfId="16245"/>
    <cellStyle name="Normal 12 2 5 3 3" xfId="23212"/>
    <cellStyle name="Normal 12 2 5 3 4" xfId="30179"/>
    <cellStyle name="Normal 12 2 5 3 5" xfId="37148"/>
    <cellStyle name="Normal 12 2 5 4" xfId="13925"/>
    <cellStyle name="Normal 12 2 5 4 2" xfId="20892"/>
    <cellStyle name="Normal 12 2 5 4 3" xfId="27859"/>
    <cellStyle name="Normal 12 2 5 4 4" xfId="34828"/>
    <cellStyle name="Normal 12 2 5 5" xfId="11603"/>
    <cellStyle name="Normal 12 2 5 6" xfId="18570"/>
    <cellStyle name="Normal 12 2 5 7" xfId="25537"/>
    <cellStyle name="Normal 12 2 5 8" xfId="32505"/>
    <cellStyle name="Normal 12 2 6" xfId="3873"/>
    <cellStyle name="Normal 12 2 6 2" xfId="4900"/>
    <cellStyle name="Normal 12 2 6 2 2" xfId="9775"/>
    <cellStyle name="Normal 12 2 6 2 2 2" xfId="16773"/>
    <cellStyle name="Normal 12 2 6 2 2 3" xfId="23740"/>
    <cellStyle name="Normal 12 2 6 2 2 4" xfId="30707"/>
    <cellStyle name="Normal 12 2 6 2 2 5" xfId="37676"/>
    <cellStyle name="Normal 12 2 6 2 3" xfId="14453"/>
    <cellStyle name="Normal 12 2 6 2 3 2" xfId="21420"/>
    <cellStyle name="Normal 12 2 6 2 3 3" xfId="28387"/>
    <cellStyle name="Normal 12 2 6 2 3 4" xfId="35356"/>
    <cellStyle name="Normal 12 2 6 2 4" xfId="12131"/>
    <cellStyle name="Normal 12 2 6 2 5" xfId="19098"/>
    <cellStyle name="Normal 12 2 6 2 6" xfId="26065"/>
    <cellStyle name="Normal 12 2 6 2 7" xfId="33033"/>
    <cellStyle name="Normal 12 2 6 3" xfId="9479"/>
    <cellStyle name="Normal 12 2 6 3 2" xfId="16516"/>
    <cellStyle name="Normal 12 2 6 3 3" xfId="23483"/>
    <cellStyle name="Normal 12 2 6 3 4" xfId="30450"/>
    <cellStyle name="Normal 12 2 6 3 5" xfId="37419"/>
    <cellStyle name="Normal 12 2 6 4" xfId="14196"/>
    <cellStyle name="Normal 12 2 6 4 2" xfId="21163"/>
    <cellStyle name="Normal 12 2 6 4 3" xfId="28130"/>
    <cellStyle name="Normal 12 2 6 4 4" xfId="35099"/>
    <cellStyle name="Normal 12 2 6 5" xfId="11874"/>
    <cellStyle name="Normal 12 2 6 6" xfId="18841"/>
    <cellStyle name="Normal 12 2 6 7" xfId="25808"/>
    <cellStyle name="Normal 12 2 6 8" xfId="32776"/>
    <cellStyle name="Normal 12 2 7" xfId="4891"/>
    <cellStyle name="Normal 12 2 7 2" xfId="9766"/>
    <cellStyle name="Normal 12 2 7 2 2" xfId="16764"/>
    <cellStyle name="Normal 12 2 7 2 3" xfId="23731"/>
    <cellStyle name="Normal 12 2 7 2 4" xfId="30698"/>
    <cellStyle name="Normal 12 2 7 2 5" xfId="37667"/>
    <cellStyle name="Normal 12 2 7 3" xfId="14444"/>
    <cellStyle name="Normal 12 2 7 3 2" xfId="21411"/>
    <cellStyle name="Normal 12 2 7 3 3" xfId="28378"/>
    <cellStyle name="Normal 12 2 7 3 4" xfId="35347"/>
    <cellStyle name="Normal 12 2 7 4" xfId="12122"/>
    <cellStyle name="Normal 12 2 7 5" xfId="19089"/>
    <cellStyle name="Normal 12 2 7 6" xfId="26056"/>
    <cellStyle name="Normal 12 2 7 7" xfId="33024"/>
    <cellStyle name="Normal 12 2 8" xfId="6763"/>
    <cellStyle name="Normal 12 2 8 2" xfId="10736"/>
    <cellStyle name="Normal 12 2 8 2 2" xfId="17711"/>
    <cellStyle name="Normal 12 2 8 2 3" xfId="24678"/>
    <cellStyle name="Normal 12 2 8 2 4" xfId="31645"/>
    <cellStyle name="Normal 12 2 8 2 5" xfId="38614"/>
    <cellStyle name="Normal 12 2 8 3" xfId="15391"/>
    <cellStyle name="Normal 12 2 8 3 2" xfId="22358"/>
    <cellStyle name="Normal 12 2 8 3 3" xfId="29325"/>
    <cellStyle name="Normal 12 2 8 3 4" xfId="36294"/>
    <cellStyle name="Normal 12 2 8 4" xfId="13069"/>
    <cellStyle name="Normal 12 2 8 5" xfId="20036"/>
    <cellStyle name="Normal 12 2 8 6" xfId="27003"/>
    <cellStyle name="Normal 12 2 8 7" xfId="33972"/>
    <cellStyle name="Normal 12 2 9" xfId="7080"/>
    <cellStyle name="Normal 12 2 9 2" xfId="15564"/>
    <cellStyle name="Normal 12 2 9 2 2" xfId="22531"/>
    <cellStyle name="Normal 12 2 9 2 3" xfId="29498"/>
    <cellStyle name="Normal 12 2 9 2 4" xfId="36467"/>
    <cellStyle name="Normal 12 2 9 3" xfId="13242"/>
    <cellStyle name="Normal 12 2 9 4" xfId="20209"/>
    <cellStyle name="Normal 12 2 9 5" xfId="27176"/>
    <cellStyle name="Normal 12 2 9 6" xfId="34145"/>
    <cellStyle name="Normal 12 3" xfId="1340"/>
    <cellStyle name="Normal 12 3 10" xfId="13416"/>
    <cellStyle name="Normal 12 3 10 2" xfId="20383"/>
    <cellStyle name="Normal 12 3 10 3" xfId="27350"/>
    <cellStyle name="Normal 12 3 10 4" xfId="34319"/>
    <cellStyle name="Normal 12 3 11" xfId="10922"/>
    <cellStyle name="Normal 12 3 12" xfId="17888"/>
    <cellStyle name="Normal 12 3 13" xfId="24856"/>
    <cellStyle name="Normal 12 3 14" xfId="31824"/>
    <cellStyle name="Normal 12 3 2" xfId="3219"/>
    <cellStyle name="Normal 12 3 2 2" xfId="4902"/>
    <cellStyle name="Normal 12 3 2 2 2" xfId="9777"/>
    <cellStyle name="Normal 12 3 2 2 2 2" xfId="16775"/>
    <cellStyle name="Normal 12 3 2 2 2 3" xfId="23742"/>
    <cellStyle name="Normal 12 3 2 2 2 4" xfId="30709"/>
    <cellStyle name="Normal 12 3 2 2 2 5" xfId="37678"/>
    <cellStyle name="Normal 12 3 2 2 3" xfId="14455"/>
    <cellStyle name="Normal 12 3 2 2 3 2" xfId="21422"/>
    <cellStyle name="Normal 12 3 2 2 3 3" xfId="28389"/>
    <cellStyle name="Normal 12 3 2 2 3 4" xfId="35358"/>
    <cellStyle name="Normal 12 3 2 2 4" xfId="12133"/>
    <cellStyle name="Normal 12 3 2 2 5" xfId="19100"/>
    <cellStyle name="Normal 12 3 2 2 6" xfId="26067"/>
    <cellStyle name="Normal 12 3 2 2 7" xfId="33035"/>
    <cellStyle name="Normal 12 3 2 3" xfId="8853"/>
    <cellStyle name="Normal 12 3 2 3 2" xfId="15909"/>
    <cellStyle name="Normal 12 3 2 3 3" xfId="22876"/>
    <cellStyle name="Normal 12 3 2 3 4" xfId="29843"/>
    <cellStyle name="Normal 12 3 2 3 5" xfId="36812"/>
    <cellStyle name="Normal 12 3 2 4" xfId="13587"/>
    <cellStyle name="Normal 12 3 2 4 2" xfId="20554"/>
    <cellStyle name="Normal 12 3 2 4 3" xfId="27521"/>
    <cellStyle name="Normal 12 3 2 4 4" xfId="34490"/>
    <cellStyle name="Normal 12 3 2 5" xfId="11265"/>
    <cellStyle name="Normal 12 3 2 6" xfId="18232"/>
    <cellStyle name="Normal 12 3 2 7" xfId="25199"/>
    <cellStyle name="Normal 12 3 2 8" xfId="32167"/>
    <cellStyle name="Normal 12 3 3" xfId="3425"/>
    <cellStyle name="Normal 12 3 3 2" xfId="4903"/>
    <cellStyle name="Normal 12 3 3 2 2" xfId="9778"/>
    <cellStyle name="Normal 12 3 3 2 2 2" xfId="16776"/>
    <cellStyle name="Normal 12 3 3 2 2 3" xfId="23743"/>
    <cellStyle name="Normal 12 3 3 2 2 4" xfId="30710"/>
    <cellStyle name="Normal 12 3 3 2 2 5" xfId="37679"/>
    <cellStyle name="Normal 12 3 3 2 3" xfId="14456"/>
    <cellStyle name="Normal 12 3 3 2 3 2" xfId="21423"/>
    <cellStyle name="Normal 12 3 3 2 3 3" xfId="28390"/>
    <cellStyle name="Normal 12 3 3 2 3 4" xfId="35359"/>
    <cellStyle name="Normal 12 3 3 2 4" xfId="12134"/>
    <cellStyle name="Normal 12 3 3 2 5" xfId="19101"/>
    <cellStyle name="Normal 12 3 3 2 6" xfId="26068"/>
    <cellStyle name="Normal 12 3 3 2 7" xfId="33036"/>
    <cellStyle name="Normal 12 3 3 3" xfId="9037"/>
    <cellStyle name="Normal 12 3 3 3 2" xfId="16076"/>
    <cellStyle name="Normal 12 3 3 3 3" xfId="23043"/>
    <cellStyle name="Normal 12 3 3 3 4" xfId="30010"/>
    <cellStyle name="Normal 12 3 3 3 5" xfId="36979"/>
    <cellStyle name="Normal 12 3 3 4" xfId="13756"/>
    <cellStyle name="Normal 12 3 3 4 2" xfId="20723"/>
    <cellStyle name="Normal 12 3 3 4 3" xfId="27690"/>
    <cellStyle name="Normal 12 3 3 4 4" xfId="34659"/>
    <cellStyle name="Normal 12 3 3 5" xfId="11434"/>
    <cellStyle name="Normal 12 3 3 6" xfId="18401"/>
    <cellStyle name="Normal 12 3 3 7" xfId="25368"/>
    <cellStyle name="Normal 12 3 3 8" xfId="32336"/>
    <cellStyle name="Normal 12 3 4" xfId="3600"/>
    <cellStyle name="Normal 12 3 4 2" xfId="4904"/>
    <cellStyle name="Normal 12 3 4 2 2" xfId="9779"/>
    <cellStyle name="Normal 12 3 4 2 2 2" xfId="16777"/>
    <cellStyle name="Normal 12 3 4 2 2 3" xfId="23744"/>
    <cellStyle name="Normal 12 3 4 2 2 4" xfId="30711"/>
    <cellStyle name="Normal 12 3 4 2 2 5" xfId="37680"/>
    <cellStyle name="Normal 12 3 4 2 3" xfId="14457"/>
    <cellStyle name="Normal 12 3 4 2 3 2" xfId="21424"/>
    <cellStyle name="Normal 12 3 4 2 3 3" xfId="28391"/>
    <cellStyle name="Normal 12 3 4 2 3 4" xfId="35360"/>
    <cellStyle name="Normal 12 3 4 2 4" xfId="12135"/>
    <cellStyle name="Normal 12 3 4 2 5" xfId="19102"/>
    <cellStyle name="Normal 12 3 4 2 6" xfId="26069"/>
    <cellStyle name="Normal 12 3 4 2 7" xfId="33037"/>
    <cellStyle name="Normal 12 3 4 3" xfId="9208"/>
    <cellStyle name="Normal 12 3 4 3 2" xfId="16247"/>
    <cellStyle name="Normal 12 3 4 3 3" xfId="23214"/>
    <cellStyle name="Normal 12 3 4 3 4" xfId="30181"/>
    <cellStyle name="Normal 12 3 4 3 5" xfId="37150"/>
    <cellStyle name="Normal 12 3 4 4" xfId="13927"/>
    <cellStyle name="Normal 12 3 4 4 2" xfId="20894"/>
    <cellStyle name="Normal 12 3 4 4 3" xfId="27861"/>
    <cellStyle name="Normal 12 3 4 4 4" xfId="34830"/>
    <cellStyle name="Normal 12 3 4 5" xfId="11605"/>
    <cellStyle name="Normal 12 3 4 6" xfId="18572"/>
    <cellStyle name="Normal 12 3 4 7" xfId="25539"/>
    <cellStyle name="Normal 12 3 4 8" xfId="32507"/>
    <cellStyle name="Normal 12 3 5" xfId="3875"/>
    <cellStyle name="Normal 12 3 5 2" xfId="4905"/>
    <cellStyle name="Normal 12 3 5 2 2" xfId="9780"/>
    <cellStyle name="Normal 12 3 5 2 2 2" xfId="16778"/>
    <cellStyle name="Normal 12 3 5 2 2 3" xfId="23745"/>
    <cellStyle name="Normal 12 3 5 2 2 4" xfId="30712"/>
    <cellStyle name="Normal 12 3 5 2 2 5" xfId="37681"/>
    <cellStyle name="Normal 12 3 5 2 3" xfId="14458"/>
    <cellStyle name="Normal 12 3 5 2 3 2" xfId="21425"/>
    <cellStyle name="Normal 12 3 5 2 3 3" xfId="28392"/>
    <cellStyle name="Normal 12 3 5 2 3 4" xfId="35361"/>
    <cellStyle name="Normal 12 3 5 2 4" xfId="12136"/>
    <cellStyle name="Normal 12 3 5 2 5" xfId="19103"/>
    <cellStyle name="Normal 12 3 5 2 6" xfId="26070"/>
    <cellStyle name="Normal 12 3 5 2 7" xfId="33038"/>
    <cellStyle name="Normal 12 3 5 3" xfId="9481"/>
    <cellStyle name="Normal 12 3 5 3 2" xfId="16518"/>
    <cellStyle name="Normal 12 3 5 3 3" xfId="23485"/>
    <cellStyle name="Normal 12 3 5 3 4" xfId="30452"/>
    <cellStyle name="Normal 12 3 5 3 5" xfId="37421"/>
    <cellStyle name="Normal 12 3 5 4" xfId="14198"/>
    <cellStyle name="Normal 12 3 5 4 2" xfId="21165"/>
    <cellStyle name="Normal 12 3 5 4 3" xfId="28132"/>
    <cellStyle name="Normal 12 3 5 4 4" xfId="35101"/>
    <cellStyle name="Normal 12 3 5 5" xfId="11876"/>
    <cellStyle name="Normal 12 3 5 6" xfId="18843"/>
    <cellStyle name="Normal 12 3 5 7" xfId="25810"/>
    <cellStyle name="Normal 12 3 5 8" xfId="32778"/>
    <cellStyle name="Normal 12 3 6" xfId="4901"/>
    <cellStyle name="Normal 12 3 6 2" xfId="9776"/>
    <cellStyle name="Normal 12 3 6 2 2" xfId="16774"/>
    <cellStyle name="Normal 12 3 6 2 3" xfId="23741"/>
    <cellStyle name="Normal 12 3 6 2 4" xfId="30708"/>
    <cellStyle name="Normal 12 3 6 2 5" xfId="37677"/>
    <cellStyle name="Normal 12 3 6 3" xfId="14454"/>
    <cellStyle name="Normal 12 3 6 3 2" xfId="21421"/>
    <cellStyle name="Normal 12 3 6 3 3" xfId="28388"/>
    <cellStyle name="Normal 12 3 6 3 4" xfId="35357"/>
    <cellStyle name="Normal 12 3 6 4" xfId="12132"/>
    <cellStyle name="Normal 12 3 6 5" xfId="19099"/>
    <cellStyle name="Normal 12 3 6 6" xfId="26066"/>
    <cellStyle name="Normal 12 3 6 7" xfId="33034"/>
    <cellStyle name="Normal 12 3 7" xfId="6765"/>
    <cellStyle name="Normal 12 3 7 2" xfId="10738"/>
    <cellStyle name="Normal 12 3 7 2 2" xfId="17713"/>
    <cellStyle name="Normal 12 3 7 2 3" xfId="24680"/>
    <cellStyle name="Normal 12 3 7 2 4" xfId="31647"/>
    <cellStyle name="Normal 12 3 7 2 5" xfId="38616"/>
    <cellStyle name="Normal 12 3 7 3" xfId="15393"/>
    <cellStyle name="Normal 12 3 7 3 2" xfId="22360"/>
    <cellStyle name="Normal 12 3 7 3 3" xfId="29327"/>
    <cellStyle name="Normal 12 3 7 3 4" xfId="36296"/>
    <cellStyle name="Normal 12 3 7 4" xfId="13071"/>
    <cellStyle name="Normal 12 3 7 5" xfId="20038"/>
    <cellStyle name="Normal 12 3 7 6" xfId="27005"/>
    <cellStyle name="Normal 12 3 7 7" xfId="33974"/>
    <cellStyle name="Normal 12 3 8" xfId="7082"/>
    <cellStyle name="Normal 12 3 8 2" xfId="15566"/>
    <cellStyle name="Normal 12 3 8 2 2" xfId="22533"/>
    <cellStyle name="Normal 12 3 8 2 3" xfId="29500"/>
    <cellStyle name="Normal 12 3 8 2 4" xfId="36469"/>
    <cellStyle name="Normal 12 3 8 3" xfId="13244"/>
    <cellStyle name="Normal 12 3 8 4" xfId="20211"/>
    <cellStyle name="Normal 12 3 8 5" xfId="27178"/>
    <cellStyle name="Normal 12 3 8 6" xfId="34147"/>
    <cellStyle name="Normal 12 3 9" xfId="7942"/>
    <cellStyle name="Normal 12 3 9 2" xfId="15738"/>
    <cellStyle name="Normal 12 3 9 2 2" xfId="22705"/>
    <cellStyle name="Normal 12 3 9 2 3" xfId="29672"/>
    <cellStyle name="Normal 12 3 9 2 4" xfId="36641"/>
    <cellStyle name="Normal 12 3 9 3" xfId="11094"/>
    <cellStyle name="Normal 12 3 9 4" xfId="18061"/>
    <cellStyle name="Normal 12 3 9 5" xfId="25028"/>
    <cellStyle name="Normal 12 3 9 6" xfId="31996"/>
    <cellStyle name="Normal 12 4" xfId="3216"/>
    <cellStyle name="Normal 12 4 2" xfId="4906"/>
    <cellStyle name="Normal 12 4 2 2" xfId="9781"/>
    <cellStyle name="Normal 12 4 2 2 2" xfId="16779"/>
    <cellStyle name="Normal 12 4 2 2 3" xfId="23746"/>
    <cellStyle name="Normal 12 4 2 2 4" xfId="30713"/>
    <cellStyle name="Normal 12 4 2 2 5" xfId="37682"/>
    <cellStyle name="Normal 12 4 2 3" xfId="14459"/>
    <cellStyle name="Normal 12 4 2 3 2" xfId="21426"/>
    <cellStyle name="Normal 12 4 2 3 3" xfId="28393"/>
    <cellStyle name="Normal 12 4 2 3 4" xfId="35362"/>
    <cellStyle name="Normal 12 4 2 4" xfId="12137"/>
    <cellStyle name="Normal 12 4 2 5" xfId="19104"/>
    <cellStyle name="Normal 12 4 2 6" xfId="26071"/>
    <cellStyle name="Normal 12 4 2 7" xfId="33039"/>
    <cellStyle name="Normal 12 4 3" xfId="8850"/>
    <cellStyle name="Normal 12 4 3 2" xfId="15906"/>
    <cellStyle name="Normal 12 4 3 3" xfId="22873"/>
    <cellStyle name="Normal 12 4 3 4" xfId="29840"/>
    <cellStyle name="Normal 12 4 3 5" xfId="36809"/>
    <cellStyle name="Normal 12 4 4" xfId="13584"/>
    <cellStyle name="Normal 12 4 4 2" xfId="20551"/>
    <cellStyle name="Normal 12 4 4 3" xfId="27518"/>
    <cellStyle name="Normal 12 4 4 4" xfId="34487"/>
    <cellStyle name="Normal 12 4 5" xfId="11262"/>
    <cellStyle name="Normal 12 4 6" xfId="18229"/>
    <cellStyle name="Normal 12 4 7" xfId="25196"/>
    <cellStyle name="Normal 12 4 8" xfId="32164"/>
    <cellStyle name="Normal 12 5" xfId="3422"/>
    <cellStyle name="Normal 12 5 2" xfId="4907"/>
    <cellStyle name="Normal 12 5 2 2" xfId="9782"/>
    <cellStyle name="Normal 12 5 2 2 2" xfId="16780"/>
    <cellStyle name="Normal 12 5 2 2 3" xfId="23747"/>
    <cellStyle name="Normal 12 5 2 2 4" xfId="30714"/>
    <cellStyle name="Normal 12 5 2 2 5" xfId="37683"/>
    <cellStyle name="Normal 12 5 2 3" xfId="14460"/>
    <cellStyle name="Normal 12 5 2 3 2" xfId="21427"/>
    <cellStyle name="Normal 12 5 2 3 3" xfId="28394"/>
    <cellStyle name="Normal 12 5 2 3 4" xfId="35363"/>
    <cellStyle name="Normal 12 5 2 4" xfId="12138"/>
    <cellStyle name="Normal 12 5 2 5" xfId="19105"/>
    <cellStyle name="Normal 12 5 2 6" xfId="26072"/>
    <cellStyle name="Normal 12 5 2 7" xfId="33040"/>
    <cellStyle name="Normal 12 5 3" xfId="9034"/>
    <cellStyle name="Normal 12 5 3 2" xfId="16073"/>
    <cellStyle name="Normal 12 5 3 3" xfId="23040"/>
    <cellStyle name="Normal 12 5 3 4" xfId="30007"/>
    <cellStyle name="Normal 12 5 3 5" xfId="36976"/>
    <cellStyle name="Normal 12 5 4" xfId="13753"/>
    <cellStyle name="Normal 12 5 4 2" xfId="20720"/>
    <cellStyle name="Normal 12 5 4 3" xfId="27687"/>
    <cellStyle name="Normal 12 5 4 4" xfId="34656"/>
    <cellStyle name="Normal 12 5 5" xfId="11431"/>
    <cellStyle name="Normal 12 5 6" xfId="18398"/>
    <cellStyle name="Normal 12 5 7" xfId="25365"/>
    <cellStyle name="Normal 12 5 8" xfId="32333"/>
    <cellStyle name="Normal 12 6" xfId="3597"/>
    <cellStyle name="Normal 12 6 2" xfId="4908"/>
    <cellStyle name="Normal 12 6 2 2" xfId="9783"/>
    <cellStyle name="Normal 12 6 2 2 2" xfId="16781"/>
    <cellStyle name="Normal 12 6 2 2 3" xfId="23748"/>
    <cellStyle name="Normal 12 6 2 2 4" xfId="30715"/>
    <cellStyle name="Normal 12 6 2 2 5" xfId="37684"/>
    <cellStyle name="Normal 12 6 2 3" xfId="14461"/>
    <cellStyle name="Normal 12 6 2 3 2" xfId="21428"/>
    <cellStyle name="Normal 12 6 2 3 3" xfId="28395"/>
    <cellStyle name="Normal 12 6 2 3 4" xfId="35364"/>
    <cellStyle name="Normal 12 6 2 4" xfId="12139"/>
    <cellStyle name="Normal 12 6 2 5" xfId="19106"/>
    <cellStyle name="Normal 12 6 2 6" xfId="26073"/>
    <cellStyle name="Normal 12 6 2 7" xfId="33041"/>
    <cellStyle name="Normal 12 6 3" xfId="9205"/>
    <cellStyle name="Normal 12 6 3 2" xfId="16244"/>
    <cellStyle name="Normal 12 6 3 3" xfId="23211"/>
    <cellStyle name="Normal 12 6 3 4" xfId="30178"/>
    <cellStyle name="Normal 12 6 3 5" xfId="37147"/>
    <cellStyle name="Normal 12 6 4" xfId="13924"/>
    <cellStyle name="Normal 12 6 4 2" xfId="20891"/>
    <cellStyle name="Normal 12 6 4 3" xfId="27858"/>
    <cellStyle name="Normal 12 6 4 4" xfId="34827"/>
    <cellStyle name="Normal 12 6 5" xfId="11602"/>
    <cellStyle name="Normal 12 6 6" xfId="18569"/>
    <cellStyle name="Normal 12 6 7" xfId="25536"/>
    <cellStyle name="Normal 12 6 8" xfId="32504"/>
    <cellStyle name="Normal 12 7" xfId="3872"/>
    <cellStyle name="Normal 12 7 2" xfId="4909"/>
    <cellStyle name="Normal 12 7 2 2" xfId="9784"/>
    <cellStyle name="Normal 12 7 2 2 2" xfId="16782"/>
    <cellStyle name="Normal 12 7 2 2 3" xfId="23749"/>
    <cellStyle name="Normal 12 7 2 2 4" xfId="30716"/>
    <cellStyle name="Normal 12 7 2 2 5" xfId="37685"/>
    <cellStyle name="Normal 12 7 2 3" xfId="14462"/>
    <cellStyle name="Normal 12 7 2 3 2" xfId="21429"/>
    <cellStyle name="Normal 12 7 2 3 3" xfId="28396"/>
    <cellStyle name="Normal 12 7 2 3 4" xfId="35365"/>
    <cellStyle name="Normal 12 7 2 4" xfId="12140"/>
    <cellStyle name="Normal 12 7 2 5" xfId="19107"/>
    <cellStyle name="Normal 12 7 2 6" xfId="26074"/>
    <cellStyle name="Normal 12 7 2 7" xfId="33042"/>
    <cellStyle name="Normal 12 7 3" xfId="9478"/>
    <cellStyle name="Normal 12 7 3 2" xfId="16515"/>
    <cellStyle name="Normal 12 7 3 3" xfId="23482"/>
    <cellStyle name="Normal 12 7 3 4" xfId="30449"/>
    <cellStyle name="Normal 12 7 3 5" xfId="37418"/>
    <cellStyle name="Normal 12 7 4" xfId="14195"/>
    <cellStyle name="Normal 12 7 4 2" xfId="21162"/>
    <cellStyle name="Normal 12 7 4 3" xfId="28129"/>
    <cellStyle name="Normal 12 7 4 4" xfId="35098"/>
    <cellStyle name="Normal 12 7 5" xfId="11873"/>
    <cellStyle name="Normal 12 7 6" xfId="18840"/>
    <cellStyle name="Normal 12 7 7" xfId="25807"/>
    <cellStyle name="Normal 12 7 8" xfId="32775"/>
    <cellStyle name="Normal 12 8" xfId="4890"/>
    <cellStyle name="Normal 12 8 2" xfId="9765"/>
    <cellStyle name="Normal 12 8 2 2" xfId="16763"/>
    <cellStyle name="Normal 12 8 2 3" xfId="23730"/>
    <cellStyle name="Normal 12 8 2 4" xfId="30697"/>
    <cellStyle name="Normal 12 8 2 5" xfId="37666"/>
    <cellStyle name="Normal 12 8 3" xfId="14443"/>
    <cellStyle name="Normal 12 8 3 2" xfId="21410"/>
    <cellStyle name="Normal 12 8 3 3" xfId="28377"/>
    <cellStyle name="Normal 12 8 3 4" xfId="35346"/>
    <cellStyle name="Normal 12 8 4" xfId="12121"/>
    <cellStyle name="Normal 12 8 5" xfId="19088"/>
    <cellStyle name="Normal 12 8 6" xfId="26055"/>
    <cellStyle name="Normal 12 8 7" xfId="33023"/>
    <cellStyle name="Normal 12 9" xfId="6762"/>
    <cellStyle name="Normal 12 9 2" xfId="10735"/>
    <cellStyle name="Normal 12 9 2 2" xfId="17710"/>
    <cellStyle name="Normal 12 9 2 3" xfId="24677"/>
    <cellStyle name="Normal 12 9 2 4" xfId="31644"/>
    <cellStyle name="Normal 12 9 2 5" xfId="38613"/>
    <cellStyle name="Normal 12 9 3" xfId="15390"/>
    <cellStyle name="Normal 12 9 3 2" xfId="22357"/>
    <cellStyle name="Normal 12 9 3 3" xfId="29324"/>
    <cellStyle name="Normal 12 9 3 4" xfId="36293"/>
    <cellStyle name="Normal 12 9 4" xfId="13068"/>
    <cellStyle name="Normal 12 9 5" xfId="20035"/>
    <cellStyle name="Normal 12 9 6" xfId="27002"/>
    <cellStyle name="Normal 12 9 7" xfId="33971"/>
    <cellStyle name="Normal 120" xfId="1341"/>
    <cellStyle name="Normal 120 2" xfId="1342"/>
    <cellStyle name="Normal 120 3" xfId="1343"/>
    <cellStyle name="Normal 121" xfId="1344"/>
    <cellStyle name="Normal 121 2" xfId="1345"/>
    <cellStyle name="Normal 121 3" xfId="1346"/>
    <cellStyle name="Normal 122" xfId="1347"/>
    <cellStyle name="Normal 122 2" xfId="1348"/>
    <cellStyle name="Normal 122 3" xfId="1349"/>
    <cellStyle name="Normal 123" xfId="1350"/>
    <cellStyle name="Normal 123 2" xfId="1351"/>
    <cellStyle name="Normal 123 3" xfId="1352"/>
    <cellStyle name="Normal 124" xfId="1353"/>
    <cellStyle name="Normal 124 2" xfId="1354"/>
    <cellStyle name="Normal 124 3" xfId="1355"/>
    <cellStyle name="Normal 125" xfId="1356"/>
    <cellStyle name="Normal 125 2" xfId="1357"/>
    <cellStyle name="Normal 125 3" xfId="1358"/>
    <cellStyle name="Normal 126" xfId="1359"/>
    <cellStyle name="Normal 126 2" xfId="1360"/>
    <cellStyle name="Normal 126 3" xfId="1361"/>
    <cellStyle name="Normal 127" xfId="1362"/>
    <cellStyle name="Normal 127 2" xfId="1363"/>
    <cellStyle name="Normal 127 3" xfId="1364"/>
    <cellStyle name="Normal 128" xfId="1365"/>
    <cellStyle name="Normal 128 2" xfId="1366"/>
    <cellStyle name="Normal 128 3" xfId="1367"/>
    <cellStyle name="Normal 129" xfId="1368"/>
    <cellStyle name="Normal 129 2" xfId="1369"/>
    <cellStyle name="Normal 129 3" xfId="1370"/>
    <cellStyle name="Normal 13" xfId="1371"/>
    <cellStyle name="Normal 13 10" xfId="7083"/>
    <cellStyle name="Normal 13 10 2" xfId="15567"/>
    <cellStyle name="Normal 13 10 2 2" xfId="22534"/>
    <cellStyle name="Normal 13 10 2 3" xfId="29501"/>
    <cellStyle name="Normal 13 10 2 4" xfId="36470"/>
    <cellStyle name="Normal 13 10 3" xfId="13245"/>
    <cellStyle name="Normal 13 10 4" xfId="20212"/>
    <cellStyle name="Normal 13 10 5" xfId="27179"/>
    <cellStyle name="Normal 13 10 6" xfId="34148"/>
    <cellStyle name="Normal 13 11" xfId="7943"/>
    <cellStyle name="Normal 13 11 2" xfId="15739"/>
    <cellStyle name="Normal 13 11 2 2" xfId="22706"/>
    <cellStyle name="Normal 13 11 2 3" xfId="29673"/>
    <cellStyle name="Normal 13 11 2 4" xfId="36642"/>
    <cellStyle name="Normal 13 11 3" xfId="11095"/>
    <cellStyle name="Normal 13 11 4" xfId="18062"/>
    <cellStyle name="Normal 13 11 5" xfId="25029"/>
    <cellStyle name="Normal 13 11 6" xfId="31997"/>
    <cellStyle name="Normal 13 12" xfId="13417"/>
    <cellStyle name="Normal 13 12 2" xfId="20384"/>
    <cellStyle name="Normal 13 12 3" xfId="27351"/>
    <cellStyle name="Normal 13 12 4" xfId="34320"/>
    <cellStyle name="Normal 13 13" xfId="10923"/>
    <cellStyle name="Normal 13 14" xfId="17889"/>
    <cellStyle name="Normal 13 15" xfId="24857"/>
    <cellStyle name="Normal 13 16" xfId="31825"/>
    <cellStyle name="Normal 13 2" xfId="1372"/>
    <cellStyle name="Normal 13 2 10" xfId="7944"/>
    <cellStyle name="Normal 13 2 10 2" xfId="15740"/>
    <cellStyle name="Normal 13 2 10 2 2" xfId="22707"/>
    <cellStyle name="Normal 13 2 10 2 3" xfId="29674"/>
    <cellStyle name="Normal 13 2 10 2 4" xfId="36643"/>
    <cellStyle name="Normal 13 2 10 3" xfId="11096"/>
    <cellStyle name="Normal 13 2 10 4" xfId="18063"/>
    <cellStyle name="Normal 13 2 10 5" xfId="25030"/>
    <cellStyle name="Normal 13 2 10 6" xfId="31998"/>
    <cellStyle name="Normal 13 2 11" xfId="13418"/>
    <cellStyle name="Normal 13 2 11 2" xfId="20385"/>
    <cellStyle name="Normal 13 2 11 3" xfId="27352"/>
    <cellStyle name="Normal 13 2 11 4" xfId="34321"/>
    <cellStyle name="Normal 13 2 12" xfId="10924"/>
    <cellStyle name="Normal 13 2 13" xfId="17890"/>
    <cellStyle name="Normal 13 2 14" xfId="24858"/>
    <cellStyle name="Normal 13 2 15" xfId="31826"/>
    <cellStyle name="Normal 13 2 2" xfId="1373"/>
    <cellStyle name="Normal 13 2 2 10" xfId="13419"/>
    <cellStyle name="Normal 13 2 2 10 2" xfId="20386"/>
    <cellStyle name="Normal 13 2 2 10 3" xfId="27353"/>
    <cellStyle name="Normal 13 2 2 10 4" xfId="34322"/>
    <cellStyle name="Normal 13 2 2 11" xfId="10925"/>
    <cellStyle name="Normal 13 2 2 12" xfId="17891"/>
    <cellStyle name="Normal 13 2 2 13" xfId="24859"/>
    <cellStyle name="Normal 13 2 2 14" xfId="31827"/>
    <cellStyle name="Normal 13 2 2 2" xfId="3222"/>
    <cellStyle name="Normal 13 2 2 2 2" xfId="4913"/>
    <cellStyle name="Normal 13 2 2 2 2 2" xfId="9788"/>
    <cellStyle name="Normal 13 2 2 2 2 2 2" xfId="16786"/>
    <cellStyle name="Normal 13 2 2 2 2 2 3" xfId="23753"/>
    <cellStyle name="Normal 13 2 2 2 2 2 4" xfId="30720"/>
    <cellStyle name="Normal 13 2 2 2 2 2 5" xfId="37689"/>
    <cellStyle name="Normal 13 2 2 2 2 3" xfId="14466"/>
    <cellStyle name="Normal 13 2 2 2 2 3 2" xfId="21433"/>
    <cellStyle name="Normal 13 2 2 2 2 3 3" xfId="28400"/>
    <cellStyle name="Normal 13 2 2 2 2 3 4" xfId="35369"/>
    <cellStyle name="Normal 13 2 2 2 2 4" xfId="12144"/>
    <cellStyle name="Normal 13 2 2 2 2 5" xfId="19111"/>
    <cellStyle name="Normal 13 2 2 2 2 6" xfId="26078"/>
    <cellStyle name="Normal 13 2 2 2 2 7" xfId="33046"/>
    <cellStyle name="Normal 13 2 2 2 3" xfId="8856"/>
    <cellStyle name="Normal 13 2 2 2 3 2" xfId="15912"/>
    <cellStyle name="Normal 13 2 2 2 3 3" xfId="22879"/>
    <cellStyle name="Normal 13 2 2 2 3 4" xfId="29846"/>
    <cellStyle name="Normal 13 2 2 2 3 5" xfId="36815"/>
    <cellStyle name="Normal 13 2 2 2 4" xfId="13590"/>
    <cellStyle name="Normal 13 2 2 2 4 2" xfId="20557"/>
    <cellStyle name="Normal 13 2 2 2 4 3" xfId="27524"/>
    <cellStyle name="Normal 13 2 2 2 4 4" xfId="34493"/>
    <cellStyle name="Normal 13 2 2 2 5" xfId="11268"/>
    <cellStyle name="Normal 13 2 2 2 6" xfId="18235"/>
    <cellStyle name="Normal 13 2 2 2 7" xfId="25202"/>
    <cellStyle name="Normal 13 2 2 2 8" xfId="32170"/>
    <cellStyle name="Normal 13 2 2 3" xfId="3428"/>
    <cellStyle name="Normal 13 2 2 3 2" xfId="4914"/>
    <cellStyle name="Normal 13 2 2 3 2 2" xfId="9789"/>
    <cellStyle name="Normal 13 2 2 3 2 2 2" xfId="16787"/>
    <cellStyle name="Normal 13 2 2 3 2 2 3" xfId="23754"/>
    <cellStyle name="Normal 13 2 2 3 2 2 4" xfId="30721"/>
    <cellStyle name="Normal 13 2 2 3 2 2 5" xfId="37690"/>
    <cellStyle name="Normal 13 2 2 3 2 3" xfId="14467"/>
    <cellStyle name="Normal 13 2 2 3 2 3 2" xfId="21434"/>
    <cellStyle name="Normal 13 2 2 3 2 3 3" xfId="28401"/>
    <cellStyle name="Normal 13 2 2 3 2 3 4" xfId="35370"/>
    <cellStyle name="Normal 13 2 2 3 2 4" xfId="12145"/>
    <cellStyle name="Normal 13 2 2 3 2 5" xfId="19112"/>
    <cellStyle name="Normal 13 2 2 3 2 6" xfId="26079"/>
    <cellStyle name="Normal 13 2 2 3 2 7" xfId="33047"/>
    <cellStyle name="Normal 13 2 2 3 3" xfId="9040"/>
    <cellStyle name="Normal 13 2 2 3 3 2" xfId="16079"/>
    <cellStyle name="Normal 13 2 2 3 3 3" xfId="23046"/>
    <cellStyle name="Normal 13 2 2 3 3 4" xfId="30013"/>
    <cellStyle name="Normal 13 2 2 3 3 5" xfId="36982"/>
    <cellStyle name="Normal 13 2 2 3 4" xfId="13759"/>
    <cellStyle name="Normal 13 2 2 3 4 2" xfId="20726"/>
    <cellStyle name="Normal 13 2 2 3 4 3" xfId="27693"/>
    <cellStyle name="Normal 13 2 2 3 4 4" xfId="34662"/>
    <cellStyle name="Normal 13 2 2 3 5" xfId="11437"/>
    <cellStyle name="Normal 13 2 2 3 6" xfId="18404"/>
    <cellStyle name="Normal 13 2 2 3 7" xfId="25371"/>
    <cellStyle name="Normal 13 2 2 3 8" xfId="32339"/>
    <cellStyle name="Normal 13 2 2 4" xfId="3603"/>
    <cellStyle name="Normal 13 2 2 4 2" xfId="4915"/>
    <cellStyle name="Normal 13 2 2 4 2 2" xfId="9790"/>
    <cellStyle name="Normal 13 2 2 4 2 2 2" xfId="16788"/>
    <cellStyle name="Normal 13 2 2 4 2 2 3" xfId="23755"/>
    <cellStyle name="Normal 13 2 2 4 2 2 4" xfId="30722"/>
    <cellStyle name="Normal 13 2 2 4 2 2 5" xfId="37691"/>
    <cellStyle name="Normal 13 2 2 4 2 3" xfId="14468"/>
    <cellStyle name="Normal 13 2 2 4 2 3 2" xfId="21435"/>
    <cellStyle name="Normal 13 2 2 4 2 3 3" xfId="28402"/>
    <cellStyle name="Normal 13 2 2 4 2 3 4" xfId="35371"/>
    <cellStyle name="Normal 13 2 2 4 2 4" xfId="12146"/>
    <cellStyle name="Normal 13 2 2 4 2 5" xfId="19113"/>
    <cellStyle name="Normal 13 2 2 4 2 6" xfId="26080"/>
    <cellStyle name="Normal 13 2 2 4 2 7" xfId="33048"/>
    <cellStyle name="Normal 13 2 2 4 3" xfId="9211"/>
    <cellStyle name="Normal 13 2 2 4 3 2" xfId="16250"/>
    <cellStyle name="Normal 13 2 2 4 3 3" xfId="23217"/>
    <cellStyle name="Normal 13 2 2 4 3 4" xfId="30184"/>
    <cellStyle name="Normal 13 2 2 4 3 5" xfId="37153"/>
    <cellStyle name="Normal 13 2 2 4 4" xfId="13930"/>
    <cellStyle name="Normal 13 2 2 4 4 2" xfId="20897"/>
    <cellStyle name="Normal 13 2 2 4 4 3" xfId="27864"/>
    <cellStyle name="Normal 13 2 2 4 4 4" xfId="34833"/>
    <cellStyle name="Normal 13 2 2 4 5" xfId="11608"/>
    <cellStyle name="Normal 13 2 2 4 6" xfId="18575"/>
    <cellStyle name="Normal 13 2 2 4 7" xfId="25542"/>
    <cellStyle name="Normal 13 2 2 4 8" xfId="32510"/>
    <cellStyle name="Normal 13 2 2 5" xfId="3878"/>
    <cellStyle name="Normal 13 2 2 5 2" xfId="4916"/>
    <cellStyle name="Normal 13 2 2 5 2 2" xfId="9791"/>
    <cellStyle name="Normal 13 2 2 5 2 2 2" xfId="16789"/>
    <cellStyle name="Normal 13 2 2 5 2 2 3" xfId="23756"/>
    <cellStyle name="Normal 13 2 2 5 2 2 4" xfId="30723"/>
    <cellStyle name="Normal 13 2 2 5 2 2 5" xfId="37692"/>
    <cellStyle name="Normal 13 2 2 5 2 3" xfId="14469"/>
    <cellStyle name="Normal 13 2 2 5 2 3 2" xfId="21436"/>
    <cellStyle name="Normal 13 2 2 5 2 3 3" xfId="28403"/>
    <cellStyle name="Normal 13 2 2 5 2 3 4" xfId="35372"/>
    <cellStyle name="Normal 13 2 2 5 2 4" xfId="12147"/>
    <cellStyle name="Normal 13 2 2 5 2 5" xfId="19114"/>
    <cellStyle name="Normal 13 2 2 5 2 6" xfId="26081"/>
    <cellStyle name="Normal 13 2 2 5 2 7" xfId="33049"/>
    <cellStyle name="Normal 13 2 2 5 3" xfId="9484"/>
    <cellStyle name="Normal 13 2 2 5 3 2" xfId="16521"/>
    <cellStyle name="Normal 13 2 2 5 3 3" xfId="23488"/>
    <cellStyle name="Normal 13 2 2 5 3 4" xfId="30455"/>
    <cellStyle name="Normal 13 2 2 5 3 5" xfId="37424"/>
    <cellStyle name="Normal 13 2 2 5 4" xfId="14201"/>
    <cellStyle name="Normal 13 2 2 5 4 2" xfId="21168"/>
    <cellStyle name="Normal 13 2 2 5 4 3" xfId="28135"/>
    <cellStyle name="Normal 13 2 2 5 4 4" xfId="35104"/>
    <cellStyle name="Normal 13 2 2 5 5" xfId="11879"/>
    <cellStyle name="Normal 13 2 2 5 6" xfId="18846"/>
    <cellStyle name="Normal 13 2 2 5 7" xfId="25813"/>
    <cellStyle name="Normal 13 2 2 5 8" xfId="32781"/>
    <cellStyle name="Normal 13 2 2 6" xfId="4912"/>
    <cellStyle name="Normal 13 2 2 6 2" xfId="9787"/>
    <cellStyle name="Normal 13 2 2 6 2 2" xfId="16785"/>
    <cellStyle name="Normal 13 2 2 6 2 3" xfId="23752"/>
    <cellStyle name="Normal 13 2 2 6 2 4" xfId="30719"/>
    <cellStyle name="Normal 13 2 2 6 2 5" xfId="37688"/>
    <cellStyle name="Normal 13 2 2 6 3" xfId="14465"/>
    <cellStyle name="Normal 13 2 2 6 3 2" xfId="21432"/>
    <cellStyle name="Normal 13 2 2 6 3 3" xfId="28399"/>
    <cellStyle name="Normal 13 2 2 6 3 4" xfId="35368"/>
    <cellStyle name="Normal 13 2 2 6 4" xfId="12143"/>
    <cellStyle name="Normal 13 2 2 6 5" xfId="19110"/>
    <cellStyle name="Normal 13 2 2 6 6" xfId="26077"/>
    <cellStyle name="Normal 13 2 2 6 7" xfId="33045"/>
    <cellStyle name="Normal 13 2 2 7" xfId="6768"/>
    <cellStyle name="Normal 13 2 2 7 2" xfId="10741"/>
    <cellStyle name="Normal 13 2 2 7 2 2" xfId="17716"/>
    <cellStyle name="Normal 13 2 2 7 2 3" xfId="24683"/>
    <cellStyle name="Normal 13 2 2 7 2 4" xfId="31650"/>
    <cellStyle name="Normal 13 2 2 7 2 5" xfId="38619"/>
    <cellStyle name="Normal 13 2 2 7 3" xfId="15396"/>
    <cellStyle name="Normal 13 2 2 7 3 2" xfId="22363"/>
    <cellStyle name="Normal 13 2 2 7 3 3" xfId="29330"/>
    <cellStyle name="Normal 13 2 2 7 3 4" xfId="36299"/>
    <cellStyle name="Normal 13 2 2 7 4" xfId="13074"/>
    <cellStyle name="Normal 13 2 2 7 5" xfId="20041"/>
    <cellStyle name="Normal 13 2 2 7 6" xfId="27008"/>
    <cellStyle name="Normal 13 2 2 7 7" xfId="33977"/>
    <cellStyle name="Normal 13 2 2 8" xfId="7085"/>
    <cellStyle name="Normal 13 2 2 8 2" xfId="15569"/>
    <cellStyle name="Normal 13 2 2 8 2 2" xfId="22536"/>
    <cellStyle name="Normal 13 2 2 8 2 3" xfId="29503"/>
    <cellStyle name="Normal 13 2 2 8 2 4" xfId="36472"/>
    <cellStyle name="Normal 13 2 2 8 3" xfId="13247"/>
    <cellStyle name="Normal 13 2 2 8 4" xfId="20214"/>
    <cellStyle name="Normal 13 2 2 8 5" xfId="27181"/>
    <cellStyle name="Normal 13 2 2 8 6" xfId="34150"/>
    <cellStyle name="Normal 13 2 2 9" xfId="7945"/>
    <cellStyle name="Normal 13 2 2 9 2" xfId="15741"/>
    <cellStyle name="Normal 13 2 2 9 2 2" xfId="22708"/>
    <cellStyle name="Normal 13 2 2 9 2 3" xfId="29675"/>
    <cellStyle name="Normal 13 2 2 9 2 4" xfId="36644"/>
    <cellStyle name="Normal 13 2 2 9 3" xfId="11097"/>
    <cellStyle name="Normal 13 2 2 9 4" xfId="18064"/>
    <cellStyle name="Normal 13 2 2 9 5" xfId="25031"/>
    <cellStyle name="Normal 13 2 2 9 6" xfId="31999"/>
    <cellStyle name="Normal 13 2 3" xfId="3221"/>
    <cellStyle name="Normal 13 2 3 2" xfId="4917"/>
    <cellStyle name="Normal 13 2 3 2 2" xfId="9792"/>
    <cellStyle name="Normal 13 2 3 2 2 2" xfId="16790"/>
    <cellStyle name="Normal 13 2 3 2 2 3" xfId="23757"/>
    <cellStyle name="Normal 13 2 3 2 2 4" xfId="30724"/>
    <cellStyle name="Normal 13 2 3 2 2 5" xfId="37693"/>
    <cellStyle name="Normal 13 2 3 2 3" xfId="14470"/>
    <cellStyle name="Normal 13 2 3 2 3 2" xfId="21437"/>
    <cellStyle name="Normal 13 2 3 2 3 3" xfId="28404"/>
    <cellStyle name="Normal 13 2 3 2 3 4" xfId="35373"/>
    <cellStyle name="Normal 13 2 3 2 4" xfId="12148"/>
    <cellStyle name="Normal 13 2 3 2 5" xfId="19115"/>
    <cellStyle name="Normal 13 2 3 2 6" xfId="26082"/>
    <cellStyle name="Normal 13 2 3 2 7" xfId="33050"/>
    <cellStyle name="Normal 13 2 3 3" xfId="8855"/>
    <cellStyle name="Normal 13 2 3 3 2" xfId="15911"/>
    <cellStyle name="Normal 13 2 3 3 3" xfId="22878"/>
    <cellStyle name="Normal 13 2 3 3 4" xfId="29845"/>
    <cellStyle name="Normal 13 2 3 3 5" xfId="36814"/>
    <cellStyle name="Normal 13 2 3 4" xfId="13589"/>
    <cellStyle name="Normal 13 2 3 4 2" xfId="20556"/>
    <cellStyle name="Normal 13 2 3 4 3" xfId="27523"/>
    <cellStyle name="Normal 13 2 3 4 4" xfId="34492"/>
    <cellStyle name="Normal 13 2 3 5" xfId="11267"/>
    <cellStyle name="Normal 13 2 3 6" xfId="18234"/>
    <cellStyle name="Normal 13 2 3 7" xfId="25201"/>
    <cellStyle name="Normal 13 2 3 8" xfId="32169"/>
    <cellStyle name="Normal 13 2 4" xfId="3427"/>
    <cellStyle name="Normal 13 2 4 2" xfId="4918"/>
    <cellStyle name="Normal 13 2 4 2 2" xfId="9793"/>
    <cellStyle name="Normal 13 2 4 2 2 2" xfId="16791"/>
    <cellStyle name="Normal 13 2 4 2 2 3" xfId="23758"/>
    <cellStyle name="Normal 13 2 4 2 2 4" xfId="30725"/>
    <cellStyle name="Normal 13 2 4 2 2 5" xfId="37694"/>
    <cellStyle name="Normal 13 2 4 2 3" xfId="14471"/>
    <cellStyle name="Normal 13 2 4 2 3 2" xfId="21438"/>
    <cellStyle name="Normal 13 2 4 2 3 3" xfId="28405"/>
    <cellStyle name="Normal 13 2 4 2 3 4" xfId="35374"/>
    <cellStyle name="Normal 13 2 4 2 4" xfId="12149"/>
    <cellStyle name="Normal 13 2 4 2 5" xfId="19116"/>
    <cellStyle name="Normal 13 2 4 2 6" xfId="26083"/>
    <cellStyle name="Normal 13 2 4 2 7" xfId="33051"/>
    <cellStyle name="Normal 13 2 4 3" xfId="9039"/>
    <cellStyle name="Normal 13 2 4 3 2" xfId="16078"/>
    <cellStyle name="Normal 13 2 4 3 3" xfId="23045"/>
    <cellStyle name="Normal 13 2 4 3 4" xfId="30012"/>
    <cellStyle name="Normal 13 2 4 3 5" xfId="36981"/>
    <cellStyle name="Normal 13 2 4 4" xfId="13758"/>
    <cellStyle name="Normal 13 2 4 4 2" xfId="20725"/>
    <cellStyle name="Normal 13 2 4 4 3" xfId="27692"/>
    <cellStyle name="Normal 13 2 4 4 4" xfId="34661"/>
    <cellStyle name="Normal 13 2 4 5" xfId="11436"/>
    <cellStyle name="Normal 13 2 4 6" xfId="18403"/>
    <cellStyle name="Normal 13 2 4 7" xfId="25370"/>
    <cellStyle name="Normal 13 2 4 8" xfId="32338"/>
    <cellStyle name="Normal 13 2 5" xfId="3602"/>
    <cellStyle name="Normal 13 2 5 2" xfId="4919"/>
    <cellStyle name="Normal 13 2 5 2 2" xfId="9794"/>
    <cellStyle name="Normal 13 2 5 2 2 2" xfId="16792"/>
    <cellStyle name="Normal 13 2 5 2 2 3" xfId="23759"/>
    <cellStyle name="Normal 13 2 5 2 2 4" xfId="30726"/>
    <cellStyle name="Normal 13 2 5 2 2 5" xfId="37695"/>
    <cellStyle name="Normal 13 2 5 2 3" xfId="14472"/>
    <cellStyle name="Normal 13 2 5 2 3 2" xfId="21439"/>
    <cellStyle name="Normal 13 2 5 2 3 3" xfId="28406"/>
    <cellStyle name="Normal 13 2 5 2 3 4" xfId="35375"/>
    <cellStyle name="Normal 13 2 5 2 4" xfId="12150"/>
    <cellStyle name="Normal 13 2 5 2 5" xfId="19117"/>
    <cellStyle name="Normal 13 2 5 2 6" xfId="26084"/>
    <cellStyle name="Normal 13 2 5 2 7" xfId="33052"/>
    <cellStyle name="Normal 13 2 5 3" xfId="9210"/>
    <cellStyle name="Normal 13 2 5 3 2" xfId="16249"/>
    <cellStyle name="Normal 13 2 5 3 3" xfId="23216"/>
    <cellStyle name="Normal 13 2 5 3 4" xfId="30183"/>
    <cellStyle name="Normal 13 2 5 3 5" xfId="37152"/>
    <cellStyle name="Normal 13 2 5 4" xfId="13929"/>
    <cellStyle name="Normal 13 2 5 4 2" xfId="20896"/>
    <cellStyle name="Normal 13 2 5 4 3" xfId="27863"/>
    <cellStyle name="Normal 13 2 5 4 4" xfId="34832"/>
    <cellStyle name="Normal 13 2 5 5" xfId="11607"/>
    <cellStyle name="Normal 13 2 5 6" xfId="18574"/>
    <cellStyle name="Normal 13 2 5 7" xfId="25541"/>
    <cellStyle name="Normal 13 2 5 8" xfId="32509"/>
    <cellStyle name="Normal 13 2 6" xfId="3877"/>
    <cellStyle name="Normal 13 2 6 2" xfId="4920"/>
    <cellStyle name="Normal 13 2 6 2 2" xfId="9795"/>
    <cellStyle name="Normal 13 2 6 2 2 2" xfId="16793"/>
    <cellStyle name="Normal 13 2 6 2 2 3" xfId="23760"/>
    <cellStyle name="Normal 13 2 6 2 2 4" xfId="30727"/>
    <cellStyle name="Normal 13 2 6 2 2 5" xfId="37696"/>
    <cellStyle name="Normal 13 2 6 2 3" xfId="14473"/>
    <cellStyle name="Normal 13 2 6 2 3 2" xfId="21440"/>
    <cellStyle name="Normal 13 2 6 2 3 3" xfId="28407"/>
    <cellStyle name="Normal 13 2 6 2 3 4" xfId="35376"/>
    <cellStyle name="Normal 13 2 6 2 4" xfId="12151"/>
    <cellStyle name="Normal 13 2 6 2 5" xfId="19118"/>
    <cellStyle name="Normal 13 2 6 2 6" xfId="26085"/>
    <cellStyle name="Normal 13 2 6 2 7" xfId="33053"/>
    <cellStyle name="Normal 13 2 6 3" xfId="9483"/>
    <cellStyle name="Normal 13 2 6 3 2" xfId="16520"/>
    <cellStyle name="Normal 13 2 6 3 3" xfId="23487"/>
    <cellStyle name="Normal 13 2 6 3 4" xfId="30454"/>
    <cellStyle name="Normal 13 2 6 3 5" xfId="37423"/>
    <cellStyle name="Normal 13 2 6 4" xfId="14200"/>
    <cellStyle name="Normal 13 2 6 4 2" xfId="21167"/>
    <cellStyle name="Normal 13 2 6 4 3" xfId="28134"/>
    <cellStyle name="Normal 13 2 6 4 4" xfId="35103"/>
    <cellStyle name="Normal 13 2 6 5" xfId="11878"/>
    <cellStyle name="Normal 13 2 6 6" xfId="18845"/>
    <cellStyle name="Normal 13 2 6 7" xfId="25812"/>
    <cellStyle name="Normal 13 2 6 8" xfId="32780"/>
    <cellStyle name="Normal 13 2 7" xfId="4911"/>
    <cellStyle name="Normal 13 2 7 2" xfId="9786"/>
    <cellStyle name="Normal 13 2 7 2 2" xfId="16784"/>
    <cellStyle name="Normal 13 2 7 2 3" xfId="23751"/>
    <cellStyle name="Normal 13 2 7 2 4" xfId="30718"/>
    <cellStyle name="Normal 13 2 7 2 5" xfId="37687"/>
    <cellStyle name="Normal 13 2 7 3" xfId="14464"/>
    <cellStyle name="Normal 13 2 7 3 2" xfId="21431"/>
    <cellStyle name="Normal 13 2 7 3 3" xfId="28398"/>
    <cellStyle name="Normal 13 2 7 3 4" xfId="35367"/>
    <cellStyle name="Normal 13 2 7 4" xfId="12142"/>
    <cellStyle name="Normal 13 2 7 5" xfId="19109"/>
    <cellStyle name="Normal 13 2 7 6" xfId="26076"/>
    <cellStyle name="Normal 13 2 7 7" xfId="33044"/>
    <cellStyle name="Normal 13 2 8" xfId="6767"/>
    <cellStyle name="Normal 13 2 8 2" xfId="10740"/>
    <cellStyle name="Normal 13 2 8 2 2" xfId="17715"/>
    <cellStyle name="Normal 13 2 8 2 3" xfId="24682"/>
    <cellStyle name="Normal 13 2 8 2 4" xfId="31649"/>
    <cellStyle name="Normal 13 2 8 2 5" xfId="38618"/>
    <cellStyle name="Normal 13 2 8 3" xfId="15395"/>
    <cellStyle name="Normal 13 2 8 3 2" xfId="22362"/>
    <cellStyle name="Normal 13 2 8 3 3" xfId="29329"/>
    <cellStyle name="Normal 13 2 8 3 4" xfId="36298"/>
    <cellStyle name="Normal 13 2 8 4" xfId="13073"/>
    <cellStyle name="Normal 13 2 8 5" xfId="20040"/>
    <cellStyle name="Normal 13 2 8 6" xfId="27007"/>
    <cellStyle name="Normal 13 2 8 7" xfId="33976"/>
    <cellStyle name="Normal 13 2 9" xfId="7084"/>
    <cellStyle name="Normal 13 2 9 2" xfId="15568"/>
    <cellStyle name="Normal 13 2 9 2 2" xfId="22535"/>
    <cellStyle name="Normal 13 2 9 2 3" xfId="29502"/>
    <cellStyle name="Normal 13 2 9 2 4" xfId="36471"/>
    <cellStyle name="Normal 13 2 9 3" xfId="13246"/>
    <cellStyle name="Normal 13 2 9 4" xfId="20213"/>
    <cellStyle name="Normal 13 2 9 5" xfId="27180"/>
    <cellStyle name="Normal 13 2 9 6" xfId="34149"/>
    <cellStyle name="Normal 13 3" xfId="1374"/>
    <cellStyle name="Normal 13 3 10" xfId="13420"/>
    <cellStyle name="Normal 13 3 10 2" xfId="20387"/>
    <cellStyle name="Normal 13 3 10 3" xfId="27354"/>
    <cellStyle name="Normal 13 3 10 4" xfId="34323"/>
    <cellStyle name="Normal 13 3 11" xfId="10926"/>
    <cellStyle name="Normal 13 3 12" xfId="17892"/>
    <cellStyle name="Normal 13 3 13" xfId="24860"/>
    <cellStyle name="Normal 13 3 14" xfId="31828"/>
    <cellStyle name="Normal 13 3 2" xfId="3223"/>
    <cellStyle name="Normal 13 3 2 2" xfId="4922"/>
    <cellStyle name="Normal 13 3 2 2 2" xfId="9797"/>
    <cellStyle name="Normal 13 3 2 2 2 2" xfId="16795"/>
    <cellStyle name="Normal 13 3 2 2 2 3" xfId="23762"/>
    <cellStyle name="Normal 13 3 2 2 2 4" xfId="30729"/>
    <cellStyle name="Normal 13 3 2 2 2 5" xfId="37698"/>
    <cellStyle name="Normal 13 3 2 2 3" xfId="14475"/>
    <cellStyle name="Normal 13 3 2 2 3 2" xfId="21442"/>
    <cellStyle name="Normal 13 3 2 2 3 3" xfId="28409"/>
    <cellStyle name="Normal 13 3 2 2 3 4" xfId="35378"/>
    <cellStyle name="Normal 13 3 2 2 4" xfId="12153"/>
    <cellStyle name="Normal 13 3 2 2 5" xfId="19120"/>
    <cellStyle name="Normal 13 3 2 2 6" xfId="26087"/>
    <cellStyle name="Normal 13 3 2 2 7" xfId="33055"/>
    <cellStyle name="Normal 13 3 2 3" xfId="8857"/>
    <cellStyle name="Normal 13 3 2 3 2" xfId="15913"/>
    <cellStyle name="Normal 13 3 2 3 3" xfId="22880"/>
    <cellStyle name="Normal 13 3 2 3 4" xfId="29847"/>
    <cellStyle name="Normal 13 3 2 3 5" xfId="36816"/>
    <cellStyle name="Normal 13 3 2 4" xfId="13591"/>
    <cellStyle name="Normal 13 3 2 4 2" xfId="20558"/>
    <cellStyle name="Normal 13 3 2 4 3" xfId="27525"/>
    <cellStyle name="Normal 13 3 2 4 4" xfId="34494"/>
    <cellStyle name="Normal 13 3 2 5" xfId="11269"/>
    <cellStyle name="Normal 13 3 2 6" xfId="18236"/>
    <cellStyle name="Normal 13 3 2 7" xfId="25203"/>
    <cellStyle name="Normal 13 3 2 8" xfId="32171"/>
    <cellStyle name="Normal 13 3 3" xfId="3429"/>
    <cellStyle name="Normal 13 3 3 2" xfId="4923"/>
    <cellStyle name="Normal 13 3 3 2 2" xfId="9798"/>
    <cellStyle name="Normal 13 3 3 2 2 2" xfId="16796"/>
    <cellStyle name="Normal 13 3 3 2 2 3" xfId="23763"/>
    <cellStyle name="Normal 13 3 3 2 2 4" xfId="30730"/>
    <cellStyle name="Normal 13 3 3 2 2 5" xfId="37699"/>
    <cellStyle name="Normal 13 3 3 2 3" xfId="14476"/>
    <cellStyle name="Normal 13 3 3 2 3 2" xfId="21443"/>
    <cellStyle name="Normal 13 3 3 2 3 3" xfId="28410"/>
    <cellStyle name="Normal 13 3 3 2 3 4" xfId="35379"/>
    <cellStyle name="Normal 13 3 3 2 4" xfId="12154"/>
    <cellStyle name="Normal 13 3 3 2 5" xfId="19121"/>
    <cellStyle name="Normal 13 3 3 2 6" xfId="26088"/>
    <cellStyle name="Normal 13 3 3 2 7" xfId="33056"/>
    <cellStyle name="Normal 13 3 3 3" xfId="9041"/>
    <cellStyle name="Normal 13 3 3 3 2" xfId="16080"/>
    <cellStyle name="Normal 13 3 3 3 3" xfId="23047"/>
    <cellStyle name="Normal 13 3 3 3 4" xfId="30014"/>
    <cellStyle name="Normal 13 3 3 3 5" xfId="36983"/>
    <cellStyle name="Normal 13 3 3 4" xfId="13760"/>
    <cellStyle name="Normal 13 3 3 4 2" xfId="20727"/>
    <cellStyle name="Normal 13 3 3 4 3" xfId="27694"/>
    <cellStyle name="Normal 13 3 3 4 4" xfId="34663"/>
    <cellStyle name="Normal 13 3 3 5" xfId="11438"/>
    <cellStyle name="Normal 13 3 3 6" xfId="18405"/>
    <cellStyle name="Normal 13 3 3 7" xfId="25372"/>
    <cellStyle name="Normal 13 3 3 8" xfId="32340"/>
    <cellStyle name="Normal 13 3 4" xfId="3604"/>
    <cellStyle name="Normal 13 3 4 2" xfId="4924"/>
    <cellStyle name="Normal 13 3 4 2 2" xfId="9799"/>
    <cellStyle name="Normal 13 3 4 2 2 2" xfId="16797"/>
    <cellStyle name="Normal 13 3 4 2 2 3" xfId="23764"/>
    <cellStyle name="Normal 13 3 4 2 2 4" xfId="30731"/>
    <cellStyle name="Normal 13 3 4 2 2 5" xfId="37700"/>
    <cellStyle name="Normal 13 3 4 2 3" xfId="14477"/>
    <cellStyle name="Normal 13 3 4 2 3 2" xfId="21444"/>
    <cellStyle name="Normal 13 3 4 2 3 3" xfId="28411"/>
    <cellStyle name="Normal 13 3 4 2 3 4" xfId="35380"/>
    <cellStyle name="Normal 13 3 4 2 4" xfId="12155"/>
    <cellStyle name="Normal 13 3 4 2 5" xfId="19122"/>
    <cellStyle name="Normal 13 3 4 2 6" xfId="26089"/>
    <cellStyle name="Normal 13 3 4 2 7" xfId="33057"/>
    <cellStyle name="Normal 13 3 4 3" xfId="9212"/>
    <cellStyle name="Normal 13 3 4 3 2" xfId="16251"/>
    <cellStyle name="Normal 13 3 4 3 3" xfId="23218"/>
    <cellStyle name="Normal 13 3 4 3 4" xfId="30185"/>
    <cellStyle name="Normal 13 3 4 3 5" xfId="37154"/>
    <cellStyle name="Normal 13 3 4 4" xfId="13931"/>
    <cellStyle name="Normal 13 3 4 4 2" xfId="20898"/>
    <cellStyle name="Normal 13 3 4 4 3" xfId="27865"/>
    <cellStyle name="Normal 13 3 4 4 4" xfId="34834"/>
    <cellStyle name="Normal 13 3 4 5" xfId="11609"/>
    <cellStyle name="Normal 13 3 4 6" xfId="18576"/>
    <cellStyle name="Normal 13 3 4 7" xfId="25543"/>
    <cellStyle name="Normal 13 3 4 8" xfId="32511"/>
    <cellStyle name="Normal 13 3 5" xfId="3879"/>
    <cellStyle name="Normal 13 3 5 2" xfId="4925"/>
    <cellStyle name="Normal 13 3 5 2 2" xfId="9800"/>
    <cellStyle name="Normal 13 3 5 2 2 2" xfId="16798"/>
    <cellStyle name="Normal 13 3 5 2 2 3" xfId="23765"/>
    <cellStyle name="Normal 13 3 5 2 2 4" xfId="30732"/>
    <cellStyle name="Normal 13 3 5 2 2 5" xfId="37701"/>
    <cellStyle name="Normal 13 3 5 2 3" xfId="14478"/>
    <cellStyle name="Normal 13 3 5 2 3 2" xfId="21445"/>
    <cellStyle name="Normal 13 3 5 2 3 3" xfId="28412"/>
    <cellStyle name="Normal 13 3 5 2 3 4" xfId="35381"/>
    <cellStyle name="Normal 13 3 5 2 4" xfId="12156"/>
    <cellStyle name="Normal 13 3 5 2 5" xfId="19123"/>
    <cellStyle name="Normal 13 3 5 2 6" xfId="26090"/>
    <cellStyle name="Normal 13 3 5 2 7" xfId="33058"/>
    <cellStyle name="Normal 13 3 5 3" xfId="9485"/>
    <cellStyle name="Normal 13 3 5 3 2" xfId="16522"/>
    <cellStyle name="Normal 13 3 5 3 3" xfId="23489"/>
    <cellStyle name="Normal 13 3 5 3 4" xfId="30456"/>
    <cellStyle name="Normal 13 3 5 3 5" xfId="37425"/>
    <cellStyle name="Normal 13 3 5 4" xfId="14202"/>
    <cellStyle name="Normal 13 3 5 4 2" xfId="21169"/>
    <cellStyle name="Normal 13 3 5 4 3" xfId="28136"/>
    <cellStyle name="Normal 13 3 5 4 4" xfId="35105"/>
    <cellStyle name="Normal 13 3 5 5" xfId="11880"/>
    <cellStyle name="Normal 13 3 5 6" xfId="18847"/>
    <cellStyle name="Normal 13 3 5 7" xfId="25814"/>
    <cellStyle name="Normal 13 3 5 8" xfId="32782"/>
    <cellStyle name="Normal 13 3 6" xfId="4921"/>
    <cellStyle name="Normal 13 3 6 2" xfId="9796"/>
    <cellStyle name="Normal 13 3 6 2 2" xfId="16794"/>
    <cellStyle name="Normal 13 3 6 2 3" xfId="23761"/>
    <cellStyle name="Normal 13 3 6 2 4" xfId="30728"/>
    <cellStyle name="Normal 13 3 6 2 5" xfId="37697"/>
    <cellStyle name="Normal 13 3 6 3" xfId="14474"/>
    <cellStyle name="Normal 13 3 6 3 2" xfId="21441"/>
    <cellStyle name="Normal 13 3 6 3 3" xfId="28408"/>
    <cellStyle name="Normal 13 3 6 3 4" xfId="35377"/>
    <cellStyle name="Normal 13 3 6 4" xfId="12152"/>
    <cellStyle name="Normal 13 3 6 5" xfId="19119"/>
    <cellStyle name="Normal 13 3 6 6" xfId="26086"/>
    <cellStyle name="Normal 13 3 6 7" xfId="33054"/>
    <cellStyle name="Normal 13 3 7" xfId="6769"/>
    <cellStyle name="Normal 13 3 7 2" xfId="10742"/>
    <cellStyle name="Normal 13 3 7 2 2" xfId="17717"/>
    <cellStyle name="Normal 13 3 7 2 3" xfId="24684"/>
    <cellStyle name="Normal 13 3 7 2 4" xfId="31651"/>
    <cellStyle name="Normal 13 3 7 2 5" xfId="38620"/>
    <cellStyle name="Normal 13 3 7 3" xfId="15397"/>
    <cellStyle name="Normal 13 3 7 3 2" xfId="22364"/>
    <cellStyle name="Normal 13 3 7 3 3" xfId="29331"/>
    <cellStyle name="Normal 13 3 7 3 4" xfId="36300"/>
    <cellStyle name="Normal 13 3 7 4" xfId="13075"/>
    <cellStyle name="Normal 13 3 7 5" xfId="20042"/>
    <cellStyle name="Normal 13 3 7 6" xfId="27009"/>
    <cellStyle name="Normal 13 3 7 7" xfId="33978"/>
    <cellStyle name="Normal 13 3 8" xfId="7086"/>
    <cellStyle name="Normal 13 3 8 2" xfId="15570"/>
    <cellStyle name="Normal 13 3 8 2 2" xfId="22537"/>
    <cellStyle name="Normal 13 3 8 2 3" xfId="29504"/>
    <cellStyle name="Normal 13 3 8 2 4" xfId="36473"/>
    <cellStyle name="Normal 13 3 8 3" xfId="13248"/>
    <cellStyle name="Normal 13 3 8 4" xfId="20215"/>
    <cellStyle name="Normal 13 3 8 5" xfId="27182"/>
    <cellStyle name="Normal 13 3 8 6" xfId="34151"/>
    <cellStyle name="Normal 13 3 9" xfId="7946"/>
    <cellStyle name="Normal 13 3 9 2" xfId="15742"/>
    <cellStyle name="Normal 13 3 9 2 2" xfId="22709"/>
    <cellStyle name="Normal 13 3 9 2 3" xfId="29676"/>
    <cellStyle name="Normal 13 3 9 2 4" xfId="36645"/>
    <cellStyle name="Normal 13 3 9 3" xfId="11098"/>
    <cellStyle name="Normal 13 3 9 4" xfId="18065"/>
    <cellStyle name="Normal 13 3 9 5" xfId="25032"/>
    <cellStyle name="Normal 13 3 9 6" xfId="32000"/>
    <cellStyle name="Normal 13 4" xfId="3220"/>
    <cellStyle name="Normal 13 4 2" xfId="4926"/>
    <cellStyle name="Normal 13 4 2 2" xfId="9801"/>
    <cellStyle name="Normal 13 4 2 2 2" xfId="16799"/>
    <cellStyle name="Normal 13 4 2 2 3" xfId="23766"/>
    <cellStyle name="Normal 13 4 2 2 4" xfId="30733"/>
    <cellStyle name="Normal 13 4 2 2 5" xfId="37702"/>
    <cellStyle name="Normal 13 4 2 3" xfId="14479"/>
    <cellStyle name="Normal 13 4 2 3 2" xfId="21446"/>
    <cellStyle name="Normal 13 4 2 3 3" xfId="28413"/>
    <cellStyle name="Normal 13 4 2 3 4" xfId="35382"/>
    <cellStyle name="Normal 13 4 2 4" xfId="12157"/>
    <cellStyle name="Normal 13 4 2 5" xfId="19124"/>
    <cellStyle name="Normal 13 4 2 6" xfId="26091"/>
    <cellStyle name="Normal 13 4 2 7" xfId="33059"/>
    <cellStyle name="Normal 13 4 3" xfId="8854"/>
    <cellStyle name="Normal 13 4 3 2" xfId="15910"/>
    <cellStyle name="Normal 13 4 3 3" xfId="22877"/>
    <cellStyle name="Normal 13 4 3 4" xfId="29844"/>
    <cellStyle name="Normal 13 4 3 5" xfId="36813"/>
    <cellStyle name="Normal 13 4 4" xfId="13588"/>
    <cellStyle name="Normal 13 4 4 2" xfId="20555"/>
    <cellStyle name="Normal 13 4 4 3" xfId="27522"/>
    <cellStyle name="Normal 13 4 4 4" xfId="34491"/>
    <cellStyle name="Normal 13 4 5" xfId="11266"/>
    <cellStyle name="Normal 13 4 6" xfId="18233"/>
    <cellStyle name="Normal 13 4 7" xfId="25200"/>
    <cellStyle name="Normal 13 4 8" xfId="32168"/>
    <cellStyle name="Normal 13 5" xfId="3426"/>
    <cellStyle name="Normal 13 5 2" xfId="4927"/>
    <cellStyle name="Normal 13 5 2 2" xfId="9802"/>
    <cellStyle name="Normal 13 5 2 2 2" xfId="16800"/>
    <cellStyle name="Normal 13 5 2 2 3" xfId="23767"/>
    <cellStyle name="Normal 13 5 2 2 4" xfId="30734"/>
    <cellStyle name="Normal 13 5 2 2 5" xfId="37703"/>
    <cellStyle name="Normal 13 5 2 3" xfId="14480"/>
    <cellStyle name="Normal 13 5 2 3 2" xfId="21447"/>
    <cellStyle name="Normal 13 5 2 3 3" xfId="28414"/>
    <cellStyle name="Normal 13 5 2 3 4" xfId="35383"/>
    <cellStyle name="Normal 13 5 2 4" xfId="12158"/>
    <cellStyle name="Normal 13 5 2 5" xfId="19125"/>
    <cellStyle name="Normal 13 5 2 6" xfId="26092"/>
    <cellStyle name="Normal 13 5 2 7" xfId="33060"/>
    <cellStyle name="Normal 13 5 3" xfId="9038"/>
    <cellStyle name="Normal 13 5 3 2" xfId="16077"/>
    <cellStyle name="Normal 13 5 3 3" xfId="23044"/>
    <cellStyle name="Normal 13 5 3 4" xfId="30011"/>
    <cellStyle name="Normal 13 5 3 5" xfId="36980"/>
    <cellStyle name="Normal 13 5 4" xfId="13757"/>
    <cellStyle name="Normal 13 5 4 2" xfId="20724"/>
    <cellStyle name="Normal 13 5 4 3" xfId="27691"/>
    <cellStyle name="Normal 13 5 4 4" xfId="34660"/>
    <cellStyle name="Normal 13 5 5" xfId="11435"/>
    <cellStyle name="Normal 13 5 6" xfId="18402"/>
    <cellStyle name="Normal 13 5 7" xfId="25369"/>
    <cellStyle name="Normal 13 5 8" xfId="32337"/>
    <cellStyle name="Normal 13 6" xfId="3601"/>
    <cellStyle name="Normal 13 6 2" xfId="4928"/>
    <cellStyle name="Normal 13 6 2 2" xfId="9803"/>
    <cellStyle name="Normal 13 6 2 2 2" xfId="16801"/>
    <cellStyle name="Normal 13 6 2 2 3" xfId="23768"/>
    <cellStyle name="Normal 13 6 2 2 4" xfId="30735"/>
    <cellStyle name="Normal 13 6 2 2 5" xfId="37704"/>
    <cellStyle name="Normal 13 6 2 3" xfId="14481"/>
    <cellStyle name="Normal 13 6 2 3 2" xfId="21448"/>
    <cellStyle name="Normal 13 6 2 3 3" xfId="28415"/>
    <cellStyle name="Normal 13 6 2 3 4" xfId="35384"/>
    <cellStyle name="Normal 13 6 2 4" xfId="12159"/>
    <cellStyle name="Normal 13 6 2 5" xfId="19126"/>
    <cellStyle name="Normal 13 6 2 6" xfId="26093"/>
    <cellStyle name="Normal 13 6 2 7" xfId="33061"/>
    <cellStyle name="Normal 13 6 3" xfId="9209"/>
    <cellStyle name="Normal 13 6 3 2" xfId="16248"/>
    <cellStyle name="Normal 13 6 3 3" xfId="23215"/>
    <cellStyle name="Normal 13 6 3 4" xfId="30182"/>
    <cellStyle name="Normal 13 6 3 5" xfId="37151"/>
    <cellStyle name="Normal 13 6 4" xfId="13928"/>
    <cellStyle name="Normal 13 6 4 2" xfId="20895"/>
    <cellStyle name="Normal 13 6 4 3" xfId="27862"/>
    <cellStyle name="Normal 13 6 4 4" xfId="34831"/>
    <cellStyle name="Normal 13 6 5" xfId="11606"/>
    <cellStyle name="Normal 13 6 6" xfId="18573"/>
    <cellStyle name="Normal 13 6 7" xfId="25540"/>
    <cellStyle name="Normal 13 6 8" xfId="32508"/>
    <cellStyle name="Normal 13 7" xfId="3876"/>
    <cellStyle name="Normal 13 7 2" xfId="4929"/>
    <cellStyle name="Normal 13 7 2 2" xfId="9804"/>
    <cellStyle name="Normal 13 7 2 2 2" xfId="16802"/>
    <cellStyle name="Normal 13 7 2 2 3" xfId="23769"/>
    <cellStyle name="Normal 13 7 2 2 4" xfId="30736"/>
    <cellStyle name="Normal 13 7 2 2 5" xfId="37705"/>
    <cellStyle name="Normal 13 7 2 3" xfId="14482"/>
    <cellStyle name="Normal 13 7 2 3 2" xfId="21449"/>
    <cellStyle name="Normal 13 7 2 3 3" xfId="28416"/>
    <cellStyle name="Normal 13 7 2 3 4" xfId="35385"/>
    <cellStyle name="Normal 13 7 2 4" xfId="12160"/>
    <cellStyle name="Normal 13 7 2 5" xfId="19127"/>
    <cellStyle name="Normal 13 7 2 6" xfId="26094"/>
    <cellStyle name="Normal 13 7 2 7" xfId="33062"/>
    <cellStyle name="Normal 13 7 3" xfId="9482"/>
    <cellStyle name="Normal 13 7 3 2" xfId="16519"/>
    <cellStyle name="Normal 13 7 3 3" xfId="23486"/>
    <cellStyle name="Normal 13 7 3 4" xfId="30453"/>
    <cellStyle name="Normal 13 7 3 5" xfId="37422"/>
    <cellStyle name="Normal 13 7 4" xfId="14199"/>
    <cellStyle name="Normal 13 7 4 2" xfId="21166"/>
    <cellStyle name="Normal 13 7 4 3" xfId="28133"/>
    <cellStyle name="Normal 13 7 4 4" xfId="35102"/>
    <cellStyle name="Normal 13 7 5" xfId="11877"/>
    <cellStyle name="Normal 13 7 6" xfId="18844"/>
    <cellStyle name="Normal 13 7 7" xfId="25811"/>
    <cellStyle name="Normal 13 7 8" xfId="32779"/>
    <cellStyle name="Normal 13 8" xfId="4910"/>
    <cellStyle name="Normal 13 8 2" xfId="9785"/>
    <cellStyle name="Normal 13 8 2 2" xfId="16783"/>
    <cellStyle name="Normal 13 8 2 3" xfId="23750"/>
    <cellStyle name="Normal 13 8 2 4" xfId="30717"/>
    <cellStyle name="Normal 13 8 2 5" xfId="37686"/>
    <cellStyle name="Normal 13 8 3" xfId="14463"/>
    <cellStyle name="Normal 13 8 3 2" xfId="21430"/>
    <cellStyle name="Normal 13 8 3 3" xfId="28397"/>
    <cellStyle name="Normal 13 8 3 4" xfId="35366"/>
    <cellStyle name="Normal 13 8 4" xfId="12141"/>
    <cellStyle name="Normal 13 8 5" xfId="19108"/>
    <cellStyle name="Normal 13 8 6" xfId="26075"/>
    <cellStyle name="Normal 13 8 7" xfId="33043"/>
    <cellStyle name="Normal 13 9" xfId="6766"/>
    <cellStyle name="Normal 13 9 2" xfId="10739"/>
    <cellStyle name="Normal 13 9 2 2" xfId="17714"/>
    <cellStyle name="Normal 13 9 2 3" xfId="24681"/>
    <cellStyle name="Normal 13 9 2 4" xfId="31648"/>
    <cellStyle name="Normal 13 9 2 5" xfId="38617"/>
    <cellStyle name="Normal 13 9 3" xfId="15394"/>
    <cellStyle name="Normal 13 9 3 2" xfId="22361"/>
    <cellStyle name="Normal 13 9 3 3" xfId="29328"/>
    <cellStyle name="Normal 13 9 3 4" xfId="36297"/>
    <cellStyle name="Normal 13 9 4" xfId="13072"/>
    <cellStyle name="Normal 13 9 5" xfId="20039"/>
    <cellStyle name="Normal 13 9 6" xfId="27006"/>
    <cellStyle name="Normal 13 9 7" xfId="33975"/>
    <cellStyle name="Normal 130" xfId="1375"/>
    <cellStyle name="Normal 130 2" xfId="1376"/>
    <cellStyle name="Normal 130 3" xfId="1377"/>
    <cellStyle name="Normal 131" xfId="1378"/>
    <cellStyle name="Normal 131 2" xfId="1379"/>
    <cellStyle name="Normal 131 3" xfId="1380"/>
    <cellStyle name="Normal 132" xfId="1381"/>
    <cellStyle name="Normal 132 2" xfId="1382"/>
    <cellStyle name="Normal 132 3" xfId="1383"/>
    <cellStyle name="Normal 133" xfId="1384"/>
    <cellStyle name="Normal 133 2" xfId="1385"/>
    <cellStyle name="Normal 133 3" xfId="1386"/>
    <cellStyle name="Normal 134" xfId="1387"/>
    <cellStyle name="Normal 134 2" xfId="1388"/>
    <cellStyle name="Normal 134 3" xfId="1389"/>
    <cellStyle name="Normal 135" xfId="1390"/>
    <cellStyle name="Normal 135 2" xfId="1391"/>
    <cellStyle name="Normal 135 3" xfId="1392"/>
    <cellStyle name="Normal 136" xfId="1393"/>
    <cellStyle name="Normal 136 2" xfId="1394"/>
    <cellStyle name="Normal 136 3" xfId="1395"/>
    <cellStyle name="Normal 137" xfId="1396"/>
    <cellStyle name="Normal 137 2" xfId="1397"/>
    <cellStyle name="Normal 137 3" xfId="1398"/>
    <cellStyle name="Normal 138" xfId="1399"/>
    <cellStyle name="Normal 138 2" xfId="1400"/>
    <cellStyle name="Normal 138 3" xfId="1401"/>
    <cellStyle name="Normal 139" xfId="1402"/>
    <cellStyle name="Normal 139 2" xfId="1403"/>
    <cellStyle name="Normal 139 3" xfId="1404"/>
    <cellStyle name="Normal 14" xfId="1405"/>
    <cellStyle name="Normal 14 10" xfId="7087"/>
    <cellStyle name="Normal 14 10 2" xfId="15571"/>
    <cellStyle name="Normal 14 10 2 2" xfId="22538"/>
    <cellStyle name="Normal 14 10 2 3" xfId="29505"/>
    <cellStyle name="Normal 14 10 2 4" xfId="36474"/>
    <cellStyle name="Normal 14 10 3" xfId="13249"/>
    <cellStyle name="Normal 14 10 4" xfId="20216"/>
    <cellStyle name="Normal 14 10 5" xfId="27183"/>
    <cellStyle name="Normal 14 10 6" xfId="34152"/>
    <cellStyle name="Normal 14 11" xfId="7947"/>
    <cellStyle name="Normal 14 11 2" xfId="15743"/>
    <cellStyle name="Normal 14 11 2 2" xfId="22710"/>
    <cellStyle name="Normal 14 11 2 3" xfId="29677"/>
    <cellStyle name="Normal 14 11 2 4" xfId="36646"/>
    <cellStyle name="Normal 14 11 3" xfId="11099"/>
    <cellStyle name="Normal 14 11 4" xfId="18066"/>
    <cellStyle name="Normal 14 11 5" xfId="25033"/>
    <cellStyle name="Normal 14 11 6" xfId="32001"/>
    <cellStyle name="Normal 14 12" xfId="13421"/>
    <cellStyle name="Normal 14 12 2" xfId="20388"/>
    <cellStyle name="Normal 14 12 3" xfId="27355"/>
    <cellStyle name="Normal 14 12 4" xfId="34324"/>
    <cellStyle name="Normal 14 13" xfId="10927"/>
    <cellStyle name="Normal 14 14" xfId="17893"/>
    <cellStyle name="Normal 14 15" xfId="24861"/>
    <cellStyle name="Normal 14 16" xfId="31829"/>
    <cellStyle name="Normal 14 2" xfId="1406"/>
    <cellStyle name="Normal 14 2 10" xfId="7948"/>
    <cellStyle name="Normal 14 2 10 2" xfId="15744"/>
    <cellStyle name="Normal 14 2 10 2 2" xfId="22711"/>
    <cellStyle name="Normal 14 2 10 2 3" xfId="29678"/>
    <cellStyle name="Normal 14 2 10 2 4" xfId="36647"/>
    <cellStyle name="Normal 14 2 10 3" xfId="11100"/>
    <cellStyle name="Normal 14 2 10 4" xfId="18067"/>
    <cellStyle name="Normal 14 2 10 5" xfId="25034"/>
    <cellStyle name="Normal 14 2 10 6" xfId="32002"/>
    <cellStyle name="Normal 14 2 11" xfId="13422"/>
    <cellStyle name="Normal 14 2 11 2" xfId="20389"/>
    <cellStyle name="Normal 14 2 11 3" xfId="27356"/>
    <cellStyle name="Normal 14 2 11 4" xfId="34325"/>
    <cellStyle name="Normal 14 2 12" xfId="10928"/>
    <cellStyle name="Normal 14 2 13" xfId="17894"/>
    <cellStyle name="Normal 14 2 14" xfId="24862"/>
    <cellStyle name="Normal 14 2 15" xfId="31830"/>
    <cellStyle name="Normal 14 2 2" xfId="1407"/>
    <cellStyle name="Normal 14 2 2 10" xfId="13423"/>
    <cellStyle name="Normal 14 2 2 10 2" xfId="20390"/>
    <cellStyle name="Normal 14 2 2 10 3" xfId="27357"/>
    <cellStyle name="Normal 14 2 2 10 4" xfId="34326"/>
    <cellStyle name="Normal 14 2 2 11" xfId="10929"/>
    <cellStyle name="Normal 14 2 2 12" xfId="17895"/>
    <cellStyle name="Normal 14 2 2 13" xfId="24863"/>
    <cellStyle name="Normal 14 2 2 14" xfId="31831"/>
    <cellStyle name="Normal 14 2 2 2" xfId="3226"/>
    <cellStyle name="Normal 14 2 2 2 2" xfId="4933"/>
    <cellStyle name="Normal 14 2 2 2 2 2" xfId="9808"/>
    <cellStyle name="Normal 14 2 2 2 2 2 2" xfId="16806"/>
    <cellStyle name="Normal 14 2 2 2 2 2 3" xfId="23773"/>
    <cellStyle name="Normal 14 2 2 2 2 2 4" xfId="30740"/>
    <cellStyle name="Normal 14 2 2 2 2 2 5" xfId="37709"/>
    <cellStyle name="Normal 14 2 2 2 2 3" xfId="14486"/>
    <cellStyle name="Normal 14 2 2 2 2 3 2" xfId="21453"/>
    <cellStyle name="Normal 14 2 2 2 2 3 3" xfId="28420"/>
    <cellStyle name="Normal 14 2 2 2 2 3 4" xfId="35389"/>
    <cellStyle name="Normal 14 2 2 2 2 4" xfId="12164"/>
    <cellStyle name="Normal 14 2 2 2 2 5" xfId="19131"/>
    <cellStyle name="Normal 14 2 2 2 2 6" xfId="26098"/>
    <cellStyle name="Normal 14 2 2 2 2 7" xfId="33066"/>
    <cellStyle name="Normal 14 2 2 2 3" xfId="8860"/>
    <cellStyle name="Normal 14 2 2 2 3 2" xfId="15916"/>
    <cellStyle name="Normal 14 2 2 2 3 3" xfId="22883"/>
    <cellStyle name="Normal 14 2 2 2 3 4" xfId="29850"/>
    <cellStyle name="Normal 14 2 2 2 3 5" xfId="36819"/>
    <cellStyle name="Normal 14 2 2 2 4" xfId="13594"/>
    <cellStyle name="Normal 14 2 2 2 4 2" xfId="20561"/>
    <cellStyle name="Normal 14 2 2 2 4 3" xfId="27528"/>
    <cellStyle name="Normal 14 2 2 2 4 4" xfId="34497"/>
    <cellStyle name="Normal 14 2 2 2 5" xfId="11272"/>
    <cellStyle name="Normal 14 2 2 2 6" xfId="18239"/>
    <cellStyle name="Normal 14 2 2 2 7" xfId="25206"/>
    <cellStyle name="Normal 14 2 2 2 8" xfId="32174"/>
    <cellStyle name="Normal 14 2 2 3" xfId="3432"/>
    <cellStyle name="Normal 14 2 2 3 2" xfId="4934"/>
    <cellStyle name="Normal 14 2 2 3 2 2" xfId="9809"/>
    <cellStyle name="Normal 14 2 2 3 2 2 2" xfId="16807"/>
    <cellStyle name="Normal 14 2 2 3 2 2 3" xfId="23774"/>
    <cellStyle name="Normal 14 2 2 3 2 2 4" xfId="30741"/>
    <cellStyle name="Normal 14 2 2 3 2 2 5" xfId="37710"/>
    <cellStyle name="Normal 14 2 2 3 2 3" xfId="14487"/>
    <cellStyle name="Normal 14 2 2 3 2 3 2" xfId="21454"/>
    <cellStyle name="Normal 14 2 2 3 2 3 3" xfId="28421"/>
    <cellStyle name="Normal 14 2 2 3 2 3 4" xfId="35390"/>
    <cellStyle name="Normal 14 2 2 3 2 4" xfId="12165"/>
    <cellStyle name="Normal 14 2 2 3 2 5" xfId="19132"/>
    <cellStyle name="Normal 14 2 2 3 2 6" xfId="26099"/>
    <cellStyle name="Normal 14 2 2 3 2 7" xfId="33067"/>
    <cellStyle name="Normal 14 2 2 3 3" xfId="9044"/>
    <cellStyle name="Normal 14 2 2 3 3 2" xfId="16083"/>
    <cellStyle name="Normal 14 2 2 3 3 3" xfId="23050"/>
    <cellStyle name="Normal 14 2 2 3 3 4" xfId="30017"/>
    <cellStyle name="Normal 14 2 2 3 3 5" xfId="36986"/>
    <cellStyle name="Normal 14 2 2 3 4" xfId="13763"/>
    <cellStyle name="Normal 14 2 2 3 4 2" xfId="20730"/>
    <cellStyle name="Normal 14 2 2 3 4 3" xfId="27697"/>
    <cellStyle name="Normal 14 2 2 3 4 4" xfId="34666"/>
    <cellStyle name="Normal 14 2 2 3 5" xfId="11441"/>
    <cellStyle name="Normal 14 2 2 3 6" xfId="18408"/>
    <cellStyle name="Normal 14 2 2 3 7" xfId="25375"/>
    <cellStyle name="Normal 14 2 2 3 8" xfId="32343"/>
    <cellStyle name="Normal 14 2 2 4" xfId="3607"/>
    <cellStyle name="Normal 14 2 2 4 2" xfId="4935"/>
    <cellStyle name="Normal 14 2 2 4 2 2" xfId="9810"/>
    <cellStyle name="Normal 14 2 2 4 2 2 2" xfId="16808"/>
    <cellStyle name="Normal 14 2 2 4 2 2 3" xfId="23775"/>
    <cellStyle name="Normal 14 2 2 4 2 2 4" xfId="30742"/>
    <cellStyle name="Normal 14 2 2 4 2 2 5" xfId="37711"/>
    <cellStyle name="Normal 14 2 2 4 2 3" xfId="14488"/>
    <cellStyle name="Normal 14 2 2 4 2 3 2" xfId="21455"/>
    <cellStyle name="Normal 14 2 2 4 2 3 3" xfId="28422"/>
    <cellStyle name="Normal 14 2 2 4 2 3 4" xfId="35391"/>
    <cellStyle name="Normal 14 2 2 4 2 4" xfId="12166"/>
    <cellStyle name="Normal 14 2 2 4 2 5" xfId="19133"/>
    <cellStyle name="Normal 14 2 2 4 2 6" xfId="26100"/>
    <cellStyle name="Normal 14 2 2 4 2 7" xfId="33068"/>
    <cellStyle name="Normal 14 2 2 4 3" xfId="9215"/>
    <cellStyle name="Normal 14 2 2 4 3 2" xfId="16254"/>
    <cellStyle name="Normal 14 2 2 4 3 3" xfId="23221"/>
    <cellStyle name="Normal 14 2 2 4 3 4" xfId="30188"/>
    <cellStyle name="Normal 14 2 2 4 3 5" xfId="37157"/>
    <cellStyle name="Normal 14 2 2 4 4" xfId="13934"/>
    <cellStyle name="Normal 14 2 2 4 4 2" xfId="20901"/>
    <cellStyle name="Normal 14 2 2 4 4 3" xfId="27868"/>
    <cellStyle name="Normal 14 2 2 4 4 4" xfId="34837"/>
    <cellStyle name="Normal 14 2 2 4 5" xfId="11612"/>
    <cellStyle name="Normal 14 2 2 4 6" xfId="18579"/>
    <cellStyle name="Normal 14 2 2 4 7" xfId="25546"/>
    <cellStyle name="Normal 14 2 2 4 8" xfId="32514"/>
    <cellStyle name="Normal 14 2 2 5" xfId="3882"/>
    <cellStyle name="Normal 14 2 2 5 2" xfId="4936"/>
    <cellStyle name="Normal 14 2 2 5 2 2" xfId="9811"/>
    <cellStyle name="Normal 14 2 2 5 2 2 2" xfId="16809"/>
    <cellStyle name="Normal 14 2 2 5 2 2 3" xfId="23776"/>
    <cellStyle name="Normal 14 2 2 5 2 2 4" xfId="30743"/>
    <cellStyle name="Normal 14 2 2 5 2 2 5" xfId="37712"/>
    <cellStyle name="Normal 14 2 2 5 2 3" xfId="14489"/>
    <cellStyle name="Normal 14 2 2 5 2 3 2" xfId="21456"/>
    <cellStyle name="Normal 14 2 2 5 2 3 3" xfId="28423"/>
    <cellStyle name="Normal 14 2 2 5 2 3 4" xfId="35392"/>
    <cellStyle name="Normal 14 2 2 5 2 4" xfId="12167"/>
    <cellStyle name="Normal 14 2 2 5 2 5" xfId="19134"/>
    <cellStyle name="Normal 14 2 2 5 2 6" xfId="26101"/>
    <cellStyle name="Normal 14 2 2 5 2 7" xfId="33069"/>
    <cellStyle name="Normal 14 2 2 5 3" xfId="9488"/>
    <cellStyle name="Normal 14 2 2 5 3 2" xfId="16525"/>
    <cellStyle name="Normal 14 2 2 5 3 3" xfId="23492"/>
    <cellStyle name="Normal 14 2 2 5 3 4" xfId="30459"/>
    <cellStyle name="Normal 14 2 2 5 3 5" xfId="37428"/>
    <cellStyle name="Normal 14 2 2 5 4" xfId="14205"/>
    <cellStyle name="Normal 14 2 2 5 4 2" xfId="21172"/>
    <cellStyle name="Normal 14 2 2 5 4 3" xfId="28139"/>
    <cellStyle name="Normal 14 2 2 5 4 4" xfId="35108"/>
    <cellStyle name="Normal 14 2 2 5 5" xfId="11883"/>
    <cellStyle name="Normal 14 2 2 5 6" xfId="18850"/>
    <cellStyle name="Normal 14 2 2 5 7" xfId="25817"/>
    <cellStyle name="Normal 14 2 2 5 8" xfId="32785"/>
    <cellStyle name="Normal 14 2 2 6" xfId="4932"/>
    <cellStyle name="Normal 14 2 2 6 2" xfId="9807"/>
    <cellStyle name="Normal 14 2 2 6 2 2" xfId="16805"/>
    <cellStyle name="Normal 14 2 2 6 2 3" xfId="23772"/>
    <cellStyle name="Normal 14 2 2 6 2 4" xfId="30739"/>
    <cellStyle name="Normal 14 2 2 6 2 5" xfId="37708"/>
    <cellStyle name="Normal 14 2 2 6 3" xfId="14485"/>
    <cellStyle name="Normal 14 2 2 6 3 2" xfId="21452"/>
    <cellStyle name="Normal 14 2 2 6 3 3" xfId="28419"/>
    <cellStyle name="Normal 14 2 2 6 3 4" xfId="35388"/>
    <cellStyle name="Normal 14 2 2 6 4" xfId="12163"/>
    <cellStyle name="Normal 14 2 2 6 5" xfId="19130"/>
    <cellStyle name="Normal 14 2 2 6 6" xfId="26097"/>
    <cellStyle name="Normal 14 2 2 6 7" xfId="33065"/>
    <cellStyle name="Normal 14 2 2 7" xfId="6772"/>
    <cellStyle name="Normal 14 2 2 7 2" xfId="10745"/>
    <cellStyle name="Normal 14 2 2 7 2 2" xfId="17720"/>
    <cellStyle name="Normal 14 2 2 7 2 3" xfId="24687"/>
    <cellStyle name="Normal 14 2 2 7 2 4" xfId="31654"/>
    <cellStyle name="Normal 14 2 2 7 2 5" xfId="38623"/>
    <cellStyle name="Normal 14 2 2 7 3" xfId="15400"/>
    <cellStyle name="Normal 14 2 2 7 3 2" xfId="22367"/>
    <cellStyle name="Normal 14 2 2 7 3 3" xfId="29334"/>
    <cellStyle name="Normal 14 2 2 7 3 4" xfId="36303"/>
    <cellStyle name="Normal 14 2 2 7 4" xfId="13078"/>
    <cellStyle name="Normal 14 2 2 7 5" xfId="20045"/>
    <cellStyle name="Normal 14 2 2 7 6" xfId="27012"/>
    <cellStyle name="Normal 14 2 2 7 7" xfId="33981"/>
    <cellStyle name="Normal 14 2 2 8" xfId="7089"/>
    <cellStyle name="Normal 14 2 2 8 2" xfId="15573"/>
    <cellStyle name="Normal 14 2 2 8 2 2" xfId="22540"/>
    <cellStyle name="Normal 14 2 2 8 2 3" xfId="29507"/>
    <cellStyle name="Normal 14 2 2 8 2 4" xfId="36476"/>
    <cellStyle name="Normal 14 2 2 8 3" xfId="13251"/>
    <cellStyle name="Normal 14 2 2 8 4" xfId="20218"/>
    <cellStyle name="Normal 14 2 2 8 5" xfId="27185"/>
    <cellStyle name="Normal 14 2 2 8 6" xfId="34154"/>
    <cellStyle name="Normal 14 2 2 9" xfId="7949"/>
    <cellStyle name="Normal 14 2 2 9 2" xfId="15745"/>
    <cellStyle name="Normal 14 2 2 9 2 2" xfId="22712"/>
    <cellStyle name="Normal 14 2 2 9 2 3" xfId="29679"/>
    <cellStyle name="Normal 14 2 2 9 2 4" xfId="36648"/>
    <cellStyle name="Normal 14 2 2 9 3" xfId="11101"/>
    <cellStyle name="Normal 14 2 2 9 4" xfId="18068"/>
    <cellStyle name="Normal 14 2 2 9 5" xfId="25035"/>
    <cellStyle name="Normal 14 2 2 9 6" xfId="32003"/>
    <cellStyle name="Normal 14 2 3" xfId="3225"/>
    <cellStyle name="Normal 14 2 3 2" xfId="4937"/>
    <cellStyle name="Normal 14 2 3 2 2" xfId="9812"/>
    <cellStyle name="Normal 14 2 3 2 2 2" xfId="16810"/>
    <cellStyle name="Normal 14 2 3 2 2 3" xfId="23777"/>
    <cellStyle name="Normal 14 2 3 2 2 4" xfId="30744"/>
    <cellStyle name="Normal 14 2 3 2 2 5" xfId="37713"/>
    <cellStyle name="Normal 14 2 3 2 3" xfId="14490"/>
    <cellStyle name="Normal 14 2 3 2 3 2" xfId="21457"/>
    <cellStyle name="Normal 14 2 3 2 3 3" xfId="28424"/>
    <cellStyle name="Normal 14 2 3 2 3 4" xfId="35393"/>
    <cellStyle name="Normal 14 2 3 2 4" xfId="12168"/>
    <cellStyle name="Normal 14 2 3 2 5" xfId="19135"/>
    <cellStyle name="Normal 14 2 3 2 6" xfId="26102"/>
    <cellStyle name="Normal 14 2 3 2 7" xfId="33070"/>
    <cellStyle name="Normal 14 2 3 3" xfId="8859"/>
    <cellStyle name="Normal 14 2 3 3 2" xfId="15915"/>
    <cellStyle name="Normal 14 2 3 3 3" xfId="22882"/>
    <cellStyle name="Normal 14 2 3 3 4" xfId="29849"/>
    <cellStyle name="Normal 14 2 3 3 5" xfId="36818"/>
    <cellStyle name="Normal 14 2 3 4" xfId="13593"/>
    <cellStyle name="Normal 14 2 3 4 2" xfId="20560"/>
    <cellStyle name="Normal 14 2 3 4 3" xfId="27527"/>
    <cellStyle name="Normal 14 2 3 4 4" xfId="34496"/>
    <cellStyle name="Normal 14 2 3 5" xfId="11271"/>
    <cellStyle name="Normal 14 2 3 6" xfId="18238"/>
    <cellStyle name="Normal 14 2 3 7" xfId="25205"/>
    <cellStyle name="Normal 14 2 3 8" xfId="32173"/>
    <cellStyle name="Normal 14 2 4" xfId="3431"/>
    <cellStyle name="Normal 14 2 4 2" xfId="4938"/>
    <cellStyle name="Normal 14 2 4 2 2" xfId="9813"/>
    <cellStyle name="Normal 14 2 4 2 2 2" xfId="16811"/>
    <cellStyle name="Normal 14 2 4 2 2 3" xfId="23778"/>
    <cellStyle name="Normal 14 2 4 2 2 4" xfId="30745"/>
    <cellStyle name="Normal 14 2 4 2 2 5" xfId="37714"/>
    <cellStyle name="Normal 14 2 4 2 3" xfId="14491"/>
    <cellStyle name="Normal 14 2 4 2 3 2" xfId="21458"/>
    <cellStyle name="Normal 14 2 4 2 3 3" xfId="28425"/>
    <cellStyle name="Normal 14 2 4 2 3 4" xfId="35394"/>
    <cellStyle name="Normal 14 2 4 2 4" xfId="12169"/>
    <cellStyle name="Normal 14 2 4 2 5" xfId="19136"/>
    <cellStyle name="Normal 14 2 4 2 6" xfId="26103"/>
    <cellStyle name="Normal 14 2 4 2 7" xfId="33071"/>
    <cellStyle name="Normal 14 2 4 3" xfId="9043"/>
    <cellStyle name="Normal 14 2 4 3 2" xfId="16082"/>
    <cellStyle name="Normal 14 2 4 3 3" xfId="23049"/>
    <cellStyle name="Normal 14 2 4 3 4" xfId="30016"/>
    <cellStyle name="Normal 14 2 4 3 5" xfId="36985"/>
    <cellStyle name="Normal 14 2 4 4" xfId="13762"/>
    <cellStyle name="Normal 14 2 4 4 2" xfId="20729"/>
    <cellStyle name="Normal 14 2 4 4 3" xfId="27696"/>
    <cellStyle name="Normal 14 2 4 4 4" xfId="34665"/>
    <cellStyle name="Normal 14 2 4 5" xfId="11440"/>
    <cellStyle name="Normal 14 2 4 6" xfId="18407"/>
    <cellStyle name="Normal 14 2 4 7" xfId="25374"/>
    <cellStyle name="Normal 14 2 4 8" xfId="32342"/>
    <cellStyle name="Normal 14 2 5" xfId="3606"/>
    <cellStyle name="Normal 14 2 5 2" xfId="4939"/>
    <cellStyle name="Normal 14 2 5 2 2" xfId="9814"/>
    <cellStyle name="Normal 14 2 5 2 2 2" xfId="16812"/>
    <cellStyle name="Normal 14 2 5 2 2 3" xfId="23779"/>
    <cellStyle name="Normal 14 2 5 2 2 4" xfId="30746"/>
    <cellStyle name="Normal 14 2 5 2 2 5" xfId="37715"/>
    <cellStyle name="Normal 14 2 5 2 3" xfId="14492"/>
    <cellStyle name="Normal 14 2 5 2 3 2" xfId="21459"/>
    <cellStyle name="Normal 14 2 5 2 3 3" xfId="28426"/>
    <cellStyle name="Normal 14 2 5 2 3 4" xfId="35395"/>
    <cellStyle name="Normal 14 2 5 2 4" xfId="12170"/>
    <cellStyle name="Normal 14 2 5 2 5" xfId="19137"/>
    <cellStyle name="Normal 14 2 5 2 6" xfId="26104"/>
    <cellStyle name="Normal 14 2 5 2 7" xfId="33072"/>
    <cellStyle name="Normal 14 2 5 3" xfId="9214"/>
    <cellStyle name="Normal 14 2 5 3 2" xfId="16253"/>
    <cellStyle name="Normal 14 2 5 3 3" xfId="23220"/>
    <cellStyle name="Normal 14 2 5 3 4" xfId="30187"/>
    <cellStyle name="Normal 14 2 5 3 5" xfId="37156"/>
    <cellStyle name="Normal 14 2 5 4" xfId="13933"/>
    <cellStyle name="Normal 14 2 5 4 2" xfId="20900"/>
    <cellStyle name="Normal 14 2 5 4 3" xfId="27867"/>
    <cellStyle name="Normal 14 2 5 4 4" xfId="34836"/>
    <cellStyle name="Normal 14 2 5 5" xfId="11611"/>
    <cellStyle name="Normal 14 2 5 6" xfId="18578"/>
    <cellStyle name="Normal 14 2 5 7" xfId="25545"/>
    <cellStyle name="Normal 14 2 5 8" xfId="32513"/>
    <cellStyle name="Normal 14 2 6" xfId="3881"/>
    <cellStyle name="Normal 14 2 6 2" xfId="4940"/>
    <cellStyle name="Normal 14 2 6 2 2" xfId="9815"/>
    <cellStyle name="Normal 14 2 6 2 2 2" xfId="16813"/>
    <cellStyle name="Normal 14 2 6 2 2 3" xfId="23780"/>
    <cellStyle name="Normal 14 2 6 2 2 4" xfId="30747"/>
    <cellStyle name="Normal 14 2 6 2 2 5" xfId="37716"/>
    <cellStyle name="Normal 14 2 6 2 3" xfId="14493"/>
    <cellStyle name="Normal 14 2 6 2 3 2" xfId="21460"/>
    <cellStyle name="Normal 14 2 6 2 3 3" xfId="28427"/>
    <cellStyle name="Normal 14 2 6 2 3 4" xfId="35396"/>
    <cellStyle name="Normal 14 2 6 2 4" xfId="12171"/>
    <cellStyle name="Normal 14 2 6 2 5" xfId="19138"/>
    <cellStyle name="Normal 14 2 6 2 6" xfId="26105"/>
    <cellStyle name="Normal 14 2 6 2 7" xfId="33073"/>
    <cellStyle name="Normal 14 2 6 3" xfId="9487"/>
    <cellStyle name="Normal 14 2 6 3 2" xfId="16524"/>
    <cellStyle name="Normal 14 2 6 3 3" xfId="23491"/>
    <cellStyle name="Normal 14 2 6 3 4" xfId="30458"/>
    <cellStyle name="Normal 14 2 6 3 5" xfId="37427"/>
    <cellStyle name="Normal 14 2 6 4" xfId="14204"/>
    <cellStyle name="Normal 14 2 6 4 2" xfId="21171"/>
    <cellStyle name="Normal 14 2 6 4 3" xfId="28138"/>
    <cellStyle name="Normal 14 2 6 4 4" xfId="35107"/>
    <cellStyle name="Normal 14 2 6 5" xfId="11882"/>
    <cellStyle name="Normal 14 2 6 6" xfId="18849"/>
    <cellStyle name="Normal 14 2 6 7" xfId="25816"/>
    <cellStyle name="Normal 14 2 6 8" xfId="32784"/>
    <cellStyle name="Normal 14 2 7" xfId="4931"/>
    <cellStyle name="Normal 14 2 7 2" xfId="9806"/>
    <cellStyle name="Normal 14 2 7 2 2" xfId="16804"/>
    <cellStyle name="Normal 14 2 7 2 3" xfId="23771"/>
    <cellStyle name="Normal 14 2 7 2 4" xfId="30738"/>
    <cellStyle name="Normal 14 2 7 2 5" xfId="37707"/>
    <cellStyle name="Normal 14 2 7 3" xfId="14484"/>
    <cellStyle name="Normal 14 2 7 3 2" xfId="21451"/>
    <cellStyle name="Normal 14 2 7 3 3" xfId="28418"/>
    <cellStyle name="Normal 14 2 7 3 4" xfId="35387"/>
    <cellStyle name="Normal 14 2 7 4" xfId="12162"/>
    <cellStyle name="Normal 14 2 7 5" xfId="19129"/>
    <cellStyle name="Normal 14 2 7 6" xfId="26096"/>
    <cellStyle name="Normal 14 2 7 7" xfId="33064"/>
    <cellStyle name="Normal 14 2 8" xfId="6771"/>
    <cellStyle name="Normal 14 2 8 2" xfId="10744"/>
    <cellStyle name="Normal 14 2 8 2 2" xfId="17719"/>
    <cellStyle name="Normal 14 2 8 2 3" xfId="24686"/>
    <cellStyle name="Normal 14 2 8 2 4" xfId="31653"/>
    <cellStyle name="Normal 14 2 8 2 5" xfId="38622"/>
    <cellStyle name="Normal 14 2 8 3" xfId="15399"/>
    <cellStyle name="Normal 14 2 8 3 2" xfId="22366"/>
    <cellStyle name="Normal 14 2 8 3 3" xfId="29333"/>
    <cellStyle name="Normal 14 2 8 3 4" xfId="36302"/>
    <cellStyle name="Normal 14 2 8 4" xfId="13077"/>
    <cellStyle name="Normal 14 2 8 5" xfId="20044"/>
    <cellStyle name="Normal 14 2 8 6" xfId="27011"/>
    <cellStyle name="Normal 14 2 8 7" xfId="33980"/>
    <cellStyle name="Normal 14 2 9" xfId="7088"/>
    <cellStyle name="Normal 14 2 9 2" xfId="15572"/>
    <cellStyle name="Normal 14 2 9 2 2" xfId="22539"/>
    <cellStyle name="Normal 14 2 9 2 3" xfId="29506"/>
    <cellStyle name="Normal 14 2 9 2 4" xfId="36475"/>
    <cellStyle name="Normal 14 2 9 3" xfId="13250"/>
    <cellStyle name="Normal 14 2 9 4" xfId="20217"/>
    <cellStyle name="Normal 14 2 9 5" xfId="27184"/>
    <cellStyle name="Normal 14 2 9 6" xfId="34153"/>
    <cellStyle name="Normal 14 3" xfId="1408"/>
    <cellStyle name="Normal 14 3 10" xfId="13424"/>
    <cellStyle name="Normal 14 3 10 2" xfId="20391"/>
    <cellStyle name="Normal 14 3 10 3" xfId="27358"/>
    <cellStyle name="Normal 14 3 10 4" xfId="34327"/>
    <cellStyle name="Normal 14 3 11" xfId="10930"/>
    <cellStyle name="Normal 14 3 12" xfId="17896"/>
    <cellStyle name="Normal 14 3 13" xfId="24864"/>
    <cellStyle name="Normal 14 3 14" xfId="31832"/>
    <cellStyle name="Normal 14 3 2" xfId="3227"/>
    <cellStyle name="Normal 14 3 2 2" xfId="4942"/>
    <cellStyle name="Normal 14 3 2 2 2" xfId="9817"/>
    <cellStyle name="Normal 14 3 2 2 2 2" xfId="16815"/>
    <cellStyle name="Normal 14 3 2 2 2 3" xfId="23782"/>
    <cellStyle name="Normal 14 3 2 2 2 4" xfId="30749"/>
    <cellStyle name="Normal 14 3 2 2 2 5" xfId="37718"/>
    <cellStyle name="Normal 14 3 2 2 3" xfId="14495"/>
    <cellStyle name="Normal 14 3 2 2 3 2" xfId="21462"/>
    <cellStyle name="Normal 14 3 2 2 3 3" xfId="28429"/>
    <cellStyle name="Normal 14 3 2 2 3 4" xfId="35398"/>
    <cellStyle name="Normal 14 3 2 2 4" xfId="12173"/>
    <cellStyle name="Normal 14 3 2 2 5" xfId="19140"/>
    <cellStyle name="Normal 14 3 2 2 6" xfId="26107"/>
    <cellStyle name="Normal 14 3 2 2 7" xfId="33075"/>
    <cellStyle name="Normal 14 3 2 3" xfId="8861"/>
    <cellStyle name="Normal 14 3 2 3 2" xfId="15917"/>
    <cellStyle name="Normal 14 3 2 3 3" xfId="22884"/>
    <cellStyle name="Normal 14 3 2 3 4" xfId="29851"/>
    <cellStyle name="Normal 14 3 2 3 5" xfId="36820"/>
    <cellStyle name="Normal 14 3 2 4" xfId="13595"/>
    <cellStyle name="Normal 14 3 2 4 2" xfId="20562"/>
    <cellStyle name="Normal 14 3 2 4 3" xfId="27529"/>
    <cellStyle name="Normal 14 3 2 4 4" xfId="34498"/>
    <cellStyle name="Normal 14 3 2 5" xfId="11273"/>
    <cellStyle name="Normal 14 3 2 6" xfId="18240"/>
    <cellStyle name="Normal 14 3 2 7" xfId="25207"/>
    <cellStyle name="Normal 14 3 2 8" xfId="32175"/>
    <cellStyle name="Normal 14 3 3" xfId="3433"/>
    <cellStyle name="Normal 14 3 3 2" xfId="4943"/>
    <cellStyle name="Normal 14 3 3 2 2" xfId="9818"/>
    <cellStyle name="Normal 14 3 3 2 2 2" xfId="16816"/>
    <cellStyle name="Normal 14 3 3 2 2 3" xfId="23783"/>
    <cellStyle name="Normal 14 3 3 2 2 4" xfId="30750"/>
    <cellStyle name="Normal 14 3 3 2 2 5" xfId="37719"/>
    <cellStyle name="Normal 14 3 3 2 3" xfId="14496"/>
    <cellStyle name="Normal 14 3 3 2 3 2" xfId="21463"/>
    <cellStyle name="Normal 14 3 3 2 3 3" xfId="28430"/>
    <cellStyle name="Normal 14 3 3 2 3 4" xfId="35399"/>
    <cellStyle name="Normal 14 3 3 2 4" xfId="12174"/>
    <cellStyle name="Normal 14 3 3 2 5" xfId="19141"/>
    <cellStyle name="Normal 14 3 3 2 6" xfId="26108"/>
    <cellStyle name="Normal 14 3 3 2 7" xfId="33076"/>
    <cellStyle name="Normal 14 3 3 3" xfId="9045"/>
    <cellStyle name="Normal 14 3 3 3 2" xfId="16084"/>
    <cellStyle name="Normal 14 3 3 3 3" xfId="23051"/>
    <cellStyle name="Normal 14 3 3 3 4" xfId="30018"/>
    <cellStyle name="Normal 14 3 3 3 5" xfId="36987"/>
    <cellStyle name="Normal 14 3 3 4" xfId="13764"/>
    <cellStyle name="Normal 14 3 3 4 2" xfId="20731"/>
    <cellStyle name="Normal 14 3 3 4 3" xfId="27698"/>
    <cellStyle name="Normal 14 3 3 4 4" xfId="34667"/>
    <cellStyle name="Normal 14 3 3 5" xfId="11442"/>
    <cellStyle name="Normal 14 3 3 6" xfId="18409"/>
    <cellStyle name="Normal 14 3 3 7" xfId="25376"/>
    <cellStyle name="Normal 14 3 3 8" xfId="32344"/>
    <cellStyle name="Normal 14 3 4" xfId="3608"/>
    <cellStyle name="Normal 14 3 4 2" xfId="4944"/>
    <cellStyle name="Normal 14 3 4 2 2" xfId="9819"/>
    <cellStyle name="Normal 14 3 4 2 2 2" xfId="16817"/>
    <cellStyle name="Normal 14 3 4 2 2 3" xfId="23784"/>
    <cellStyle name="Normal 14 3 4 2 2 4" xfId="30751"/>
    <cellStyle name="Normal 14 3 4 2 2 5" xfId="37720"/>
    <cellStyle name="Normal 14 3 4 2 3" xfId="14497"/>
    <cellStyle name="Normal 14 3 4 2 3 2" xfId="21464"/>
    <cellStyle name="Normal 14 3 4 2 3 3" xfId="28431"/>
    <cellStyle name="Normal 14 3 4 2 3 4" xfId="35400"/>
    <cellStyle name="Normal 14 3 4 2 4" xfId="12175"/>
    <cellStyle name="Normal 14 3 4 2 5" xfId="19142"/>
    <cellStyle name="Normal 14 3 4 2 6" xfId="26109"/>
    <cellStyle name="Normal 14 3 4 2 7" xfId="33077"/>
    <cellStyle name="Normal 14 3 4 3" xfId="9216"/>
    <cellStyle name="Normal 14 3 4 3 2" xfId="16255"/>
    <cellStyle name="Normal 14 3 4 3 3" xfId="23222"/>
    <cellStyle name="Normal 14 3 4 3 4" xfId="30189"/>
    <cellStyle name="Normal 14 3 4 3 5" xfId="37158"/>
    <cellStyle name="Normal 14 3 4 4" xfId="13935"/>
    <cellStyle name="Normal 14 3 4 4 2" xfId="20902"/>
    <cellStyle name="Normal 14 3 4 4 3" xfId="27869"/>
    <cellStyle name="Normal 14 3 4 4 4" xfId="34838"/>
    <cellStyle name="Normal 14 3 4 5" xfId="11613"/>
    <cellStyle name="Normal 14 3 4 6" xfId="18580"/>
    <cellStyle name="Normal 14 3 4 7" xfId="25547"/>
    <cellStyle name="Normal 14 3 4 8" xfId="32515"/>
    <cellStyle name="Normal 14 3 5" xfId="3883"/>
    <cellStyle name="Normal 14 3 5 2" xfId="4945"/>
    <cellStyle name="Normal 14 3 5 2 2" xfId="9820"/>
    <cellStyle name="Normal 14 3 5 2 2 2" xfId="16818"/>
    <cellStyle name="Normal 14 3 5 2 2 3" xfId="23785"/>
    <cellStyle name="Normal 14 3 5 2 2 4" xfId="30752"/>
    <cellStyle name="Normal 14 3 5 2 2 5" xfId="37721"/>
    <cellStyle name="Normal 14 3 5 2 3" xfId="14498"/>
    <cellStyle name="Normal 14 3 5 2 3 2" xfId="21465"/>
    <cellStyle name="Normal 14 3 5 2 3 3" xfId="28432"/>
    <cellStyle name="Normal 14 3 5 2 3 4" xfId="35401"/>
    <cellStyle name="Normal 14 3 5 2 4" xfId="12176"/>
    <cellStyle name="Normal 14 3 5 2 5" xfId="19143"/>
    <cellStyle name="Normal 14 3 5 2 6" xfId="26110"/>
    <cellStyle name="Normal 14 3 5 2 7" xfId="33078"/>
    <cellStyle name="Normal 14 3 5 3" xfId="9489"/>
    <cellStyle name="Normal 14 3 5 3 2" xfId="16526"/>
    <cellStyle name="Normal 14 3 5 3 3" xfId="23493"/>
    <cellStyle name="Normal 14 3 5 3 4" xfId="30460"/>
    <cellStyle name="Normal 14 3 5 3 5" xfId="37429"/>
    <cellStyle name="Normal 14 3 5 4" xfId="14206"/>
    <cellStyle name="Normal 14 3 5 4 2" xfId="21173"/>
    <cellStyle name="Normal 14 3 5 4 3" xfId="28140"/>
    <cellStyle name="Normal 14 3 5 4 4" xfId="35109"/>
    <cellStyle name="Normal 14 3 5 5" xfId="11884"/>
    <cellStyle name="Normal 14 3 5 6" xfId="18851"/>
    <cellStyle name="Normal 14 3 5 7" xfId="25818"/>
    <cellStyle name="Normal 14 3 5 8" xfId="32786"/>
    <cellStyle name="Normal 14 3 6" xfId="4941"/>
    <cellStyle name="Normal 14 3 6 2" xfId="9816"/>
    <cellStyle name="Normal 14 3 6 2 2" xfId="16814"/>
    <cellStyle name="Normal 14 3 6 2 3" xfId="23781"/>
    <cellStyle name="Normal 14 3 6 2 4" xfId="30748"/>
    <cellStyle name="Normal 14 3 6 2 5" xfId="37717"/>
    <cellStyle name="Normal 14 3 6 3" xfId="14494"/>
    <cellStyle name="Normal 14 3 6 3 2" xfId="21461"/>
    <cellStyle name="Normal 14 3 6 3 3" xfId="28428"/>
    <cellStyle name="Normal 14 3 6 3 4" xfId="35397"/>
    <cellStyle name="Normal 14 3 6 4" xfId="12172"/>
    <cellStyle name="Normal 14 3 6 5" xfId="19139"/>
    <cellStyle name="Normal 14 3 6 6" xfId="26106"/>
    <cellStyle name="Normal 14 3 6 7" xfId="33074"/>
    <cellStyle name="Normal 14 3 7" xfId="6773"/>
    <cellStyle name="Normal 14 3 7 2" xfId="10746"/>
    <cellStyle name="Normal 14 3 7 2 2" xfId="17721"/>
    <cellStyle name="Normal 14 3 7 2 3" xfId="24688"/>
    <cellStyle name="Normal 14 3 7 2 4" xfId="31655"/>
    <cellStyle name="Normal 14 3 7 2 5" xfId="38624"/>
    <cellStyle name="Normal 14 3 7 3" xfId="15401"/>
    <cellStyle name="Normal 14 3 7 3 2" xfId="22368"/>
    <cellStyle name="Normal 14 3 7 3 3" xfId="29335"/>
    <cellStyle name="Normal 14 3 7 3 4" xfId="36304"/>
    <cellStyle name="Normal 14 3 7 4" xfId="13079"/>
    <cellStyle name="Normal 14 3 7 5" xfId="20046"/>
    <cellStyle name="Normal 14 3 7 6" xfId="27013"/>
    <cellStyle name="Normal 14 3 7 7" xfId="33982"/>
    <cellStyle name="Normal 14 3 8" xfId="7090"/>
    <cellStyle name="Normal 14 3 8 2" xfId="15574"/>
    <cellStyle name="Normal 14 3 8 2 2" xfId="22541"/>
    <cellStyle name="Normal 14 3 8 2 3" xfId="29508"/>
    <cellStyle name="Normal 14 3 8 2 4" xfId="36477"/>
    <cellStyle name="Normal 14 3 8 3" xfId="13252"/>
    <cellStyle name="Normal 14 3 8 4" xfId="20219"/>
    <cellStyle name="Normal 14 3 8 5" xfId="27186"/>
    <cellStyle name="Normal 14 3 8 6" xfId="34155"/>
    <cellStyle name="Normal 14 3 9" xfId="7950"/>
    <cellStyle name="Normal 14 3 9 2" xfId="15746"/>
    <cellStyle name="Normal 14 3 9 2 2" xfId="22713"/>
    <cellStyle name="Normal 14 3 9 2 3" xfId="29680"/>
    <cellStyle name="Normal 14 3 9 2 4" xfId="36649"/>
    <cellStyle name="Normal 14 3 9 3" xfId="11102"/>
    <cellStyle name="Normal 14 3 9 4" xfId="18069"/>
    <cellStyle name="Normal 14 3 9 5" xfId="25036"/>
    <cellStyle name="Normal 14 3 9 6" xfId="32004"/>
    <cellStyle name="Normal 14 4" xfId="3224"/>
    <cellStyle name="Normal 14 4 2" xfId="4946"/>
    <cellStyle name="Normal 14 4 2 2" xfId="9821"/>
    <cellStyle name="Normal 14 4 2 2 2" xfId="16819"/>
    <cellStyle name="Normal 14 4 2 2 3" xfId="23786"/>
    <cellStyle name="Normal 14 4 2 2 4" xfId="30753"/>
    <cellStyle name="Normal 14 4 2 2 5" xfId="37722"/>
    <cellStyle name="Normal 14 4 2 3" xfId="14499"/>
    <cellStyle name="Normal 14 4 2 3 2" xfId="21466"/>
    <cellStyle name="Normal 14 4 2 3 3" xfId="28433"/>
    <cellStyle name="Normal 14 4 2 3 4" xfId="35402"/>
    <cellStyle name="Normal 14 4 2 4" xfId="12177"/>
    <cellStyle name="Normal 14 4 2 5" xfId="19144"/>
    <cellStyle name="Normal 14 4 2 6" xfId="26111"/>
    <cellStyle name="Normal 14 4 2 7" xfId="33079"/>
    <cellStyle name="Normal 14 4 3" xfId="8858"/>
    <cellStyle name="Normal 14 4 3 2" xfId="15914"/>
    <cellStyle name="Normal 14 4 3 3" xfId="22881"/>
    <cellStyle name="Normal 14 4 3 4" xfId="29848"/>
    <cellStyle name="Normal 14 4 3 5" xfId="36817"/>
    <cellStyle name="Normal 14 4 4" xfId="13592"/>
    <cellStyle name="Normal 14 4 4 2" xfId="20559"/>
    <cellStyle name="Normal 14 4 4 3" xfId="27526"/>
    <cellStyle name="Normal 14 4 4 4" xfId="34495"/>
    <cellStyle name="Normal 14 4 5" xfId="11270"/>
    <cellStyle name="Normal 14 4 6" xfId="18237"/>
    <cellStyle name="Normal 14 4 7" xfId="25204"/>
    <cellStyle name="Normal 14 4 8" xfId="32172"/>
    <cellStyle name="Normal 14 5" xfId="3430"/>
    <cellStyle name="Normal 14 5 2" xfId="4947"/>
    <cellStyle name="Normal 14 5 2 2" xfId="9822"/>
    <cellStyle name="Normal 14 5 2 2 2" xfId="16820"/>
    <cellStyle name="Normal 14 5 2 2 3" xfId="23787"/>
    <cellStyle name="Normal 14 5 2 2 4" xfId="30754"/>
    <cellStyle name="Normal 14 5 2 2 5" xfId="37723"/>
    <cellStyle name="Normal 14 5 2 3" xfId="14500"/>
    <cellStyle name="Normal 14 5 2 3 2" xfId="21467"/>
    <cellStyle name="Normal 14 5 2 3 3" xfId="28434"/>
    <cellStyle name="Normal 14 5 2 3 4" xfId="35403"/>
    <cellStyle name="Normal 14 5 2 4" xfId="12178"/>
    <cellStyle name="Normal 14 5 2 5" xfId="19145"/>
    <cellStyle name="Normal 14 5 2 6" xfId="26112"/>
    <cellStyle name="Normal 14 5 2 7" xfId="33080"/>
    <cellStyle name="Normal 14 5 3" xfId="9042"/>
    <cellStyle name="Normal 14 5 3 2" xfId="16081"/>
    <cellStyle name="Normal 14 5 3 3" xfId="23048"/>
    <cellStyle name="Normal 14 5 3 4" xfId="30015"/>
    <cellStyle name="Normal 14 5 3 5" xfId="36984"/>
    <cellStyle name="Normal 14 5 4" xfId="13761"/>
    <cellStyle name="Normal 14 5 4 2" xfId="20728"/>
    <cellStyle name="Normal 14 5 4 3" xfId="27695"/>
    <cellStyle name="Normal 14 5 4 4" xfId="34664"/>
    <cellStyle name="Normal 14 5 5" xfId="11439"/>
    <cellStyle name="Normal 14 5 6" xfId="18406"/>
    <cellStyle name="Normal 14 5 7" xfId="25373"/>
    <cellStyle name="Normal 14 5 8" xfId="32341"/>
    <cellStyle name="Normal 14 6" xfId="3605"/>
    <cellStyle name="Normal 14 6 2" xfId="4948"/>
    <cellStyle name="Normal 14 6 2 2" xfId="9823"/>
    <cellStyle name="Normal 14 6 2 2 2" xfId="16821"/>
    <cellStyle name="Normal 14 6 2 2 3" xfId="23788"/>
    <cellStyle name="Normal 14 6 2 2 4" xfId="30755"/>
    <cellStyle name="Normal 14 6 2 2 5" xfId="37724"/>
    <cellStyle name="Normal 14 6 2 3" xfId="14501"/>
    <cellStyle name="Normal 14 6 2 3 2" xfId="21468"/>
    <cellStyle name="Normal 14 6 2 3 3" xfId="28435"/>
    <cellStyle name="Normal 14 6 2 3 4" xfId="35404"/>
    <cellStyle name="Normal 14 6 2 4" xfId="12179"/>
    <cellStyle name="Normal 14 6 2 5" xfId="19146"/>
    <cellStyle name="Normal 14 6 2 6" xfId="26113"/>
    <cellStyle name="Normal 14 6 2 7" xfId="33081"/>
    <cellStyle name="Normal 14 6 3" xfId="9213"/>
    <cellStyle name="Normal 14 6 3 2" xfId="16252"/>
    <cellStyle name="Normal 14 6 3 3" xfId="23219"/>
    <cellStyle name="Normal 14 6 3 4" xfId="30186"/>
    <cellStyle name="Normal 14 6 3 5" xfId="37155"/>
    <cellStyle name="Normal 14 6 4" xfId="13932"/>
    <cellStyle name="Normal 14 6 4 2" xfId="20899"/>
    <cellStyle name="Normal 14 6 4 3" xfId="27866"/>
    <cellStyle name="Normal 14 6 4 4" xfId="34835"/>
    <cellStyle name="Normal 14 6 5" xfId="11610"/>
    <cellStyle name="Normal 14 6 6" xfId="18577"/>
    <cellStyle name="Normal 14 6 7" xfId="25544"/>
    <cellStyle name="Normal 14 6 8" xfId="32512"/>
    <cellStyle name="Normal 14 7" xfId="3880"/>
    <cellStyle name="Normal 14 7 2" xfId="4949"/>
    <cellStyle name="Normal 14 7 2 2" xfId="9824"/>
    <cellStyle name="Normal 14 7 2 2 2" xfId="16822"/>
    <cellStyle name="Normal 14 7 2 2 3" xfId="23789"/>
    <cellStyle name="Normal 14 7 2 2 4" xfId="30756"/>
    <cellStyle name="Normal 14 7 2 2 5" xfId="37725"/>
    <cellStyle name="Normal 14 7 2 3" xfId="14502"/>
    <cellStyle name="Normal 14 7 2 3 2" xfId="21469"/>
    <cellStyle name="Normal 14 7 2 3 3" xfId="28436"/>
    <cellStyle name="Normal 14 7 2 3 4" xfId="35405"/>
    <cellStyle name="Normal 14 7 2 4" xfId="12180"/>
    <cellStyle name="Normal 14 7 2 5" xfId="19147"/>
    <cellStyle name="Normal 14 7 2 6" xfId="26114"/>
    <cellStyle name="Normal 14 7 2 7" xfId="33082"/>
    <cellStyle name="Normal 14 7 3" xfId="9486"/>
    <cellStyle name="Normal 14 7 3 2" xfId="16523"/>
    <cellStyle name="Normal 14 7 3 3" xfId="23490"/>
    <cellStyle name="Normal 14 7 3 4" xfId="30457"/>
    <cellStyle name="Normal 14 7 3 5" xfId="37426"/>
    <cellStyle name="Normal 14 7 4" xfId="14203"/>
    <cellStyle name="Normal 14 7 4 2" xfId="21170"/>
    <cellStyle name="Normal 14 7 4 3" xfId="28137"/>
    <cellStyle name="Normal 14 7 4 4" xfId="35106"/>
    <cellStyle name="Normal 14 7 5" xfId="11881"/>
    <cellStyle name="Normal 14 7 6" xfId="18848"/>
    <cellStyle name="Normal 14 7 7" xfId="25815"/>
    <cellStyle name="Normal 14 7 8" xfId="32783"/>
    <cellStyle name="Normal 14 8" xfId="4930"/>
    <cellStyle name="Normal 14 8 2" xfId="9805"/>
    <cellStyle name="Normal 14 8 2 2" xfId="16803"/>
    <cellStyle name="Normal 14 8 2 3" xfId="23770"/>
    <cellStyle name="Normal 14 8 2 4" xfId="30737"/>
    <cellStyle name="Normal 14 8 2 5" xfId="37706"/>
    <cellStyle name="Normal 14 8 3" xfId="14483"/>
    <cellStyle name="Normal 14 8 3 2" xfId="21450"/>
    <cellStyle name="Normal 14 8 3 3" xfId="28417"/>
    <cellStyle name="Normal 14 8 3 4" xfId="35386"/>
    <cellStyle name="Normal 14 8 4" xfId="12161"/>
    <cellStyle name="Normal 14 8 5" xfId="19128"/>
    <cellStyle name="Normal 14 8 6" xfId="26095"/>
    <cellStyle name="Normal 14 8 7" xfId="33063"/>
    <cellStyle name="Normal 14 9" xfId="6770"/>
    <cellStyle name="Normal 14 9 2" xfId="10743"/>
    <cellStyle name="Normal 14 9 2 2" xfId="17718"/>
    <cellStyle name="Normal 14 9 2 3" xfId="24685"/>
    <cellStyle name="Normal 14 9 2 4" xfId="31652"/>
    <cellStyle name="Normal 14 9 2 5" xfId="38621"/>
    <cellStyle name="Normal 14 9 3" xfId="15398"/>
    <cellStyle name="Normal 14 9 3 2" xfId="22365"/>
    <cellStyle name="Normal 14 9 3 3" xfId="29332"/>
    <cellStyle name="Normal 14 9 3 4" xfId="36301"/>
    <cellStyle name="Normal 14 9 4" xfId="13076"/>
    <cellStyle name="Normal 14 9 5" xfId="20043"/>
    <cellStyle name="Normal 14 9 6" xfId="27010"/>
    <cellStyle name="Normal 14 9 7" xfId="33979"/>
    <cellStyle name="Normal 140" xfId="1409"/>
    <cellStyle name="Normal 140 2" xfId="1410"/>
    <cellStyle name="Normal 140 3" xfId="1411"/>
    <cellStyle name="Normal 141" xfId="1412"/>
    <cellStyle name="Normal 141 2" xfId="1413"/>
    <cellStyle name="Normal 141 3" xfId="1414"/>
    <cellStyle name="Normal 142" xfId="1415"/>
    <cellStyle name="Normal 142 2" xfId="1416"/>
    <cellStyle name="Normal 142 3" xfId="1417"/>
    <cellStyle name="Normal 143" xfId="1418"/>
    <cellStyle name="Normal 143 2" xfId="1419"/>
    <cellStyle name="Normal 143 3" xfId="1420"/>
    <cellStyle name="Normal 144" xfId="1421"/>
    <cellStyle name="Normal 144 2" xfId="1422"/>
    <cellStyle name="Normal 144 3" xfId="1423"/>
    <cellStyle name="Normal 145" xfId="1424"/>
    <cellStyle name="Normal 145 2" xfId="1425"/>
    <cellStyle name="Normal 145 3" xfId="1426"/>
    <cellStyle name="Normal 146" xfId="1427"/>
    <cellStyle name="Normal 146 2" xfId="1428"/>
    <cellStyle name="Normal 146 3" xfId="1429"/>
    <cellStyle name="Normal 147" xfId="1430"/>
    <cellStyle name="Normal 147 2" xfId="1431"/>
    <cellStyle name="Normal 147 3" xfId="1432"/>
    <cellStyle name="Normal 148" xfId="1433"/>
    <cellStyle name="Normal 148 2" xfId="1434"/>
    <cellStyle name="Normal 148 3" xfId="1435"/>
    <cellStyle name="Normal 149" xfId="1436"/>
    <cellStyle name="Normal 149 2" xfId="1437"/>
    <cellStyle name="Normal 149 3" xfId="1438"/>
    <cellStyle name="Normal 15" xfId="1439"/>
    <cellStyle name="Normal 15 10" xfId="7091"/>
    <cellStyle name="Normal 15 10 2" xfId="15575"/>
    <cellStyle name="Normal 15 10 2 2" xfId="22542"/>
    <cellStyle name="Normal 15 10 2 3" xfId="29509"/>
    <cellStyle name="Normal 15 10 2 4" xfId="36478"/>
    <cellStyle name="Normal 15 10 3" xfId="13253"/>
    <cellStyle name="Normal 15 10 4" xfId="20220"/>
    <cellStyle name="Normal 15 10 5" xfId="27187"/>
    <cellStyle name="Normal 15 10 6" xfId="34156"/>
    <cellStyle name="Normal 15 11" xfId="7951"/>
    <cellStyle name="Normal 15 11 2" xfId="15747"/>
    <cellStyle name="Normal 15 11 2 2" xfId="22714"/>
    <cellStyle name="Normal 15 11 2 3" xfId="29681"/>
    <cellStyle name="Normal 15 11 2 4" xfId="36650"/>
    <cellStyle name="Normal 15 11 3" xfId="11103"/>
    <cellStyle name="Normal 15 11 4" xfId="18070"/>
    <cellStyle name="Normal 15 11 5" xfId="25037"/>
    <cellStyle name="Normal 15 11 6" xfId="32005"/>
    <cellStyle name="Normal 15 12" xfId="13425"/>
    <cellStyle name="Normal 15 12 2" xfId="20392"/>
    <cellStyle name="Normal 15 12 3" xfId="27359"/>
    <cellStyle name="Normal 15 12 4" xfId="34328"/>
    <cellStyle name="Normal 15 13" xfId="10931"/>
    <cellStyle name="Normal 15 14" xfId="17897"/>
    <cellStyle name="Normal 15 15" xfId="24865"/>
    <cellStyle name="Normal 15 16" xfId="31833"/>
    <cellStyle name="Normal 15 2" xfId="1440"/>
    <cellStyle name="Normal 15 2 10" xfId="7952"/>
    <cellStyle name="Normal 15 2 10 2" xfId="15748"/>
    <cellStyle name="Normal 15 2 10 2 2" xfId="22715"/>
    <cellStyle name="Normal 15 2 10 2 3" xfId="29682"/>
    <cellStyle name="Normal 15 2 10 2 4" xfId="36651"/>
    <cellStyle name="Normal 15 2 10 3" xfId="11104"/>
    <cellStyle name="Normal 15 2 10 4" xfId="18071"/>
    <cellStyle name="Normal 15 2 10 5" xfId="25038"/>
    <cellStyle name="Normal 15 2 10 6" xfId="32006"/>
    <cellStyle name="Normal 15 2 11" xfId="13426"/>
    <cellStyle name="Normal 15 2 11 2" xfId="20393"/>
    <cellStyle name="Normal 15 2 11 3" xfId="27360"/>
    <cellStyle name="Normal 15 2 11 4" xfId="34329"/>
    <cellStyle name="Normal 15 2 12" xfId="10932"/>
    <cellStyle name="Normal 15 2 13" xfId="17898"/>
    <cellStyle name="Normal 15 2 14" xfId="24866"/>
    <cellStyle name="Normal 15 2 15" xfId="31834"/>
    <cellStyle name="Normal 15 2 2" xfId="1441"/>
    <cellStyle name="Normal 15 2 2 10" xfId="13427"/>
    <cellStyle name="Normal 15 2 2 10 2" xfId="20394"/>
    <cellStyle name="Normal 15 2 2 10 3" xfId="27361"/>
    <cellStyle name="Normal 15 2 2 10 4" xfId="34330"/>
    <cellStyle name="Normal 15 2 2 11" xfId="10933"/>
    <cellStyle name="Normal 15 2 2 12" xfId="17899"/>
    <cellStyle name="Normal 15 2 2 13" xfId="24867"/>
    <cellStyle name="Normal 15 2 2 14" xfId="31835"/>
    <cellStyle name="Normal 15 2 2 2" xfId="3230"/>
    <cellStyle name="Normal 15 2 2 2 2" xfId="4953"/>
    <cellStyle name="Normal 15 2 2 2 2 2" xfId="9828"/>
    <cellStyle name="Normal 15 2 2 2 2 2 2" xfId="16826"/>
    <cellStyle name="Normal 15 2 2 2 2 2 3" xfId="23793"/>
    <cellStyle name="Normal 15 2 2 2 2 2 4" xfId="30760"/>
    <cellStyle name="Normal 15 2 2 2 2 2 5" xfId="37729"/>
    <cellStyle name="Normal 15 2 2 2 2 3" xfId="14506"/>
    <cellStyle name="Normal 15 2 2 2 2 3 2" xfId="21473"/>
    <cellStyle name="Normal 15 2 2 2 2 3 3" xfId="28440"/>
    <cellStyle name="Normal 15 2 2 2 2 3 4" xfId="35409"/>
    <cellStyle name="Normal 15 2 2 2 2 4" xfId="12184"/>
    <cellStyle name="Normal 15 2 2 2 2 5" xfId="19151"/>
    <cellStyle name="Normal 15 2 2 2 2 6" xfId="26118"/>
    <cellStyle name="Normal 15 2 2 2 2 7" xfId="33086"/>
    <cellStyle name="Normal 15 2 2 2 3" xfId="8864"/>
    <cellStyle name="Normal 15 2 2 2 3 2" xfId="15920"/>
    <cellStyle name="Normal 15 2 2 2 3 3" xfId="22887"/>
    <cellStyle name="Normal 15 2 2 2 3 4" xfId="29854"/>
    <cellStyle name="Normal 15 2 2 2 3 5" xfId="36823"/>
    <cellStyle name="Normal 15 2 2 2 4" xfId="13598"/>
    <cellStyle name="Normal 15 2 2 2 4 2" xfId="20565"/>
    <cellStyle name="Normal 15 2 2 2 4 3" xfId="27532"/>
    <cellStyle name="Normal 15 2 2 2 4 4" xfId="34501"/>
    <cellStyle name="Normal 15 2 2 2 5" xfId="11276"/>
    <cellStyle name="Normal 15 2 2 2 6" xfId="18243"/>
    <cellStyle name="Normal 15 2 2 2 7" xfId="25210"/>
    <cellStyle name="Normal 15 2 2 2 8" xfId="32178"/>
    <cellStyle name="Normal 15 2 2 3" xfId="3436"/>
    <cellStyle name="Normal 15 2 2 3 2" xfId="4954"/>
    <cellStyle name="Normal 15 2 2 3 2 2" xfId="9829"/>
    <cellStyle name="Normal 15 2 2 3 2 2 2" xfId="16827"/>
    <cellStyle name="Normal 15 2 2 3 2 2 3" xfId="23794"/>
    <cellStyle name="Normal 15 2 2 3 2 2 4" xfId="30761"/>
    <cellStyle name="Normal 15 2 2 3 2 2 5" xfId="37730"/>
    <cellStyle name="Normal 15 2 2 3 2 3" xfId="14507"/>
    <cellStyle name="Normal 15 2 2 3 2 3 2" xfId="21474"/>
    <cellStyle name="Normal 15 2 2 3 2 3 3" xfId="28441"/>
    <cellStyle name="Normal 15 2 2 3 2 3 4" xfId="35410"/>
    <cellStyle name="Normal 15 2 2 3 2 4" xfId="12185"/>
    <cellStyle name="Normal 15 2 2 3 2 5" xfId="19152"/>
    <cellStyle name="Normal 15 2 2 3 2 6" xfId="26119"/>
    <cellStyle name="Normal 15 2 2 3 2 7" xfId="33087"/>
    <cellStyle name="Normal 15 2 2 3 3" xfId="9048"/>
    <cellStyle name="Normal 15 2 2 3 3 2" xfId="16087"/>
    <cellStyle name="Normal 15 2 2 3 3 3" xfId="23054"/>
    <cellStyle name="Normal 15 2 2 3 3 4" xfId="30021"/>
    <cellStyle name="Normal 15 2 2 3 3 5" xfId="36990"/>
    <cellStyle name="Normal 15 2 2 3 4" xfId="13767"/>
    <cellStyle name="Normal 15 2 2 3 4 2" xfId="20734"/>
    <cellStyle name="Normal 15 2 2 3 4 3" xfId="27701"/>
    <cellStyle name="Normal 15 2 2 3 4 4" xfId="34670"/>
    <cellStyle name="Normal 15 2 2 3 5" xfId="11445"/>
    <cellStyle name="Normal 15 2 2 3 6" xfId="18412"/>
    <cellStyle name="Normal 15 2 2 3 7" xfId="25379"/>
    <cellStyle name="Normal 15 2 2 3 8" xfId="32347"/>
    <cellStyle name="Normal 15 2 2 4" xfId="3611"/>
    <cellStyle name="Normal 15 2 2 4 2" xfId="4955"/>
    <cellStyle name="Normal 15 2 2 4 2 2" xfId="9830"/>
    <cellStyle name="Normal 15 2 2 4 2 2 2" xfId="16828"/>
    <cellStyle name="Normal 15 2 2 4 2 2 3" xfId="23795"/>
    <cellStyle name="Normal 15 2 2 4 2 2 4" xfId="30762"/>
    <cellStyle name="Normal 15 2 2 4 2 2 5" xfId="37731"/>
    <cellStyle name="Normal 15 2 2 4 2 3" xfId="14508"/>
    <cellStyle name="Normal 15 2 2 4 2 3 2" xfId="21475"/>
    <cellStyle name="Normal 15 2 2 4 2 3 3" xfId="28442"/>
    <cellStyle name="Normal 15 2 2 4 2 3 4" xfId="35411"/>
    <cellStyle name="Normal 15 2 2 4 2 4" xfId="12186"/>
    <cellStyle name="Normal 15 2 2 4 2 5" xfId="19153"/>
    <cellStyle name="Normal 15 2 2 4 2 6" xfId="26120"/>
    <cellStyle name="Normal 15 2 2 4 2 7" xfId="33088"/>
    <cellStyle name="Normal 15 2 2 4 3" xfId="9219"/>
    <cellStyle name="Normal 15 2 2 4 3 2" xfId="16258"/>
    <cellStyle name="Normal 15 2 2 4 3 3" xfId="23225"/>
    <cellStyle name="Normal 15 2 2 4 3 4" xfId="30192"/>
    <cellStyle name="Normal 15 2 2 4 3 5" xfId="37161"/>
    <cellStyle name="Normal 15 2 2 4 4" xfId="13938"/>
    <cellStyle name="Normal 15 2 2 4 4 2" xfId="20905"/>
    <cellStyle name="Normal 15 2 2 4 4 3" xfId="27872"/>
    <cellStyle name="Normal 15 2 2 4 4 4" xfId="34841"/>
    <cellStyle name="Normal 15 2 2 4 5" xfId="11616"/>
    <cellStyle name="Normal 15 2 2 4 6" xfId="18583"/>
    <cellStyle name="Normal 15 2 2 4 7" xfId="25550"/>
    <cellStyle name="Normal 15 2 2 4 8" xfId="32518"/>
    <cellStyle name="Normal 15 2 2 5" xfId="3888"/>
    <cellStyle name="Normal 15 2 2 5 2" xfId="4956"/>
    <cellStyle name="Normal 15 2 2 5 2 2" xfId="9831"/>
    <cellStyle name="Normal 15 2 2 5 2 2 2" xfId="16829"/>
    <cellStyle name="Normal 15 2 2 5 2 2 3" xfId="23796"/>
    <cellStyle name="Normal 15 2 2 5 2 2 4" xfId="30763"/>
    <cellStyle name="Normal 15 2 2 5 2 2 5" xfId="37732"/>
    <cellStyle name="Normal 15 2 2 5 2 3" xfId="14509"/>
    <cellStyle name="Normal 15 2 2 5 2 3 2" xfId="21476"/>
    <cellStyle name="Normal 15 2 2 5 2 3 3" xfId="28443"/>
    <cellStyle name="Normal 15 2 2 5 2 3 4" xfId="35412"/>
    <cellStyle name="Normal 15 2 2 5 2 4" xfId="12187"/>
    <cellStyle name="Normal 15 2 2 5 2 5" xfId="19154"/>
    <cellStyle name="Normal 15 2 2 5 2 6" xfId="26121"/>
    <cellStyle name="Normal 15 2 2 5 2 7" xfId="33089"/>
    <cellStyle name="Normal 15 2 2 5 3" xfId="9494"/>
    <cellStyle name="Normal 15 2 2 5 3 2" xfId="16530"/>
    <cellStyle name="Normal 15 2 2 5 3 3" xfId="23497"/>
    <cellStyle name="Normal 15 2 2 5 3 4" xfId="30464"/>
    <cellStyle name="Normal 15 2 2 5 3 5" xfId="37433"/>
    <cellStyle name="Normal 15 2 2 5 4" xfId="14210"/>
    <cellStyle name="Normal 15 2 2 5 4 2" xfId="21177"/>
    <cellStyle name="Normal 15 2 2 5 4 3" xfId="28144"/>
    <cellStyle name="Normal 15 2 2 5 4 4" xfId="35113"/>
    <cellStyle name="Normal 15 2 2 5 5" xfId="11888"/>
    <cellStyle name="Normal 15 2 2 5 6" xfId="18855"/>
    <cellStyle name="Normal 15 2 2 5 7" xfId="25822"/>
    <cellStyle name="Normal 15 2 2 5 8" xfId="32790"/>
    <cellStyle name="Normal 15 2 2 6" xfId="4952"/>
    <cellStyle name="Normal 15 2 2 6 2" xfId="9827"/>
    <cellStyle name="Normal 15 2 2 6 2 2" xfId="16825"/>
    <cellStyle name="Normal 15 2 2 6 2 3" xfId="23792"/>
    <cellStyle name="Normal 15 2 2 6 2 4" xfId="30759"/>
    <cellStyle name="Normal 15 2 2 6 2 5" xfId="37728"/>
    <cellStyle name="Normal 15 2 2 6 3" xfId="14505"/>
    <cellStyle name="Normal 15 2 2 6 3 2" xfId="21472"/>
    <cellStyle name="Normal 15 2 2 6 3 3" xfId="28439"/>
    <cellStyle name="Normal 15 2 2 6 3 4" xfId="35408"/>
    <cellStyle name="Normal 15 2 2 6 4" xfId="12183"/>
    <cellStyle name="Normal 15 2 2 6 5" xfId="19150"/>
    <cellStyle name="Normal 15 2 2 6 6" xfId="26117"/>
    <cellStyle name="Normal 15 2 2 6 7" xfId="33085"/>
    <cellStyle name="Normal 15 2 2 7" xfId="6776"/>
    <cellStyle name="Normal 15 2 2 7 2" xfId="10749"/>
    <cellStyle name="Normal 15 2 2 7 2 2" xfId="17724"/>
    <cellStyle name="Normal 15 2 2 7 2 3" xfId="24691"/>
    <cellStyle name="Normal 15 2 2 7 2 4" xfId="31658"/>
    <cellStyle name="Normal 15 2 2 7 2 5" xfId="38627"/>
    <cellStyle name="Normal 15 2 2 7 3" xfId="15404"/>
    <cellStyle name="Normal 15 2 2 7 3 2" xfId="22371"/>
    <cellStyle name="Normal 15 2 2 7 3 3" xfId="29338"/>
    <cellStyle name="Normal 15 2 2 7 3 4" xfId="36307"/>
    <cellStyle name="Normal 15 2 2 7 4" xfId="13082"/>
    <cellStyle name="Normal 15 2 2 7 5" xfId="20049"/>
    <cellStyle name="Normal 15 2 2 7 6" xfId="27016"/>
    <cellStyle name="Normal 15 2 2 7 7" xfId="33985"/>
    <cellStyle name="Normal 15 2 2 8" xfId="7093"/>
    <cellStyle name="Normal 15 2 2 8 2" xfId="15577"/>
    <cellStyle name="Normal 15 2 2 8 2 2" xfId="22544"/>
    <cellStyle name="Normal 15 2 2 8 2 3" xfId="29511"/>
    <cellStyle name="Normal 15 2 2 8 2 4" xfId="36480"/>
    <cellStyle name="Normal 15 2 2 8 3" xfId="13255"/>
    <cellStyle name="Normal 15 2 2 8 4" xfId="20222"/>
    <cellStyle name="Normal 15 2 2 8 5" xfId="27189"/>
    <cellStyle name="Normal 15 2 2 8 6" xfId="34158"/>
    <cellStyle name="Normal 15 2 2 9" xfId="7953"/>
    <cellStyle name="Normal 15 2 2 9 2" xfId="15749"/>
    <cellStyle name="Normal 15 2 2 9 2 2" xfId="22716"/>
    <cellStyle name="Normal 15 2 2 9 2 3" xfId="29683"/>
    <cellStyle name="Normal 15 2 2 9 2 4" xfId="36652"/>
    <cellStyle name="Normal 15 2 2 9 3" xfId="11105"/>
    <cellStyle name="Normal 15 2 2 9 4" xfId="18072"/>
    <cellStyle name="Normal 15 2 2 9 5" xfId="25039"/>
    <cellStyle name="Normal 15 2 2 9 6" xfId="32007"/>
    <cellStyle name="Normal 15 2 3" xfId="3229"/>
    <cellStyle name="Normal 15 2 3 2" xfId="4957"/>
    <cellStyle name="Normal 15 2 3 2 2" xfId="9832"/>
    <cellStyle name="Normal 15 2 3 2 2 2" xfId="16830"/>
    <cellStyle name="Normal 15 2 3 2 2 3" xfId="23797"/>
    <cellStyle name="Normal 15 2 3 2 2 4" xfId="30764"/>
    <cellStyle name="Normal 15 2 3 2 2 5" xfId="37733"/>
    <cellStyle name="Normal 15 2 3 2 3" xfId="14510"/>
    <cellStyle name="Normal 15 2 3 2 3 2" xfId="21477"/>
    <cellStyle name="Normal 15 2 3 2 3 3" xfId="28444"/>
    <cellStyle name="Normal 15 2 3 2 3 4" xfId="35413"/>
    <cellStyle name="Normal 15 2 3 2 4" xfId="12188"/>
    <cellStyle name="Normal 15 2 3 2 5" xfId="19155"/>
    <cellStyle name="Normal 15 2 3 2 6" xfId="26122"/>
    <cellStyle name="Normal 15 2 3 2 7" xfId="33090"/>
    <cellStyle name="Normal 15 2 3 3" xfId="8863"/>
    <cellStyle name="Normal 15 2 3 3 2" xfId="15919"/>
    <cellStyle name="Normal 15 2 3 3 3" xfId="22886"/>
    <cellStyle name="Normal 15 2 3 3 4" xfId="29853"/>
    <cellStyle name="Normal 15 2 3 3 5" xfId="36822"/>
    <cellStyle name="Normal 15 2 3 4" xfId="13597"/>
    <cellStyle name="Normal 15 2 3 4 2" xfId="20564"/>
    <cellStyle name="Normal 15 2 3 4 3" xfId="27531"/>
    <cellStyle name="Normal 15 2 3 4 4" xfId="34500"/>
    <cellStyle name="Normal 15 2 3 5" xfId="11275"/>
    <cellStyle name="Normal 15 2 3 6" xfId="18242"/>
    <cellStyle name="Normal 15 2 3 7" xfId="25209"/>
    <cellStyle name="Normal 15 2 3 8" xfId="32177"/>
    <cellStyle name="Normal 15 2 4" xfId="3435"/>
    <cellStyle name="Normal 15 2 4 2" xfId="4958"/>
    <cellStyle name="Normal 15 2 4 2 2" xfId="9833"/>
    <cellStyle name="Normal 15 2 4 2 2 2" xfId="16831"/>
    <cellStyle name="Normal 15 2 4 2 2 3" xfId="23798"/>
    <cellStyle name="Normal 15 2 4 2 2 4" xfId="30765"/>
    <cellStyle name="Normal 15 2 4 2 2 5" xfId="37734"/>
    <cellStyle name="Normal 15 2 4 2 3" xfId="14511"/>
    <cellStyle name="Normal 15 2 4 2 3 2" xfId="21478"/>
    <cellStyle name="Normal 15 2 4 2 3 3" xfId="28445"/>
    <cellStyle name="Normal 15 2 4 2 3 4" xfId="35414"/>
    <cellStyle name="Normal 15 2 4 2 4" xfId="12189"/>
    <cellStyle name="Normal 15 2 4 2 5" xfId="19156"/>
    <cellStyle name="Normal 15 2 4 2 6" xfId="26123"/>
    <cellStyle name="Normal 15 2 4 2 7" xfId="33091"/>
    <cellStyle name="Normal 15 2 4 3" xfId="9047"/>
    <cellStyle name="Normal 15 2 4 3 2" xfId="16086"/>
    <cellStyle name="Normal 15 2 4 3 3" xfId="23053"/>
    <cellStyle name="Normal 15 2 4 3 4" xfId="30020"/>
    <cellStyle name="Normal 15 2 4 3 5" xfId="36989"/>
    <cellStyle name="Normal 15 2 4 4" xfId="13766"/>
    <cellStyle name="Normal 15 2 4 4 2" xfId="20733"/>
    <cellStyle name="Normal 15 2 4 4 3" xfId="27700"/>
    <cellStyle name="Normal 15 2 4 4 4" xfId="34669"/>
    <cellStyle name="Normal 15 2 4 5" xfId="11444"/>
    <cellStyle name="Normal 15 2 4 6" xfId="18411"/>
    <cellStyle name="Normal 15 2 4 7" xfId="25378"/>
    <cellStyle name="Normal 15 2 4 8" xfId="32346"/>
    <cellStyle name="Normal 15 2 5" xfId="3610"/>
    <cellStyle name="Normal 15 2 5 2" xfId="4959"/>
    <cellStyle name="Normal 15 2 5 2 2" xfId="9834"/>
    <cellStyle name="Normal 15 2 5 2 2 2" xfId="16832"/>
    <cellStyle name="Normal 15 2 5 2 2 3" xfId="23799"/>
    <cellStyle name="Normal 15 2 5 2 2 4" xfId="30766"/>
    <cellStyle name="Normal 15 2 5 2 2 5" xfId="37735"/>
    <cellStyle name="Normal 15 2 5 2 3" xfId="14512"/>
    <cellStyle name="Normal 15 2 5 2 3 2" xfId="21479"/>
    <cellStyle name="Normal 15 2 5 2 3 3" xfId="28446"/>
    <cellStyle name="Normal 15 2 5 2 3 4" xfId="35415"/>
    <cellStyle name="Normal 15 2 5 2 4" xfId="12190"/>
    <cellStyle name="Normal 15 2 5 2 5" xfId="19157"/>
    <cellStyle name="Normal 15 2 5 2 6" xfId="26124"/>
    <cellStyle name="Normal 15 2 5 2 7" xfId="33092"/>
    <cellStyle name="Normal 15 2 5 3" xfId="9218"/>
    <cellStyle name="Normal 15 2 5 3 2" xfId="16257"/>
    <cellStyle name="Normal 15 2 5 3 3" xfId="23224"/>
    <cellStyle name="Normal 15 2 5 3 4" xfId="30191"/>
    <cellStyle name="Normal 15 2 5 3 5" xfId="37160"/>
    <cellStyle name="Normal 15 2 5 4" xfId="13937"/>
    <cellStyle name="Normal 15 2 5 4 2" xfId="20904"/>
    <cellStyle name="Normal 15 2 5 4 3" xfId="27871"/>
    <cellStyle name="Normal 15 2 5 4 4" xfId="34840"/>
    <cellStyle name="Normal 15 2 5 5" xfId="11615"/>
    <cellStyle name="Normal 15 2 5 6" xfId="18582"/>
    <cellStyle name="Normal 15 2 5 7" xfId="25549"/>
    <cellStyle name="Normal 15 2 5 8" xfId="32517"/>
    <cellStyle name="Normal 15 2 6" xfId="3887"/>
    <cellStyle name="Normal 15 2 6 2" xfId="4960"/>
    <cellStyle name="Normal 15 2 6 2 2" xfId="9835"/>
    <cellStyle name="Normal 15 2 6 2 2 2" xfId="16833"/>
    <cellStyle name="Normal 15 2 6 2 2 3" xfId="23800"/>
    <cellStyle name="Normal 15 2 6 2 2 4" xfId="30767"/>
    <cellStyle name="Normal 15 2 6 2 2 5" xfId="37736"/>
    <cellStyle name="Normal 15 2 6 2 3" xfId="14513"/>
    <cellStyle name="Normal 15 2 6 2 3 2" xfId="21480"/>
    <cellStyle name="Normal 15 2 6 2 3 3" xfId="28447"/>
    <cellStyle name="Normal 15 2 6 2 3 4" xfId="35416"/>
    <cellStyle name="Normal 15 2 6 2 4" xfId="12191"/>
    <cellStyle name="Normal 15 2 6 2 5" xfId="19158"/>
    <cellStyle name="Normal 15 2 6 2 6" xfId="26125"/>
    <cellStyle name="Normal 15 2 6 2 7" xfId="33093"/>
    <cellStyle name="Normal 15 2 6 3" xfId="9493"/>
    <cellStyle name="Normal 15 2 6 3 2" xfId="16529"/>
    <cellStyle name="Normal 15 2 6 3 3" xfId="23496"/>
    <cellStyle name="Normal 15 2 6 3 4" xfId="30463"/>
    <cellStyle name="Normal 15 2 6 3 5" xfId="37432"/>
    <cellStyle name="Normal 15 2 6 4" xfId="14209"/>
    <cellStyle name="Normal 15 2 6 4 2" xfId="21176"/>
    <cellStyle name="Normal 15 2 6 4 3" xfId="28143"/>
    <cellStyle name="Normal 15 2 6 4 4" xfId="35112"/>
    <cellStyle name="Normal 15 2 6 5" xfId="11887"/>
    <cellStyle name="Normal 15 2 6 6" xfId="18854"/>
    <cellStyle name="Normal 15 2 6 7" xfId="25821"/>
    <cellStyle name="Normal 15 2 6 8" xfId="32789"/>
    <cellStyle name="Normal 15 2 7" xfId="4951"/>
    <cellStyle name="Normal 15 2 7 2" xfId="9826"/>
    <cellStyle name="Normal 15 2 7 2 2" xfId="16824"/>
    <cellStyle name="Normal 15 2 7 2 3" xfId="23791"/>
    <cellStyle name="Normal 15 2 7 2 4" xfId="30758"/>
    <cellStyle name="Normal 15 2 7 2 5" xfId="37727"/>
    <cellStyle name="Normal 15 2 7 3" xfId="14504"/>
    <cellStyle name="Normal 15 2 7 3 2" xfId="21471"/>
    <cellStyle name="Normal 15 2 7 3 3" xfId="28438"/>
    <cellStyle name="Normal 15 2 7 3 4" xfId="35407"/>
    <cellStyle name="Normal 15 2 7 4" xfId="12182"/>
    <cellStyle name="Normal 15 2 7 5" xfId="19149"/>
    <cellStyle name="Normal 15 2 7 6" xfId="26116"/>
    <cellStyle name="Normal 15 2 7 7" xfId="33084"/>
    <cellStyle name="Normal 15 2 8" xfId="6775"/>
    <cellStyle name="Normal 15 2 8 2" xfId="10748"/>
    <cellStyle name="Normal 15 2 8 2 2" xfId="17723"/>
    <cellStyle name="Normal 15 2 8 2 3" xfId="24690"/>
    <cellStyle name="Normal 15 2 8 2 4" xfId="31657"/>
    <cellStyle name="Normal 15 2 8 2 5" xfId="38626"/>
    <cellStyle name="Normal 15 2 8 3" xfId="15403"/>
    <cellStyle name="Normal 15 2 8 3 2" xfId="22370"/>
    <cellStyle name="Normal 15 2 8 3 3" xfId="29337"/>
    <cellStyle name="Normal 15 2 8 3 4" xfId="36306"/>
    <cellStyle name="Normal 15 2 8 4" xfId="13081"/>
    <cellStyle name="Normal 15 2 8 5" xfId="20048"/>
    <cellStyle name="Normal 15 2 8 6" xfId="27015"/>
    <cellStyle name="Normal 15 2 8 7" xfId="33984"/>
    <cellStyle name="Normal 15 2 9" xfId="7092"/>
    <cellStyle name="Normal 15 2 9 2" xfId="15576"/>
    <cellStyle name="Normal 15 2 9 2 2" xfId="22543"/>
    <cellStyle name="Normal 15 2 9 2 3" xfId="29510"/>
    <cellStyle name="Normal 15 2 9 2 4" xfId="36479"/>
    <cellStyle name="Normal 15 2 9 3" xfId="13254"/>
    <cellStyle name="Normal 15 2 9 4" xfId="20221"/>
    <cellStyle name="Normal 15 2 9 5" xfId="27188"/>
    <cellStyle name="Normal 15 2 9 6" xfId="34157"/>
    <cellStyle name="Normal 15 3" xfId="1442"/>
    <cellStyle name="Normal 15 3 10" xfId="13428"/>
    <cellStyle name="Normal 15 3 10 2" xfId="20395"/>
    <cellStyle name="Normal 15 3 10 3" xfId="27362"/>
    <cellStyle name="Normal 15 3 10 4" xfId="34331"/>
    <cellStyle name="Normal 15 3 11" xfId="10934"/>
    <cellStyle name="Normal 15 3 12" xfId="17900"/>
    <cellStyle name="Normal 15 3 13" xfId="24868"/>
    <cellStyle name="Normal 15 3 14" xfId="31836"/>
    <cellStyle name="Normal 15 3 2" xfId="3231"/>
    <cellStyle name="Normal 15 3 2 2" xfId="4962"/>
    <cellStyle name="Normal 15 3 2 2 2" xfId="9837"/>
    <cellStyle name="Normal 15 3 2 2 2 2" xfId="16835"/>
    <cellStyle name="Normal 15 3 2 2 2 3" xfId="23802"/>
    <cellStyle name="Normal 15 3 2 2 2 4" xfId="30769"/>
    <cellStyle name="Normal 15 3 2 2 2 5" xfId="37738"/>
    <cellStyle name="Normal 15 3 2 2 3" xfId="14515"/>
    <cellStyle name="Normal 15 3 2 2 3 2" xfId="21482"/>
    <cellStyle name="Normal 15 3 2 2 3 3" xfId="28449"/>
    <cellStyle name="Normal 15 3 2 2 3 4" xfId="35418"/>
    <cellStyle name="Normal 15 3 2 2 4" xfId="12193"/>
    <cellStyle name="Normal 15 3 2 2 5" xfId="19160"/>
    <cellStyle name="Normal 15 3 2 2 6" xfId="26127"/>
    <cellStyle name="Normal 15 3 2 2 7" xfId="33095"/>
    <cellStyle name="Normal 15 3 2 3" xfId="8865"/>
    <cellStyle name="Normal 15 3 2 3 2" xfId="15921"/>
    <cellStyle name="Normal 15 3 2 3 3" xfId="22888"/>
    <cellStyle name="Normal 15 3 2 3 4" xfId="29855"/>
    <cellStyle name="Normal 15 3 2 3 5" xfId="36824"/>
    <cellStyle name="Normal 15 3 2 4" xfId="13599"/>
    <cellStyle name="Normal 15 3 2 4 2" xfId="20566"/>
    <cellStyle name="Normal 15 3 2 4 3" xfId="27533"/>
    <cellStyle name="Normal 15 3 2 4 4" xfId="34502"/>
    <cellStyle name="Normal 15 3 2 5" xfId="11277"/>
    <cellStyle name="Normal 15 3 2 6" xfId="18244"/>
    <cellStyle name="Normal 15 3 2 7" xfId="25211"/>
    <cellStyle name="Normal 15 3 2 8" xfId="32179"/>
    <cellStyle name="Normal 15 3 3" xfId="3437"/>
    <cellStyle name="Normal 15 3 3 2" xfId="4963"/>
    <cellStyle name="Normal 15 3 3 2 2" xfId="9838"/>
    <cellStyle name="Normal 15 3 3 2 2 2" xfId="16836"/>
    <cellStyle name="Normal 15 3 3 2 2 3" xfId="23803"/>
    <cellStyle name="Normal 15 3 3 2 2 4" xfId="30770"/>
    <cellStyle name="Normal 15 3 3 2 2 5" xfId="37739"/>
    <cellStyle name="Normal 15 3 3 2 3" xfId="14516"/>
    <cellStyle name="Normal 15 3 3 2 3 2" xfId="21483"/>
    <cellStyle name="Normal 15 3 3 2 3 3" xfId="28450"/>
    <cellStyle name="Normal 15 3 3 2 3 4" xfId="35419"/>
    <cellStyle name="Normal 15 3 3 2 4" xfId="12194"/>
    <cellStyle name="Normal 15 3 3 2 5" xfId="19161"/>
    <cellStyle name="Normal 15 3 3 2 6" xfId="26128"/>
    <cellStyle name="Normal 15 3 3 2 7" xfId="33096"/>
    <cellStyle name="Normal 15 3 3 3" xfId="9049"/>
    <cellStyle name="Normal 15 3 3 3 2" xfId="16088"/>
    <cellStyle name="Normal 15 3 3 3 3" xfId="23055"/>
    <cellStyle name="Normal 15 3 3 3 4" xfId="30022"/>
    <cellStyle name="Normal 15 3 3 3 5" xfId="36991"/>
    <cellStyle name="Normal 15 3 3 4" xfId="13768"/>
    <cellStyle name="Normal 15 3 3 4 2" xfId="20735"/>
    <cellStyle name="Normal 15 3 3 4 3" xfId="27702"/>
    <cellStyle name="Normal 15 3 3 4 4" xfId="34671"/>
    <cellStyle name="Normal 15 3 3 5" xfId="11446"/>
    <cellStyle name="Normal 15 3 3 6" xfId="18413"/>
    <cellStyle name="Normal 15 3 3 7" xfId="25380"/>
    <cellStyle name="Normal 15 3 3 8" xfId="32348"/>
    <cellStyle name="Normal 15 3 4" xfId="3612"/>
    <cellStyle name="Normal 15 3 4 2" xfId="4964"/>
    <cellStyle name="Normal 15 3 4 2 2" xfId="9839"/>
    <cellStyle name="Normal 15 3 4 2 2 2" xfId="16837"/>
    <cellStyle name="Normal 15 3 4 2 2 3" xfId="23804"/>
    <cellStyle name="Normal 15 3 4 2 2 4" xfId="30771"/>
    <cellStyle name="Normal 15 3 4 2 2 5" xfId="37740"/>
    <cellStyle name="Normal 15 3 4 2 3" xfId="14517"/>
    <cellStyle name="Normal 15 3 4 2 3 2" xfId="21484"/>
    <cellStyle name="Normal 15 3 4 2 3 3" xfId="28451"/>
    <cellStyle name="Normal 15 3 4 2 3 4" xfId="35420"/>
    <cellStyle name="Normal 15 3 4 2 4" xfId="12195"/>
    <cellStyle name="Normal 15 3 4 2 5" xfId="19162"/>
    <cellStyle name="Normal 15 3 4 2 6" xfId="26129"/>
    <cellStyle name="Normal 15 3 4 2 7" xfId="33097"/>
    <cellStyle name="Normal 15 3 4 3" xfId="9220"/>
    <cellStyle name="Normal 15 3 4 3 2" xfId="16259"/>
    <cellStyle name="Normal 15 3 4 3 3" xfId="23226"/>
    <cellStyle name="Normal 15 3 4 3 4" xfId="30193"/>
    <cellStyle name="Normal 15 3 4 3 5" xfId="37162"/>
    <cellStyle name="Normal 15 3 4 4" xfId="13939"/>
    <cellStyle name="Normal 15 3 4 4 2" xfId="20906"/>
    <cellStyle name="Normal 15 3 4 4 3" xfId="27873"/>
    <cellStyle name="Normal 15 3 4 4 4" xfId="34842"/>
    <cellStyle name="Normal 15 3 4 5" xfId="11617"/>
    <cellStyle name="Normal 15 3 4 6" xfId="18584"/>
    <cellStyle name="Normal 15 3 4 7" xfId="25551"/>
    <cellStyle name="Normal 15 3 4 8" xfId="32519"/>
    <cellStyle name="Normal 15 3 5" xfId="3889"/>
    <cellStyle name="Normal 15 3 5 2" xfId="4965"/>
    <cellStyle name="Normal 15 3 5 2 2" xfId="9840"/>
    <cellStyle name="Normal 15 3 5 2 2 2" xfId="16838"/>
    <cellStyle name="Normal 15 3 5 2 2 3" xfId="23805"/>
    <cellStyle name="Normal 15 3 5 2 2 4" xfId="30772"/>
    <cellStyle name="Normal 15 3 5 2 2 5" xfId="37741"/>
    <cellStyle name="Normal 15 3 5 2 3" xfId="14518"/>
    <cellStyle name="Normal 15 3 5 2 3 2" xfId="21485"/>
    <cellStyle name="Normal 15 3 5 2 3 3" xfId="28452"/>
    <cellStyle name="Normal 15 3 5 2 3 4" xfId="35421"/>
    <cellStyle name="Normal 15 3 5 2 4" xfId="12196"/>
    <cellStyle name="Normal 15 3 5 2 5" xfId="19163"/>
    <cellStyle name="Normal 15 3 5 2 6" xfId="26130"/>
    <cellStyle name="Normal 15 3 5 2 7" xfId="33098"/>
    <cellStyle name="Normal 15 3 5 3" xfId="9495"/>
    <cellStyle name="Normal 15 3 5 3 2" xfId="16531"/>
    <cellStyle name="Normal 15 3 5 3 3" xfId="23498"/>
    <cellStyle name="Normal 15 3 5 3 4" xfId="30465"/>
    <cellStyle name="Normal 15 3 5 3 5" xfId="37434"/>
    <cellStyle name="Normal 15 3 5 4" xfId="14211"/>
    <cellStyle name="Normal 15 3 5 4 2" xfId="21178"/>
    <cellStyle name="Normal 15 3 5 4 3" xfId="28145"/>
    <cellStyle name="Normal 15 3 5 4 4" xfId="35114"/>
    <cellStyle name="Normal 15 3 5 5" xfId="11889"/>
    <cellStyle name="Normal 15 3 5 6" xfId="18856"/>
    <cellStyle name="Normal 15 3 5 7" xfId="25823"/>
    <cellStyle name="Normal 15 3 5 8" xfId="32791"/>
    <cellStyle name="Normal 15 3 6" xfId="4961"/>
    <cellStyle name="Normal 15 3 6 2" xfId="9836"/>
    <cellStyle name="Normal 15 3 6 2 2" xfId="16834"/>
    <cellStyle name="Normal 15 3 6 2 3" xfId="23801"/>
    <cellStyle name="Normal 15 3 6 2 4" xfId="30768"/>
    <cellStyle name="Normal 15 3 6 2 5" xfId="37737"/>
    <cellStyle name="Normal 15 3 6 3" xfId="14514"/>
    <cellStyle name="Normal 15 3 6 3 2" xfId="21481"/>
    <cellStyle name="Normal 15 3 6 3 3" xfId="28448"/>
    <cellStyle name="Normal 15 3 6 3 4" xfId="35417"/>
    <cellStyle name="Normal 15 3 6 4" xfId="12192"/>
    <cellStyle name="Normal 15 3 6 5" xfId="19159"/>
    <cellStyle name="Normal 15 3 6 6" xfId="26126"/>
    <cellStyle name="Normal 15 3 6 7" xfId="33094"/>
    <cellStyle name="Normal 15 3 7" xfId="6777"/>
    <cellStyle name="Normal 15 3 7 2" xfId="10750"/>
    <cellStyle name="Normal 15 3 7 2 2" xfId="17725"/>
    <cellStyle name="Normal 15 3 7 2 3" xfId="24692"/>
    <cellStyle name="Normal 15 3 7 2 4" xfId="31659"/>
    <cellStyle name="Normal 15 3 7 2 5" xfId="38628"/>
    <cellStyle name="Normal 15 3 7 3" xfId="15405"/>
    <cellStyle name="Normal 15 3 7 3 2" xfId="22372"/>
    <cellStyle name="Normal 15 3 7 3 3" xfId="29339"/>
    <cellStyle name="Normal 15 3 7 3 4" xfId="36308"/>
    <cellStyle name="Normal 15 3 7 4" xfId="13083"/>
    <cellStyle name="Normal 15 3 7 5" xfId="20050"/>
    <cellStyle name="Normal 15 3 7 6" xfId="27017"/>
    <cellStyle name="Normal 15 3 7 7" xfId="33986"/>
    <cellStyle name="Normal 15 3 8" xfId="7094"/>
    <cellStyle name="Normal 15 3 8 2" xfId="15578"/>
    <cellStyle name="Normal 15 3 8 2 2" xfId="22545"/>
    <cellStyle name="Normal 15 3 8 2 3" xfId="29512"/>
    <cellStyle name="Normal 15 3 8 2 4" xfId="36481"/>
    <cellStyle name="Normal 15 3 8 3" xfId="13256"/>
    <cellStyle name="Normal 15 3 8 4" xfId="20223"/>
    <cellStyle name="Normal 15 3 8 5" xfId="27190"/>
    <cellStyle name="Normal 15 3 8 6" xfId="34159"/>
    <cellStyle name="Normal 15 3 9" xfId="7954"/>
    <cellStyle name="Normal 15 3 9 2" xfId="15750"/>
    <cellStyle name="Normal 15 3 9 2 2" xfId="22717"/>
    <cellStyle name="Normal 15 3 9 2 3" xfId="29684"/>
    <cellStyle name="Normal 15 3 9 2 4" xfId="36653"/>
    <cellStyle name="Normal 15 3 9 3" xfId="11106"/>
    <cellStyle name="Normal 15 3 9 4" xfId="18073"/>
    <cellStyle name="Normal 15 3 9 5" xfId="25040"/>
    <cellStyle name="Normal 15 3 9 6" xfId="32008"/>
    <cellStyle name="Normal 15 4" xfId="3228"/>
    <cellStyle name="Normal 15 4 2" xfId="4966"/>
    <cellStyle name="Normal 15 4 2 2" xfId="9841"/>
    <cellStyle name="Normal 15 4 2 2 2" xfId="16839"/>
    <cellStyle name="Normal 15 4 2 2 3" xfId="23806"/>
    <cellStyle name="Normal 15 4 2 2 4" xfId="30773"/>
    <cellStyle name="Normal 15 4 2 2 5" xfId="37742"/>
    <cellStyle name="Normal 15 4 2 3" xfId="14519"/>
    <cellStyle name="Normal 15 4 2 3 2" xfId="21486"/>
    <cellStyle name="Normal 15 4 2 3 3" xfId="28453"/>
    <cellStyle name="Normal 15 4 2 3 4" xfId="35422"/>
    <cellStyle name="Normal 15 4 2 4" xfId="12197"/>
    <cellStyle name="Normal 15 4 2 5" xfId="19164"/>
    <cellStyle name="Normal 15 4 2 6" xfId="26131"/>
    <cellStyle name="Normal 15 4 2 7" xfId="33099"/>
    <cellStyle name="Normal 15 4 3" xfId="8862"/>
    <cellStyle name="Normal 15 4 3 2" xfId="15918"/>
    <cellStyle name="Normal 15 4 3 3" xfId="22885"/>
    <cellStyle name="Normal 15 4 3 4" xfId="29852"/>
    <cellStyle name="Normal 15 4 3 5" xfId="36821"/>
    <cellStyle name="Normal 15 4 4" xfId="13596"/>
    <cellStyle name="Normal 15 4 4 2" xfId="20563"/>
    <cellStyle name="Normal 15 4 4 3" xfId="27530"/>
    <cellStyle name="Normal 15 4 4 4" xfId="34499"/>
    <cellStyle name="Normal 15 4 5" xfId="11274"/>
    <cellStyle name="Normal 15 4 6" xfId="18241"/>
    <cellStyle name="Normal 15 4 7" xfId="25208"/>
    <cellStyle name="Normal 15 4 8" xfId="32176"/>
    <cellStyle name="Normal 15 5" xfId="3434"/>
    <cellStyle name="Normal 15 5 2" xfId="4967"/>
    <cellStyle name="Normal 15 5 2 2" xfId="9842"/>
    <cellStyle name="Normal 15 5 2 2 2" xfId="16840"/>
    <cellStyle name="Normal 15 5 2 2 3" xfId="23807"/>
    <cellStyle name="Normal 15 5 2 2 4" xfId="30774"/>
    <cellStyle name="Normal 15 5 2 2 5" xfId="37743"/>
    <cellStyle name="Normal 15 5 2 3" xfId="14520"/>
    <cellStyle name="Normal 15 5 2 3 2" xfId="21487"/>
    <cellStyle name="Normal 15 5 2 3 3" xfId="28454"/>
    <cellStyle name="Normal 15 5 2 3 4" xfId="35423"/>
    <cellStyle name="Normal 15 5 2 4" xfId="12198"/>
    <cellStyle name="Normal 15 5 2 5" xfId="19165"/>
    <cellStyle name="Normal 15 5 2 6" xfId="26132"/>
    <cellStyle name="Normal 15 5 2 7" xfId="33100"/>
    <cellStyle name="Normal 15 5 3" xfId="9046"/>
    <cellStyle name="Normal 15 5 3 2" xfId="16085"/>
    <cellStyle name="Normal 15 5 3 3" xfId="23052"/>
    <cellStyle name="Normal 15 5 3 4" xfId="30019"/>
    <cellStyle name="Normal 15 5 3 5" xfId="36988"/>
    <cellStyle name="Normal 15 5 4" xfId="13765"/>
    <cellStyle name="Normal 15 5 4 2" xfId="20732"/>
    <cellStyle name="Normal 15 5 4 3" xfId="27699"/>
    <cellStyle name="Normal 15 5 4 4" xfId="34668"/>
    <cellStyle name="Normal 15 5 5" xfId="11443"/>
    <cellStyle name="Normal 15 5 6" xfId="18410"/>
    <cellStyle name="Normal 15 5 7" xfId="25377"/>
    <cellStyle name="Normal 15 5 8" xfId="32345"/>
    <cellStyle name="Normal 15 6" xfId="3609"/>
    <cellStyle name="Normal 15 6 2" xfId="4968"/>
    <cellStyle name="Normal 15 6 2 2" xfId="9843"/>
    <cellStyle name="Normal 15 6 2 2 2" xfId="16841"/>
    <cellStyle name="Normal 15 6 2 2 3" xfId="23808"/>
    <cellStyle name="Normal 15 6 2 2 4" xfId="30775"/>
    <cellStyle name="Normal 15 6 2 2 5" xfId="37744"/>
    <cellStyle name="Normal 15 6 2 3" xfId="14521"/>
    <cellStyle name="Normal 15 6 2 3 2" xfId="21488"/>
    <cellStyle name="Normal 15 6 2 3 3" xfId="28455"/>
    <cellStyle name="Normal 15 6 2 3 4" xfId="35424"/>
    <cellStyle name="Normal 15 6 2 4" xfId="12199"/>
    <cellStyle name="Normal 15 6 2 5" xfId="19166"/>
    <cellStyle name="Normal 15 6 2 6" xfId="26133"/>
    <cellStyle name="Normal 15 6 2 7" xfId="33101"/>
    <cellStyle name="Normal 15 6 3" xfId="9217"/>
    <cellStyle name="Normal 15 6 3 2" xfId="16256"/>
    <cellStyle name="Normal 15 6 3 3" xfId="23223"/>
    <cellStyle name="Normal 15 6 3 4" xfId="30190"/>
    <cellStyle name="Normal 15 6 3 5" xfId="37159"/>
    <cellStyle name="Normal 15 6 4" xfId="13936"/>
    <cellStyle name="Normal 15 6 4 2" xfId="20903"/>
    <cellStyle name="Normal 15 6 4 3" xfId="27870"/>
    <cellStyle name="Normal 15 6 4 4" xfId="34839"/>
    <cellStyle name="Normal 15 6 5" xfId="11614"/>
    <cellStyle name="Normal 15 6 6" xfId="18581"/>
    <cellStyle name="Normal 15 6 7" xfId="25548"/>
    <cellStyle name="Normal 15 6 8" xfId="32516"/>
    <cellStyle name="Normal 15 7" xfId="3886"/>
    <cellStyle name="Normal 15 7 2" xfId="4969"/>
    <cellStyle name="Normal 15 7 2 2" xfId="9844"/>
    <cellStyle name="Normal 15 7 2 2 2" xfId="16842"/>
    <cellStyle name="Normal 15 7 2 2 3" xfId="23809"/>
    <cellStyle name="Normal 15 7 2 2 4" xfId="30776"/>
    <cellStyle name="Normal 15 7 2 2 5" xfId="37745"/>
    <cellStyle name="Normal 15 7 2 3" xfId="14522"/>
    <cellStyle name="Normal 15 7 2 3 2" xfId="21489"/>
    <cellStyle name="Normal 15 7 2 3 3" xfId="28456"/>
    <cellStyle name="Normal 15 7 2 3 4" xfId="35425"/>
    <cellStyle name="Normal 15 7 2 4" xfId="12200"/>
    <cellStyle name="Normal 15 7 2 5" xfId="19167"/>
    <cellStyle name="Normal 15 7 2 6" xfId="26134"/>
    <cellStyle name="Normal 15 7 2 7" xfId="33102"/>
    <cellStyle name="Normal 15 7 3" xfId="9492"/>
    <cellStyle name="Normal 15 7 3 2" xfId="16528"/>
    <cellStyle name="Normal 15 7 3 3" xfId="23495"/>
    <cellStyle name="Normal 15 7 3 4" xfId="30462"/>
    <cellStyle name="Normal 15 7 3 5" xfId="37431"/>
    <cellStyle name="Normal 15 7 4" xfId="14208"/>
    <cellStyle name="Normal 15 7 4 2" xfId="21175"/>
    <cellStyle name="Normal 15 7 4 3" xfId="28142"/>
    <cellStyle name="Normal 15 7 4 4" xfId="35111"/>
    <cellStyle name="Normal 15 7 5" xfId="11886"/>
    <cellStyle name="Normal 15 7 6" xfId="18853"/>
    <cellStyle name="Normal 15 7 7" xfId="25820"/>
    <cellStyle name="Normal 15 7 8" xfId="32788"/>
    <cellStyle name="Normal 15 8" xfId="4950"/>
    <cellStyle name="Normal 15 8 2" xfId="9825"/>
    <cellStyle name="Normal 15 8 2 2" xfId="16823"/>
    <cellStyle name="Normal 15 8 2 3" xfId="23790"/>
    <cellStyle name="Normal 15 8 2 4" xfId="30757"/>
    <cellStyle name="Normal 15 8 2 5" xfId="37726"/>
    <cellStyle name="Normal 15 8 3" xfId="14503"/>
    <cellStyle name="Normal 15 8 3 2" xfId="21470"/>
    <cellStyle name="Normal 15 8 3 3" xfId="28437"/>
    <cellStyle name="Normal 15 8 3 4" xfId="35406"/>
    <cellStyle name="Normal 15 8 4" xfId="12181"/>
    <cellStyle name="Normal 15 8 5" xfId="19148"/>
    <cellStyle name="Normal 15 8 6" xfId="26115"/>
    <cellStyle name="Normal 15 8 7" xfId="33083"/>
    <cellStyle name="Normal 15 9" xfId="6774"/>
    <cellStyle name="Normal 15 9 2" xfId="10747"/>
    <cellStyle name="Normal 15 9 2 2" xfId="17722"/>
    <cellStyle name="Normal 15 9 2 3" xfId="24689"/>
    <cellStyle name="Normal 15 9 2 4" xfId="31656"/>
    <cellStyle name="Normal 15 9 2 5" xfId="38625"/>
    <cellStyle name="Normal 15 9 3" xfId="15402"/>
    <cellStyle name="Normal 15 9 3 2" xfId="22369"/>
    <cellStyle name="Normal 15 9 3 3" xfId="29336"/>
    <cellStyle name="Normal 15 9 3 4" xfId="36305"/>
    <cellStyle name="Normal 15 9 4" xfId="13080"/>
    <cellStyle name="Normal 15 9 5" xfId="20047"/>
    <cellStyle name="Normal 15 9 6" xfId="27014"/>
    <cellStyle name="Normal 15 9 7" xfId="33983"/>
    <cellStyle name="Normal 150" xfId="1443"/>
    <cellStyle name="Normal 150 2" xfId="1444"/>
    <cellStyle name="Normal 150 3" xfId="1445"/>
    <cellStyle name="Normal 151" xfId="1446"/>
    <cellStyle name="Normal 151 2" xfId="1447"/>
    <cellStyle name="Normal 151 3" xfId="1448"/>
    <cellStyle name="Normal 152" xfId="1449"/>
    <cellStyle name="Normal 152 2" xfId="1450"/>
    <cellStyle name="Normal 152 3" xfId="1451"/>
    <cellStyle name="Normal 153" xfId="1452"/>
    <cellStyle name="Normal 153 2" xfId="1453"/>
    <cellStyle name="Normal 153 3" xfId="1454"/>
    <cellStyle name="Normal 154" xfId="1455"/>
    <cellStyle name="Normal 154 2" xfId="1456"/>
    <cellStyle name="Normal 154 3" xfId="1457"/>
    <cellStyle name="Normal 155" xfId="1458"/>
    <cellStyle name="Normal 155 2" xfId="1459"/>
    <cellStyle name="Normal 155 3" xfId="1460"/>
    <cellStyle name="Normal 156" xfId="1461"/>
    <cellStyle name="Normal 156 2" xfId="1462"/>
    <cellStyle name="Normal 156 3" xfId="1463"/>
    <cellStyle name="Normal 157" xfId="1464"/>
    <cellStyle name="Normal 157 2" xfId="1465"/>
    <cellStyle name="Normal 157 3" xfId="1466"/>
    <cellStyle name="Normal 158" xfId="1467"/>
    <cellStyle name="Normal 158 2" xfId="1468"/>
    <cellStyle name="Normal 158 3" xfId="1469"/>
    <cellStyle name="Normal 159" xfId="1470"/>
    <cellStyle name="Normal 159 2" xfId="1471"/>
    <cellStyle name="Normal 159 3" xfId="1472"/>
    <cellStyle name="Normal 16" xfId="1473"/>
    <cellStyle name="Normal 16 10" xfId="7095"/>
    <cellStyle name="Normal 16 10 2" xfId="15579"/>
    <cellStyle name="Normal 16 10 2 2" xfId="22546"/>
    <cellStyle name="Normal 16 10 2 3" xfId="29513"/>
    <cellStyle name="Normal 16 10 2 4" xfId="36482"/>
    <cellStyle name="Normal 16 10 3" xfId="13257"/>
    <cellStyle name="Normal 16 10 4" xfId="20224"/>
    <cellStyle name="Normal 16 10 5" xfId="27191"/>
    <cellStyle name="Normal 16 10 6" xfId="34160"/>
    <cellStyle name="Normal 16 11" xfId="7955"/>
    <cellStyle name="Normal 16 11 2" xfId="15751"/>
    <cellStyle name="Normal 16 11 2 2" xfId="22718"/>
    <cellStyle name="Normal 16 11 2 3" xfId="29685"/>
    <cellStyle name="Normal 16 11 2 4" xfId="36654"/>
    <cellStyle name="Normal 16 11 3" xfId="11107"/>
    <cellStyle name="Normal 16 11 4" xfId="18074"/>
    <cellStyle name="Normal 16 11 5" xfId="25041"/>
    <cellStyle name="Normal 16 11 6" xfId="32009"/>
    <cellStyle name="Normal 16 12" xfId="13429"/>
    <cellStyle name="Normal 16 12 2" xfId="20396"/>
    <cellStyle name="Normal 16 12 3" xfId="27363"/>
    <cellStyle name="Normal 16 12 4" xfId="34332"/>
    <cellStyle name="Normal 16 13" xfId="10935"/>
    <cellStyle name="Normal 16 14" xfId="17901"/>
    <cellStyle name="Normal 16 15" xfId="24869"/>
    <cellStyle name="Normal 16 16" xfId="31837"/>
    <cellStyle name="Normal 16 2" xfId="1474"/>
    <cellStyle name="Normal 16 2 10" xfId="7956"/>
    <cellStyle name="Normal 16 2 10 2" xfId="15752"/>
    <cellStyle name="Normal 16 2 10 2 2" xfId="22719"/>
    <cellStyle name="Normal 16 2 10 2 3" xfId="29686"/>
    <cellStyle name="Normal 16 2 10 2 4" xfId="36655"/>
    <cellStyle name="Normal 16 2 10 3" xfId="11108"/>
    <cellStyle name="Normal 16 2 10 4" xfId="18075"/>
    <cellStyle name="Normal 16 2 10 5" xfId="25042"/>
    <cellStyle name="Normal 16 2 10 6" xfId="32010"/>
    <cellStyle name="Normal 16 2 11" xfId="13430"/>
    <cellStyle name="Normal 16 2 11 2" xfId="20397"/>
    <cellStyle name="Normal 16 2 11 3" xfId="27364"/>
    <cellStyle name="Normal 16 2 11 4" xfId="34333"/>
    <cellStyle name="Normal 16 2 12" xfId="10936"/>
    <cellStyle name="Normal 16 2 13" xfId="17902"/>
    <cellStyle name="Normal 16 2 14" xfId="24870"/>
    <cellStyle name="Normal 16 2 15" xfId="31838"/>
    <cellStyle name="Normal 16 2 2" xfId="1475"/>
    <cellStyle name="Normal 16 2 2 10" xfId="13431"/>
    <cellStyle name="Normal 16 2 2 10 2" xfId="20398"/>
    <cellStyle name="Normal 16 2 2 10 3" xfId="27365"/>
    <cellStyle name="Normal 16 2 2 10 4" xfId="34334"/>
    <cellStyle name="Normal 16 2 2 11" xfId="10937"/>
    <cellStyle name="Normal 16 2 2 12" xfId="17903"/>
    <cellStyle name="Normal 16 2 2 13" xfId="24871"/>
    <cellStyle name="Normal 16 2 2 14" xfId="31839"/>
    <cellStyle name="Normal 16 2 2 2" xfId="3234"/>
    <cellStyle name="Normal 16 2 2 2 2" xfId="4973"/>
    <cellStyle name="Normal 16 2 2 2 2 2" xfId="9848"/>
    <cellStyle name="Normal 16 2 2 2 2 2 2" xfId="16846"/>
    <cellStyle name="Normal 16 2 2 2 2 2 3" xfId="23813"/>
    <cellStyle name="Normal 16 2 2 2 2 2 4" xfId="30780"/>
    <cellStyle name="Normal 16 2 2 2 2 2 5" xfId="37749"/>
    <cellStyle name="Normal 16 2 2 2 2 3" xfId="14526"/>
    <cellStyle name="Normal 16 2 2 2 2 3 2" xfId="21493"/>
    <cellStyle name="Normal 16 2 2 2 2 3 3" xfId="28460"/>
    <cellStyle name="Normal 16 2 2 2 2 3 4" xfId="35429"/>
    <cellStyle name="Normal 16 2 2 2 2 4" xfId="12204"/>
    <cellStyle name="Normal 16 2 2 2 2 5" xfId="19171"/>
    <cellStyle name="Normal 16 2 2 2 2 6" xfId="26138"/>
    <cellStyle name="Normal 16 2 2 2 2 7" xfId="33106"/>
    <cellStyle name="Normal 16 2 2 2 3" xfId="8868"/>
    <cellStyle name="Normal 16 2 2 2 3 2" xfId="15924"/>
    <cellStyle name="Normal 16 2 2 2 3 3" xfId="22891"/>
    <cellStyle name="Normal 16 2 2 2 3 4" xfId="29858"/>
    <cellStyle name="Normal 16 2 2 2 3 5" xfId="36827"/>
    <cellStyle name="Normal 16 2 2 2 4" xfId="13602"/>
    <cellStyle name="Normal 16 2 2 2 4 2" xfId="20569"/>
    <cellStyle name="Normal 16 2 2 2 4 3" xfId="27536"/>
    <cellStyle name="Normal 16 2 2 2 4 4" xfId="34505"/>
    <cellStyle name="Normal 16 2 2 2 5" xfId="11280"/>
    <cellStyle name="Normal 16 2 2 2 6" xfId="18247"/>
    <cellStyle name="Normal 16 2 2 2 7" xfId="25214"/>
    <cellStyle name="Normal 16 2 2 2 8" xfId="32182"/>
    <cellStyle name="Normal 16 2 2 3" xfId="3440"/>
    <cellStyle name="Normal 16 2 2 3 2" xfId="4974"/>
    <cellStyle name="Normal 16 2 2 3 2 2" xfId="9849"/>
    <cellStyle name="Normal 16 2 2 3 2 2 2" xfId="16847"/>
    <cellStyle name="Normal 16 2 2 3 2 2 3" xfId="23814"/>
    <cellStyle name="Normal 16 2 2 3 2 2 4" xfId="30781"/>
    <cellStyle name="Normal 16 2 2 3 2 2 5" xfId="37750"/>
    <cellStyle name="Normal 16 2 2 3 2 3" xfId="14527"/>
    <cellStyle name="Normal 16 2 2 3 2 3 2" xfId="21494"/>
    <cellStyle name="Normal 16 2 2 3 2 3 3" xfId="28461"/>
    <cellStyle name="Normal 16 2 2 3 2 3 4" xfId="35430"/>
    <cellStyle name="Normal 16 2 2 3 2 4" xfId="12205"/>
    <cellStyle name="Normal 16 2 2 3 2 5" xfId="19172"/>
    <cellStyle name="Normal 16 2 2 3 2 6" xfId="26139"/>
    <cellStyle name="Normal 16 2 2 3 2 7" xfId="33107"/>
    <cellStyle name="Normal 16 2 2 3 3" xfId="9052"/>
    <cellStyle name="Normal 16 2 2 3 3 2" xfId="16091"/>
    <cellStyle name="Normal 16 2 2 3 3 3" xfId="23058"/>
    <cellStyle name="Normal 16 2 2 3 3 4" xfId="30025"/>
    <cellStyle name="Normal 16 2 2 3 3 5" xfId="36994"/>
    <cellStyle name="Normal 16 2 2 3 4" xfId="13771"/>
    <cellStyle name="Normal 16 2 2 3 4 2" xfId="20738"/>
    <cellStyle name="Normal 16 2 2 3 4 3" xfId="27705"/>
    <cellStyle name="Normal 16 2 2 3 4 4" xfId="34674"/>
    <cellStyle name="Normal 16 2 2 3 5" xfId="11449"/>
    <cellStyle name="Normal 16 2 2 3 6" xfId="18416"/>
    <cellStyle name="Normal 16 2 2 3 7" xfId="25383"/>
    <cellStyle name="Normal 16 2 2 3 8" xfId="32351"/>
    <cellStyle name="Normal 16 2 2 4" xfId="3615"/>
    <cellStyle name="Normal 16 2 2 4 2" xfId="4975"/>
    <cellStyle name="Normal 16 2 2 4 2 2" xfId="9850"/>
    <cellStyle name="Normal 16 2 2 4 2 2 2" xfId="16848"/>
    <cellStyle name="Normal 16 2 2 4 2 2 3" xfId="23815"/>
    <cellStyle name="Normal 16 2 2 4 2 2 4" xfId="30782"/>
    <cellStyle name="Normal 16 2 2 4 2 2 5" xfId="37751"/>
    <cellStyle name="Normal 16 2 2 4 2 3" xfId="14528"/>
    <cellStyle name="Normal 16 2 2 4 2 3 2" xfId="21495"/>
    <cellStyle name="Normal 16 2 2 4 2 3 3" xfId="28462"/>
    <cellStyle name="Normal 16 2 2 4 2 3 4" xfId="35431"/>
    <cellStyle name="Normal 16 2 2 4 2 4" xfId="12206"/>
    <cellStyle name="Normal 16 2 2 4 2 5" xfId="19173"/>
    <cellStyle name="Normal 16 2 2 4 2 6" xfId="26140"/>
    <cellStyle name="Normal 16 2 2 4 2 7" xfId="33108"/>
    <cellStyle name="Normal 16 2 2 4 3" xfId="9223"/>
    <cellStyle name="Normal 16 2 2 4 3 2" xfId="16262"/>
    <cellStyle name="Normal 16 2 2 4 3 3" xfId="23229"/>
    <cellStyle name="Normal 16 2 2 4 3 4" xfId="30196"/>
    <cellStyle name="Normal 16 2 2 4 3 5" xfId="37165"/>
    <cellStyle name="Normal 16 2 2 4 4" xfId="13942"/>
    <cellStyle name="Normal 16 2 2 4 4 2" xfId="20909"/>
    <cellStyle name="Normal 16 2 2 4 4 3" xfId="27876"/>
    <cellStyle name="Normal 16 2 2 4 4 4" xfId="34845"/>
    <cellStyle name="Normal 16 2 2 4 5" xfId="11620"/>
    <cellStyle name="Normal 16 2 2 4 6" xfId="18587"/>
    <cellStyle name="Normal 16 2 2 4 7" xfId="25554"/>
    <cellStyle name="Normal 16 2 2 4 8" xfId="32522"/>
    <cellStyle name="Normal 16 2 2 5" xfId="3892"/>
    <cellStyle name="Normal 16 2 2 5 2" xfId="4976"/>
    <cellStyle name="Normal 16 2 2 5 2 2" xfId="9851"/>
    <cellStyle name="Normal 16 2 2 5 2 2 2" xfId="16849"/>
    <cellStyle name="Normal 16 2 2 5 2 2 3" xfId="23816"/>
    <cellStyle name="Normal 16 2 2 5 2 2 4" xfId="30783"/>
    <cellStyle name="Normal 16 2 2 5 2 2 5" xfId="37752"/>
    <cellStyle name="Normal 16 2 2 5 2 3" xfId="14529"/>
    <cellStyle name="Normal 16 2 2 5 2 3 2" xfId="21496"/>
    <cellStyle name="Normal 16 2 2 5 2 3 3" xfId="28463"/>
    <cellStyle name="Normal 16 2 2 5 2 3 4" xfId="35432"/>
    <cellStyle name="Normal 16 2 2 5 2 4" xfId="12207"/>
    <cellStyle name="Normal 16 2 2 5 2 5" xfId="19174"/>
    <cellStyle name="Normal 16 2 2 5 2 6" xfId="26141"/>
    <cellStyle name="Normal 16 2 2 5 2 7" xfId="33109"/>
    <cellStyle name="Normal 16 2 2 5 3" xfId="9498"/>
    <cellStyle name="Normal 16 2 2 5 3 2" xfId="16534"/>
    <cellStyle name="Normal 16 2 2 5 3 3" xfId="23501"/>
    <cellStyle name="Normal 16 2 2 5 3 4" xfId="30468"/>
    <cellStyle name="Normal 16 2 2 5 3 5" xfId="37437"/>
    <cellStyle name="Normal 16 2 2 5 4" xfId="14214"/>
    <cellStyle name="Normal 16 2 2 5 4 2" xfId="21181"/>
    <cellStyle name="Normal 16 2 2 5 4 3" xfId="28148"/>
    <cellStyle name="Normal 16 2 2 5 4 4" xfId="35117"/>
    <cellStyle name="Normal 16 2 2 5 5" xfId="11892"/>
    <cellStyle name="Normal 16 2 2 5 6" xfId="18859"/>
    <cellStyle name="Normal 16 2 2 5 7" xfId="25826"/>
    <cellStyle name="Normal 16 2 2 5 8" xfId="32794"/>
    <cellStyle name="Normal 16 2 2 6" xfId="4972"/>
    <cellStyle name="Normal 16 2 2 6 2" xfId="9847"/>
    <cellStyle name="Normal 16 2 2 6 2 2" xfId="16845"/>
    <cellStyle name="Normal 16 2 2 6 2 3" xfId="23812"/>
    <cellStyle name="Normal 16 2 2 6 2 4" xfId="30779"/>
    <cellStyle name="Normal 16 2 2 6 2 5" xfId="37748"/>
    <cellStyle name="Normal 16 2 2 6 3" xfId="14525"/>
    <cellStyle name="Normal 16 2 2 6 3 2" xfId="21492"/>
    <cellStyle name="Normal 16 2 2 6 3 3" xfId="28459"/>
    <cellStyle name="Normal 16 2 2 6 3 4" xfId="35428"/>
    <cellStyle name="Normal 16 2 2 6 4" xfId="12203"/>
    <cellStyle name="Normal 16 2 2 6 5" xfId="19170"/>
    <cellStyle name="Normal 16 2 2 6 6" xfId="26137"/>
    <cellStyle name="Normal 16 2 2 6 7" xfId="33105"/>
    <cellStyle name="Normal 16 2 2 7" xfId="6780"/>
    <cellStyle name="Normal 16 2 2 7 2" xfId="10753"/>
    <cellStyle name="Normal 16 2 2 7 2 2" xfId="17728"/>
    <cellStyle name="Normal 16 2 2 7 2 3" xfId="24695"/>
    <cellStyle name="Normal 16 2 2 7 2 4" xfId="31662"/>
    <cellStyle name="Normal 16 2 2 7 2 5" xfId="38631"/>
    <cellStyle name="Normal 16 2 2 7 3" xfId="15408"/>
    <cellStyle name="Normal 16 2 2 7 3 2" xfId="22375"/>
    <cellStyle name="Normal 16 2 2 7 3 3" xfId="29342"/>
    <cellStyle name="Normal 16 2 2 7 3 4" xfId="36311"/>
    <cellStyle name="Normal 16 2 2 7 4" xfId="13086"/>
    <cellStyle name="Normal 16 2 2 7 5" xfId="20053"/>
    <cellStyle name="Normal 16 2 2 7 6" xfId="27020"/>
    <cellStyle name="Normal 16 2 2 7 7" xfId="33989"/>
    <cellStyle name="Normal 16 2 2 8" xfId="7097"/>
    <cellStyle name="Normal 16 2 2 8 2" xfId="15581"/>
    <cellStyle name="Normal 16 2 2 8 2 2" xfId="22548"/>
    <cellStyle name="Normal 16 2 2 8 2 3" xfId="29515"/>
    <cellStyle name="Normal 16 2 2 8 2 4" xfId="36484"/>
    <cellStyle name="Normal 16 2 2 8 3" xfId="13259"/>
    <cellStyle name="Normal 16 2 2 8 4" xfId="20226"/>
    <cellStyle name="Normal 16 2 2 8 5" xfId="27193"/>
    <cellStyle name="Normal 16 2 2 8 6" xfId="34162"/>
    <cellStyle name="Normal 16 2 2 9" xfId="7957"/>
    <cellStyle name="Normal 16 2 2 9 2" xfId="15753"/>
    <cellStyle name="Normal 16 2 2 9 2 2" xfId="22720"/>
    <cellStyle name="Normal 16 2 2 9 2 3" xfId="29687"/>
    <cellStyle name="Normal 16 2 2 9 2 4" xfId="36656"/>
    <cellStyle name="Normal 16 2 2 9 3" xfId="11109"/>
    <cellStyle name="Normal 16 2 2 9 4" xfId="18076"/>
    <cellStyle name="Normal 16 2 2 9 5" xfId="25043"/>
    <cellStyle name="Normal 16 2 2 9 6" xfId="32011"/>
    <cellStyle name="Normal 16 2 3" xfId="3233"/>
    <cellStyle name="Normal 16 2 3 2" xfId="4977"/>
    <cellStyle name="Normal 16 2 3 2 2" xfId="9852"/>
    <cellStyle name="Normal 16 2 3 2 2 2" xfId="16850"/>
    <cellStyle name="Normal 16 2 3 2 2 3" xfId="23817"/>
    <cellStyle name="Normal 16 2 3 2 2 4" xfId="30784"/>
    <cellStyle name="Normal 16 2 3 2 2 5" xfId="37753"/>
    <cellStyle name="Normal 16 2 3 2 3" xfId="14530"/>
    <cellStyle name="Normal 16 2 3 2 3 2" xfId="21497"/>
    <cellStyle name="Normal 16 2 3 2 3 3" xfId="28464"/>
    <cellStyle name="Normal 16 2 3 2 3 4" xfId="35433"/>
    <cellStyle name="Normal 16 2 3 2 4" xfId="12208"/>
    <cellStyle name="Normal 16 2 3 2 5" xfId="19175"/>
    <cellStyle name="Normal 16 2 3 2 6" xfId="26142"/>
    <cellStyle name="Normal 16 2 3 2 7" xfId="33110"/>
    <cellStyle name="Normal 16 2 3 3" xfId="8867"/>
    <cellStyle name="Normal 16 2 3 3 2" xfId="15923"/>
    <cellStyle name="Normal 16 2 3 3 3" xfId="22890"/>
    <cellStyle name="Normal 16 2 3 3 4" xfId="29857"/>
    <cellStyle name="Normal 16 2 3 3 5" xfId="36826"/>
    <cellStyle name="Normal 16 2 3 4" xfId="13601"/>
    <cellStyle name="Normal 16 2 3 4 2" xfId="20568"/>
    <cellStyle name="Normal 16 2 3 4 3" xfId="27535"/>
    <cellStyle name="Normal 16 2 3 4 4" xfId="34504"/>
    <cellStyle name="Normal 16 2 3 5" xfId="11279"/>
    <cellStyle name="Normal 16 2 3 6" xfId="18246"/>
    <cellStyle name="Normal 16 2 3 7" xfId="25213"/>
    <cellStyle name="Normal 16 2 3 8" xfId="32181"/>
    <cellStyle name="Normal 16 2 4" xfId="3439"/>
    <cellStyle name="Normal 16 2 4 2" xfId="4978"/>
    <cellStyle name="Normal 16 2 4 2 2" xfId="9853"/>
    <cellStyle name="Normal 16 2 4 2 2 2" xfId="16851"/>
    <cellStyle name="Normal 16 2 4 2 2 3" xfId="23818"/>
    <cellStyle name="Normal 16 2 4 2 2 4" xfId="30785"/>
    <cellStyle name="Normal 16 2 4 2 2 5" xfId="37754"/>
    <cellStyle name="Normal 16 2 4 2 3" xfId="14531"/>
    <cellStyle name="Normal 16 2 4 2 3 2" xfId="21498"/>
    <cellStyle name="Normal 16 2 4 2 3 3" xfId="28465"/>
    <cellStyle name="Normal 16 2 4 2 3 4" xfId="35434"/>
    <cellStyle name="Normal 16 2 4 2 4" xfId="12209"/>
    <cellStyle name="Normal 16 2 4 2 5" xfId="19176"/>
    <cellStyle name="Normal 16 2 4 2 6" xfId="26143"/>
    <cellStyle name="Normal 16 2 4 2 7" xfId="33111"/>
    <cellStyle name="Normal 16 2 4 3" xfId="9051"/>
    <cellStyle name="Normal 16 2 4 3 2" xfId="16090"/>
    <cellStyle name="Normal 16 2 4 3 3" xfId="23057"/>
    <cellStyle name="Normal 16 2 4 3 4" xfId="30024"/>
    <cellStyle name="Normal 16 2 4 3 5" xfId="36993"/>
    <cellStyle name="Normal 16 2 4 4" xfId="13770"/>
    <cellStyle name="Normal 16 2 4 4 2" xfId="20737"/>
    <cellStyle name="Normal 16 2 4 4 3" xfId="27704"/>
    <cellStyle name="Normal 16 2 4 4 4" xfId="34673"/>
    <cellStyle name="Normal 16 2 4 5" xfId="11448"/>
    <cellStyle name="Normal 16 2 4 6" xfId="18415"/>
    <cellStyle name="Normal 16 2 4 7" xfId="25382"/>
    <cellStyle name="Normal 16 2 4 8" xfId="32350"/>
    <cellStyle name="Normal 16 2 5" xfId="3614"/>
    <cellStyle name="Normal 16 2 5 2" xfId="4979"/>
    <cellStyle name="Normal 16 2 5 2 2" xfId="9854"/>
    <cellStyle name="Normal 16 2 5 2 2 2" xfId="16852"/>
    <cellStyle name="Normal 16 2 5 2 2 3" xfId="23819"/>
    <cellStyle name="Normal 16 2 5 2 2 4" xfId="30786"/>
    <cellStyle name="Normal 16 2 5 2 2 5" xfId="37755"/>
    <cellStyle name="Normal 16 2 5 2 3" xfId="14532"/>
    <cellStyle name="Normal 16 2 5 2 3 2" xfId="21499"/>
    <cellStyle name="Normal 16 2 5 2 3 3" xfId="28466"/>
    <cellStyle name="Normal 16 2 5 2 3 4" xfId="35435"/>
    <cellStyle name="Normal 16 2 5 2 4" xfId="12210"/>
    <cellStyle name="Normal 16 2 5 2 5" xfId="19177"/>
    <cellStyle name="Normal 16 2 5 2 6" xfId="26144"/>
    <cellStyle name="Normal 16 2 5 2 7" xfId="33112"/>
    <cellStyle name="Normal 16 2 5 3" xfId="9222"/>
    <cellStyle name="Normal 16 2 5 3 2" xfId="16261"/>
    <cellStyle name="Normal 16 2 5 3 3" xfId="23228"/>
    <cellStyle name="Normal 16 2 5 3 4" xfId="30195"/>
    <cellStyle name="Normal 16 2 5 3 5" xfId="37164"/>
    <cellStyle name="Normal 16 2 5 4" xfId="13941"/>
    <cellStyle name="Normal 16 2 5 4 2" xfId="20908"/>
    <cellStyle name="Normal 16 2 5 4 3" xfId="27875"/>
    <cellStyle name="Normal 16 2 5 4 4" xfId="34844"/>
    <cellStyle name="Normal 16 2 5 5" xfId="11619"/>
    <cellStyle name="Normal 16 2 5 6" xfId="18586"/>
    <cellStyle name="Normal 16 2 5 7" xfId="25553"/>
    <cellStyle name="Normal 16 2 5 8" xfId="32521"/>
    <cellStyle name="Normal 16 2 6" xfId="3891"/>
    <cellStyle name="Normal 16 2 6 2" xfId="4980"/>
    <cellStyle name="Normal 16 2 6 2 2" xfId="9855"/>
    <cellStyle name="Normal 16 2 6 2 2 2" xfId="16853"/>
    <cellStyle name="Normal 16 2 6 2 2 3" xfId="23820"/>
    <cellStyle name="Normal 16 2 6 2 2 4" xfId="30787"/>
    <cellStyle name="Normal 16 2 6 2 2 5" xfId="37756"/>
    <cellStyle name="Normal 16 2 6 2 3" xfId="14533"/>
    <cellStyle name="Normal 16 2 6 2 3 2" xfId="21500"/>
    <cellStyle name="Normal 16 2 6 2 3 3" xfId="28467"/>
    <cellStyle name="Normal 16 2 6 2 3 4" xfId="35436"/>
    <cellStyle name="Normal 16 2 6 2 4" xfId="12211"/>
    <cellStyle name="Normal 16 2 6 2 5" xfId="19178"/>
    <cellStyle name="Normal 16 2 6 2 6" xfId="26145"/>
    <cellStyle name="Normal 16 2 6 2 7" xfId="33113"/>
    <cellStyle name="Normal 16 2 6 3" xfId="9497"/>
    <cellStyle name="Normal 16 2 6 3 2" xfId="16533"/>
    <cellStyle name="Normal 16 2 6 3 3" xfId="23500"/>
    <cellStyle name="Normal 16 2 6 3 4" xfId="30467"/>
    <cellStyle name="Normal 16 2 6 3 5" xfId="37436"/>
    <cellStyle name="Normal 16 2 6 4" xfId="14213"/>
    <cellStyle name="Normal 16 2 6 4 2" xfId="21180"/>
    <cellStyle name="Normal 16 2 6 4 3" xfId="28147"/>
    <cellStyle name="Normal 16 2 6 4 4" xfId="35116"/>
    <cellStyle name="Normal 16 2 6 5" xfId="11891"/>
    <cellStyle name="Normal 16 2 6 6" xfId="18858"/>
    <cellStyle name="Normal 16 2 6 7" xfId="25825"/>
    <cellStyle name="Normal 16 2 6 8" xfId="32793"/>
    <cellStyle name="Normal 16 2 7" xfId="4971"/>
    <cellStyle name="Normal 16 2 7 2" xfId="9846"/>
    <cellStyle name="Normal 16 2 7 2 2" xfId="16844"/>
    <cellStyle name="Normal 16 2 7 2 3" xfId="23811"/>
    <cellStyle name="Normal 16 2 7 2 4" xfId="30778"/>
    <cellStyle name="Normal 16 2 7 2 5" xfId="37747"/>
    <cellStyle name="Normal 16 2 7 3" xfId="14524"/>
    <cellStyle name="Normal 16 2 7 3 2" xfId="21491"/>
    <cellStyle name="Normal 16 2 7 3 3" xfId="28458"/>
    <cellStyle name="Normal 16 2 7 3 4" xfId="35427"/>
    <cellStyle name="Normal 16 2 7 4" xfId="12202"/>
    <cellStyle name="Normal 16 2 7 5" xfId="19169"/>
    <cellStyle name="Normal 16 2 7 6" xfId="26136"/>
    <cellStyle name="Normal 16 2 7 7" xfId="33104"/>
    <cellStyle name="Normal 16 2 8" xfId="6779"/>
    <cellStyle name="Normal 16 2 8 2" xfId="10752"/>
    <cellStyle name="Normal 16 2 8 2 2" xfId="17727"/>
    <cellStyle name="Normal 16 2 8 2 3" xfId="24694"/>
    <cellStyle name="Normal 16 2 8 2 4" xfId="31661"/>
    <cellStyle name="Normal 16 2 8 2 5" xfId="38630"/>
    <cellStyle name="Normal 16 2 8 3" xfId="15407"/>
    <cellStyle name="Normal 16 2 8 3 2" xfId="22374"/>
    <cellStyle name="Normal 16 2 8 3 3" xfId="29341"/>
    <cellStyle name="Normal 16 2 8 3 4" xfId="36310"/>
    <cellStyle name="Normal 16 2 8 4" xfId="13085"/>
    <cellStyle name="Normal 16 2 8 5" xfId="20052"/>
    <cellStyle name="Normal 16 2 8 6" xfId="27019"/>
    <cellStyle name="Normal 16 2 8 7" xfId="33988"/>
    <cellStyle name="Normal 16 2 9" xfId="7096"/>
    <cellStyle name="Normal 16 2 9 2" xfId="15580"/>
    <cellStyle name="Normal 16 2 9 2 2" xfId="22547"/>
    <cellStyle name="Normal 16 2 9 2 3" xfId="29514"/>
    <cellStyle name="Normal 16 2 9 2 4" xfId="36483"/>
    <cellStyle name="Normal 16 2 9 3" xfId="13258"/>
    <cellStyle name="Normal 16 2 9 4" xfId="20225"/>
    <cellStyle name="Normal 16 2 9 5" xfId="27192"/>
    <cellStyle name="Normal 16 2 9 6" xfId="34161"/>
    <cellStyle name="Normal 16 3" xfId="1476"/>
    <cellStyle name="Normal 16 3 10" xfId="13432"/>
    <cellStyle name="Normal 16 3 10 2" xfId="20399"/>
    <cellStyle name="Normal 16 3 10 3" xfId="27366"/>
    <cellStyle name="Normal 16 3 10 4" xfId="34335"/>
    <cellStyle name="Normal 16 3 11" xfId="10938"/>
    <cellStyle name="Normal 16 3 12" xfId="17904"/>
    <cellStyle name="Normal 16 3 13" xfId="24872"/>
    <cellStyle name="Normal 16 3 14" xfId="31840"/>
    <cellStyle name="Normal 16 3 2" xfId="3235"/>
    <cellStyle name="Normal 16 3 2 2" xfId="4982"/>
    <cellStyle name="Normal 16 3 2 2 2" xfId="9857"/>
    <cellStyle name="Normal 16 3 2 2 2 2" xfId="16855"/>
    <cellStyle name="Normal 16 3 2 2 2 3" xfId="23822"/>
    <cellStyle name="Normal 16 3 2 2 2 4" xfId="30789"/>
    <cellStyle name="Normal 16 3 2 2 2 5" xfId="37758"/>
    <cellStyle name="Normal 16 3 2 2 3" xfId="14535"/>
    <cellStyle name="Normal 16 3 2 2 3 2" xfId="21502"/>
    <cellStyle name="Normal 16 3 2 2 3 3" xfId="28469"/>
    <cellStyle name="Normal 16 3 2 2 3 4" xfId="35438"/>
    <cellStyle name="Normal 16 3 2 2 4" xfId="12213"/>
    <cellStyle name="Normal 16 3 2 2 5" xfId="19180"/>
    <cellStyle name="Normal 16 3 2 2 6" xfId="26147"/>
    <cellStyle name="Normal 16 3 2 2 7" xfId="33115"/>
    <cellStyle name="Normal 16 3 2 3" xfId="8869"/>
    <cellStyle name="Normal 16 3 2 3 2" xfId="15925"/>
    <cellStyle name="Normal 16 3 2 3 3" xfId="22892"/>
    <cellStyle name="Normal 16 3 2 3 4" xfId="29859"/>
    <cellStyle name="Normal 16 3 2 3 5" xfId="36828"/>
    <cellStyle name="Normal 16 3 2 4" xfId="13603"/>
    <cellStyle name="Normal 16 3 2 4 2" xfId="20570"/>
    <cellStyle name="Normal 16 3 2 4 3" xfId="27537"/>
    <cellStyle name="Normal 16 3 2 4 4" xfId="34506"/>
    <cellStyle name="Normal 16 3 2 5" xfId="11281"/>
    <cellStyle name="Normal 16 3 2 6" xfId="18248"/>
    <cellStyle name="Normal 16 3 2 7" xfId="25215"/>
    <cellStyle name="Normal 16 3 2 8" xfId="32183"/>
    <cellStyle name="Normal 16 3 3" xfId="3441"/>
    <cellStyle name="Normal 16 3 3 2" xfId="4983"/>
    <cellStyle name="Normal 16 3 3 2 2" xfId="9858"/>
    <cellStyle name="Normal 16 3 3 2 2 2" xfId="16856"/>
    <cellStyle name="Normal 16 3 3 2 2 3" xfId="23823"/>
    <cellStyle name="Normal 16 3 3 2 2 4" xfId="30790"/>
    <cellStyle name="Normal 16 3 3 2 2 5" xfId="37759"/>
    <cellStyle name="Normal 16 3 3 2 3" xfId="14536"/>
    <cellStyle name="Normal 16 3 3 2 3 2" xfId="21503"/>
    <cellStyle name="Normal 16 3 3 2 3 3" xfId="28470"/>
    <cellStyle name="Normal 16 3 3 2 3 4" xfId="35439"/>
    <cellStyle name="Normal 16 3 3 2 4" xfId="12214"/>
    <cellStyle name="Normal 16 3 3 2 5" xfId="19181"/>
    <cellStyle name="Normal 16 3 3 2 6" xfId="26148"/>
    <cellStyle name="Normal 16 3 3 2 7" xfId="33116"/>
    <cellStyle name="Normal 16 3 3 3" xfId="9053"/>
    <cellStyle name="Normal 16 3 3 3 2" xfId="16092"/>
    <cellStyle name="Normal 16 3 3 3 3" xfId="23059"/>
    <cellStyle name="Normal 16 3 3 3 4" xfId="30026"/>
    <cellStyle name="Normal 16 3 3 3 5" xfId="36995"/>
    <cellStyle name="Normal 16 3 3 4" xfId="13772"/>
    <cellStyle name="Normal 16 3 3 4 2" xfId="20739"/>
    <cellStyle name="Normal 16 3 3 4 3" xfId="27706"/>
    <cellStyle name="Normal 16 3 3 4 4" xfId="34675"/>
    <cellStyle name="Normal 16 3 3 5" xfId="11450"/>
    <cellStyle name="Normal 16 3 3 6" xfId="18417"/>
    <cellStyle name="Normal 16 3 3 7" xfId="25384"/>
    <cellStyle name="Normal 16 3 3 8" xfId="32352"/>
    <cellStyle name="Normal 16 3 4" xfId="3616"/>
    <cellStyle name="Normal 16 3 4 2" xfId="4984"/>
    <cellStyle name="Normal 16 3 4 2 2" xfId="9859"/>
    <cellStyle name="Normal 16 3 4 2 2 2" xfId="16857"/>
    <cellStyle name="Normal 16 3 4 2 2 3" xfId="23824"/>
    <cellStyle name="Normal 16 3 4 2 2 4" xfId="30791"/>
    <cellStyle name="Normal 16 3 4 2 2 5" xfId="37760"/>
    <cellStyle name="Normal 16 3 4 2 3" xfId="14537"/>
    <cellStyle name="Normal 16 3 4 2 3 2" xfId="21504"/>
    <cellStyle name="Normal 16 3 4 2 3 3" xfId="28471"/>
    <cellStyle name="Normal 16 3 4 2 3 4" xfId="35440"/>
    <cellStyle name="Normal 16 3 4 2 4" xfId="12215"/>
    <cellStyle name="Normal 16 3 4 2 5" xfId="19182"/>
    <cellStyle name="Normal 16 3 4 2 6" xfId="26149"/>
    <cellStyle name="Normal 16 3 4 2 7" xfId="33117"/>
    <cellStyle name="Normal 16 3 4 3" xfId="9224"/>
    <cellStyle name="Normal 16 3 4 3 2" xfId="16263"/>
    <cellStyle name="Normal 16 3 4 3 3" xfId="23230"/>
    <cellStyle name="Normal 16 3 4 3 4" xfId="30197"/>
    <cellStyle name="Normal 16 3 4 3 5" xfId="37166"/>
    <cellStyle name="Normal 16 3 4 4" xfId="13943"/>
    <cellStyle name="Normal 16 3 4 4 2" xfId="20910"/>
    <cellStyle name="Normal 16 3 4 4 3" xfId="27877"/>
    <cellStyle name="Normal 16 3 4 4 4" xfId="34846"/>
    <cellStyle name="Normal 16 3 4 5" xfId="11621"/>
    <cellStyle name="Normal 16 3 4 6" xfId="18588"/>
    <cellStyle name="Normal 16 3 4 7" xfId="25555"/>
    <cellStyle name="Normal 16 3 4 8" xfId="32523"/>
    <cellStyle name="Normal 16 3 5" xfId="3893"/>
    <cellStyle name="Normal 16 3 5 2" xfId="4985"/>
    <cellStyle name="Normal 16 3 5 2 2" xfId="9860"/>
    <cellStyle name="Normal 16 3 5 2 2 2" xfId="16858"/>
    <cellStyle name="Normal 16 3 5 2 2 3" xfId="23825"/>
    <cellStyle name="Normal 16 3 5 2 2 4" xfId="30792"/>
    <cellStyle name="Normal 16 3 5 2 2 5" xfId="37761"/>
    <cellStyle name="Normal 16 3 5 2 3" xfId="14538"/>
    <cellStyle name="Normal 16 3 5 2 3 2" xfId="21505"/>
    <cellStyle name="Normal 16 3 5 2 3 3" xfId="28472"/>
    <cellStyle name="Normal 16 3 5 2 3 4" xfId="35441"/>
    <cellStyle name="Normal 16 3 5 2 4" xfId="12216"/>
    <cellStyle name="Normal 16 3 5 2 5" xfId="19183"/>
    <cellStyle name="Normal 16 3 5 2 6" xfId="26150"/>
    <cellStyle name="Normal 16 3 5 2 7" xfId="33118"/>
    <cellStyle name="Normal 16 3 5 3" xfId="9499"/>
    <cellStyle name="Normal 16 3 5 3 2" xfId="16535"/>
    <cellStyle name="Normal 16 3 5 3 3" xfId="23502"/>
    <cellStyle name="Normal 16 3 5 3 4" xfId="30469"/>
    <cellStyle name="Normal 16 3 5 3 5" xfId="37438"/>
    <cellStyle name="Normal 16 3 5 4" xfId="14215"/>
    <cellStyle name="Normal 16 3 5 4 2" xfId="21182"/>
    <cellStyle name="Normal 16 3 5 4 3" xfId="28149"/>
    <cellStyle name="Normal 16 3 5 4 4" xfId="35118"/>
    <cellStyle name="Normal 16 3 5 5" xfId="11893"/>
    <cellStyle name="Normal 16 3 5 6" xfId="18860"/>
    <cellStyle name="Normal 16 3 5 7" xfId="25827"/>
    <cellStyle name="Normal 16 3 5 8" xfId="32795"/>
    <cellStyle name="Normal 16 3 6" xfId="4981"/>
    <cellStyle name="Normal 16 3 6 2" xfId="9856"/>
    <cellStyle name="Normal 16 3 6 2 2" xfId="16854"/>
    <cellStyle name="Normal 16 3 6 2 3" xfId="23821"/>
    <cellStyle name="Normal 16 3 6 2 4" xfId="30788"/>
    <cellStyle name="Normal 16 3 6 2 5" xfId="37757"/>
    <cellStyle name="Normal 16 3 6 3" xfId="14534"/>
    <cellStyle name="Normal 16 3 6 3 2" xfId="21501"/>
    <cellStyle name="Normal 16 3 6 3 3" xfId="28468"/>
    <cellStyle name="Normal 16 3 6 3 4" xfId="35437"/>
    <cellStyle name="Normal 16 3 6 4" xfId="12212"/>
    <cellStyle name="Normal 16 3 6 5" xfId="19179"/>
    <cellStyle name="Normal 16 3 6 6" xfId="26146"/>
    <cellStyle name="Normal 16 3 6 7" xfId="33114"/>
    <cellStyle name="Normal 16 3 7" xfId="6781"/>
    <cellStyle name="Normal 16 3 7 2" xfId="10754"/>
    <cellStyle name="Normal 16 3 7 2 2" xfId="17729"/>
    <cellStyle name="Normal 16 3 7 2 3" xfId="24696"/>
    <cellStyle name="Normal 16 3 7 2 4" xfId="31663"/>
    <cellStyle name="Normal 16 3 7 2 5" xfId="38632"/>
    <cellStyle name="Normal 16 3 7 3" xfId="15409"/>
    <cellStyle name="Normal 16 3 7 3 2" xfId="22376"/>
    <cellStyle name="Normal 16 3 7 3 3" xfId="29343"/>
    <cellStyle name="Normal 16 3 7 3 4" xfId="36312"/>
    <cellStyle name="Normal 16 3 7 4" xfId="13087"/>
    <cellStyle name="Normal 16 3 7 5" xfId="20054"/>
    <cellStyle name="Normal 16 3 7 6" xfId="27021"/>
    <cellStyle name="Normal 16 3 7 7" xfId="33990"/>
    <cellStyle name="Normal 16 3 8" xfId="7098"/>
    <cellStyle name="Normal 16 3 8 2" xfId="15582"/>
    <cellStyle name="Normal 16 3 8 2 2" xfId="22549"/>
    <cellStyle name="Normal 16 3 8 2 3" xfId="29516"/>
    <cellStyle name="Normal 16 3 8 2 4" xfId="36485"/>
    <cellStyle name="Normal 16 3 8 3" xfId="13260"/>
    <cellStyle name="Normal 16 3 8 4" xfId="20227"/>
    <cellStyle name="Normal 16 3 8 5" xfId="27194"/>
    <cellStyle name="Normal 16 3 8 6" xfId="34163"/>
    <cellStyle name="Normal 16 3 9" xfId="7958"/>
    <cellStyle name="Normal 16 3 9 2" xfId="15754"/>
    <cellStyle name="Normal 16 3 9 2 2" xfId="22721"/>
    <cellStyle name="Normal 16 3 9 2 3" xfId="29688"/>
    <cellStyle name="Normal 16 3 9 2 4" xfId="36657"/>
    <cellStyle name="Normal 16 3 9 3" xfId="11110"/>
    <cellStyle name="Normal 16 3 9 4" xfId="18077"/>
    <cellStyle name="Normal 16 3 9 5" xfId="25044"/>
    <cellStyle name="Normal 16 3 9 6" xfId="32012"/>
    <cellStyle name="Normal 16 4" xfId="3232"/>
    <cellStyle name="Normal 16 4 2" xfId="4986"/>
    <cellStyle name="Normal 16 4 2 2" xfId="9861"/>
    <cellStyle name="Normal 16 4 2 2 2" xfId="16859"/>
    <cellStyle name="Normal 16 4 2 2 3" xfId="23826"/>
    <cellStyle name="Normal 16 4 2 2 4" xfId="30793"/>
    <cellStyle name="Normal 16 4 2 2 5" xfId="37762"/>
    <cellStyle name="Normal 16 4 2 3" xfId="14539"/>
    <cellStyle name="Normal 16 4 2 3 2" xfId="21506"/>
    <cellStyle name="Normal 16 4 2 3 3" xfId="28473"/>
    <cellStyle name="Normal 16 4 2 3 4" xfId="35442"/>
    <cellStyle name="Normal 16 4 2 4" xfId="12217"/>
    <cellStyle name="Normal 16 4 2 5" xfId="19184"/>
    <cellStyle name="Normal 16 4 2 6" xfId="26151"/>
    <cellStyle name="Normal 16 4 2 7" xfId="33119"/>
    <cellStyle name="Normal 16 4 3" xfId="8866"/>
    <cellStyle name="Normal 16 4 3 2" xfId="15922"/>
    <cellStyle name="Normal 16 4 3 3" xfId="22889"/>
    <cellStyle name="Normal 16 4 3 4" xfId="29856"/>
    <cellStyle name="Normal 16 4 3 5" xfId="36825"/>
    <cellStyle name="Normal 16 4 4" xfId="13600"/>
    <cellStyle name="Normal 16 4 4 2" xfId="20567"/>
    <cellStyle name="Normal 16 4 4 3" xfId="27534"/>
    <cellStyle name="Normal 16 4 4 4" xfId="34503"/>
    <cellStyle name="Normal 16 4 5" xfId="11278"/>
    <cellStyle name="Normal 16 4 6" xfId="18245"/>
    <cellStyle name="Normal 16 4 7" xfId="25212"/>
    <cellStyle name="Normal 16 4 8" xfId="32180"/>
    <cellStyle name="Normal 16 5" xfId="3438"/>
    <cellStyle name="Normal 16 5 2" xfId="4987"/>
    <cellStyle name="Normal 16 5 2 2" xfId="9862"/>
    <cellStyle name="Normal 16 5 2 2 2" xfId="16860"/>
    <cellStyle name="Normal 16 5 2 2 3" xfId="23827"/>
    <cellStyle name="Normal 16 5 2 2 4" xfId="30794"/>
    <cellStyle name="Normal 16 5 2 2 5" xfId="37763"/>
    <cellStyle name="Normal 16 5 2 3" xfId="14540"/>
    <cellStyle name="Normal 16 5 2 3 2" xfId="21507"/>
    <cellStyle name="Normal 16 5 2 3 3" xfId="28474"/>
    <cellStyle name="Normal 16 5 2 3 4" xfId="35443"/>
    <cellStyle name="Normal 16 5 2 4" xfId="12218"/>
    <cellStyle name="Normal 16 5 2 5" xfId="19185"/>
    <cellStyle name="Normal 16 5 2 6" xfId="26152"/>
    <cellStyle name="Normal 16 5 2 7" xfId="33120"/>
    <cellStyle name="Normal 16 5 3" xfId="9050"/>
    <cellStyle name="Normal 16 5 3 2" xfId="16089"/>
    <cellStyle name="Normal 16 5 3 3" xfId="23056"/>
    <cellStyle name="Normal 16 5 3 4" xfId="30023"/>
    <cellStyle name="Normal 16 5 3 5" xfId="36992"/>
    <cellStyle name="Normal 16 5 4" xfId="13769"/>
    <cellStyle name="Normal 16 5 4 2" xfId="20736"/>
    <cellStyle name="Normal 16 5 4 3" xfId="27703"/>
    <cellStyle name="Normal 16 5 4 4" xfId="34672"/>
    <cellStyle name="Normal 16 5 5" xfId="11447"/>
    <cellStyle name="Normal 16 5 6" xfId="18414"/>
    <cellStyle name="Normal 16 5 7" xfId="25381"/>
    <cellStyle name="Normal 16 5 8" xfId="32349"/>
    <cellStyle name="Normal 16 6" xfId="3613"/>
    <cellStyle name="Normal 16 6 2" xfId="4988"/>
    <cellStyle name="Normal 16 6 2 2" xfId="9863"/>
    <cellStyle name="Normal 16 6 2 2 2" xfId="16861"/>
    <cellStyle name="Normal 16 6 2 2 3" xfId="23828"/>
    <cellStyle name="Normal 16 6 2 2 4" xfId="30795"/>
    <cellStyle name="Normal 16 6 2 2 5" xfId="37764"/>
    <cellStyle name="Normal 16 6 2 3" xfId="14541"/>
    <cellStyle name="Normal 16 6 2 3 2" xfId="21508"/>
    <cellStyle name="Normal 16 6 2 3 3" xfId="28475"/>
    <cellStyle name="Normal 16 6 2 3 4" xfId="35444"/>
    <cellStyle name="Normal 16 6 2 4" xfId="12219"/>
    <cellStyle name="Normal 16 6 2 5" xfId="19186"/>
    <cellStyle name="Normal 16 6 2 6" xfId="26153"/>
    <cellStyle name="Normal 16 6 2 7" xfId="33121"/>
    <cellStyle name="Normal 16 6 3" xfId="9221"/>
    <cellStyle name="Normal 16 6 3 2" xfId="16260"/>
    <cellStyle name="Normal 16 6 3 3" xfId="23227"/>
    <cellStyle name="Normal 16 6 3 4" xfId="30194"/>
    <cellStyle name="Normal 16 6 3 5" xfId="37163"/>
    <cellStyle name="Normal 16 6 4" xfId="13940"/>
    <cellStyle name="Normal 16 6 4 2" xfId="20907"/>
    <cellStyle name="Normal 16 6 4 3" xfId="27874"/>
    <cellStyle name="Normal 16 6 4 4" xfId="34843"/>
    <cellStyle name="Normal 16 6 5" xfId="11618"/>
    <cellStyle name="Normal 16 6 6" xfId="18585"/>
    <cellStyle name="Normal 16 6 7" xfId="25552"/>
    <cellStyle name="Normal 16 6 8" xfId="32520"/>
    <cellStyle name="Normal 16 7" xfId="3890"/>
    <cellStyle name="Normal 16 7 2" xfId="4989"/>
    <cellStyle name="Normal 16 7 2 2" xfId="9864"/>
    <cellStyle name="Normal 16 7 2 2 2" xfId="16862"/>
    <cellStyle name="Normal 16 7 2 2 3" xfId="23829"/>
    <cellStyle name="Normal 16 7 2 2 4" xfId="30796"/>
    <cellStyle name="Normal 16 7 2 2 5" xfId="37765"/>
    <cellStyle name="Normal 16 7 2 3" xfId="14542"/>
    <cellStyle name="Normal 16 7 2 3 2" xfId="21509"/>
    <cellStyle name="Normal 16 7 2 3 3" xfId="28476"/>
    <cellStyle name="Normal 16 7 2 3 4" xfId="35445"/>
    <cellStyle name="Normal 16 7 2 4" xfId="12220"/>
    <cellStyle name="Normal 16 7 2 5" xfId="19187"/>
    <cellStyle name="Normal 16 7 2 6" xfId="26154"/>
    <cellStyle name="Normal 16 7 2 7" xfId="33122"/>
    <cellStyle name="Normal 16 7 3" xfId="9496"/>
    <cellStyle name="Normal 16 7 3 2" xfId="16532"/>
    <cellStyle name="Normal 16 7 3 3" xfId="23499"/>
    <cellStyle name="Normal 16 7 3 4" xfId="30466"/>
    <cellStyle name="Normal 16 7 3 5" xfId="37435"/>
    <cellStyle name="Normal 16 7 4" xfId="14212"/>
    <cellStyle name="Normal 16 7 4 2" xfId="21179"/>
    <cellStyle name="Normal 16 7 4 3" xfId="28146"/>
    <cellStyle name="Normal 16 7 4 4" xfId="35115"/>
    <cellStyle name="Normal 16 7 5" xfId="11890"/>
    <cellStyle name="Normal 16 7 6" xfId="18857"/>
    <cellStyle name="Normal 16 7 7" xfId="25824"/>
    <cellStyle name="Normal 16 7 8" xfId="32792"/>
    <cellStyle name="Normal 16 8" xfId="4970"/>
    <cellStyle name="Normal 16 8 2" xfId="9845"/>
    <cellStyle name="Normal 16 8 2 2" xfId="16843"/>
    <cellStyle name="Normal 16 8 2 3" xfId="23810"/>
    <cellStyle name="Normal 16 8 2 4" xfId="30777"/>
    <cellStyle name="Normal 16 8 2 5" xfId="37746"/>
    <cellStyle name="Normal 16 8 3" xfId="14523"/>
    <cellStyle name="Normal 16 8 3 2" xfId="21490"/>
    <cellStyle name="Normal 16 8 3 3" xfId="28457"/>
    <cellStyle name="Normal 16 8 3 4" xfId="35426"/>
    <cellStyle name="Normal 16 8 4" xfId="12201"/>
    <cellStyle name="Normal 16 8 5" xfId="19168"/>
    <cellStyle name="Normal 16 8 6" xfId="26135"/>
    <cellStyle name="Normal 16 8 7" xfId="33103"/>
    <cellStyle name="Normal 16 9" xfId="6778"/>
    <cellStyle name="Normal 16 9 2" xfId="10751"/>
    <cellStyle name="Normal 16 9 2 2" xfId="17726"/>
    <cellStyle name="Normal 16 9 2 3" xfId="24693"/>
    <cellStyle name="Normal 16 9 2 4" xfId="31660"/>
    <cellStyle name="Normal 16 9 2 5" xfId="38629"/>
    <cellStyle name="Normal 16 9 3" xfId="15406"/>
    <cellStyle name="Normal 16 9 3 2" xfId="22373"/>
    <cellStyle name="Normal 16 9 3 3" xfId="29340"/>
    <cellStyle name="Normal 16 9 3 4" xfId="36309"/>
    <cellStyle name="Normal 16 9 4" xfId="13084"/>
    <cellStyle name="Normal 16 9 5" xfId="20051"/>
    <cellStyle name="Normal 16 9 6" xfId="27018"/>
    <cellStyle name="Normal 16 9 7" xfId="33987"/>
    <cellStyle name="Normal 160" xfId="1477"/>
    <cellStyle name="Normal 160 2" xfId="1478"/>
    <cellStyle name="Normal 160 3" xfId="1479"/>
    <cellStyle name="Normal 161" xfId="1480"/>
    <cellStyle name="Normal 161 2" xfId="1481"/>
    <cellStyle name="Normal 161 3" xfId="1482"/>
    <cellStyle name="Normal 162" xfId="1483"/>
    <cellStyle name="Normal 162 2" xfId="1484"/>
    <cellStyle name="Normal 162 3" xfId="1485"/>
    <cellStyle name="Normal 163" xfId="1486"/>
    <cellStyle name="Normal 163 2" xfId="1487"/>
    <cellStyle name="Normal 163 3" xfId="1488"/>
    <cellStyle name="Normal 164" xfId="1489"/>
    <cellStyle name="Normal 164 2" xfId="1490"/>
    <cellStyle name="Normal 164 3" xfId="1491"/>
    <cellStyle name="Normal 165" xfId="1492"/>
    <cellStyle name="Normal 165 2" xfId="1493"/>
    <cellStyle name="Normal 165 3" xfId="1494"/>
    <cellStyle name="Normal 166" xfId="1495"/>
    <cellStyle name="Normal 166 2" xfId="1496"/>
    <cellStyle name="Normal 166 3" xfId="1497"/>
    <cellStyle name="Normal 167" xfId="1498"/>
    <cellStyle name="Normal 167 2" xfId="1499"/>
    <cellStyle name="Normal 167 3" xfId="1500"/>
    <cellStyle name="Normal 168" xfId="1501"/>
    <cellStyle name="Normal 168 2" xfId="1502"/>
    <cellStyle name="Normal 168 3" xfId="1503"/>
    <cellStyle name="Normal 169" xfId="1504"/>
    <cellStyle name="Normal 169 2" xfId="1505"/>
    <cellStyle name="Normal 169 3" xfId="1506"/>
    <cellStyle name="Normal 17" xfId="1507"/>
    <cellStyle name="Normal 17 10" xfId="7099"/>
    <cellStyle name="Normal 17 10 2" xfId="15583"/>
    <cellStyle name="Normal 17 10 2 2" xfId="22550"/>
    <cellStyle name="Normal 17 10 2 3" xfId="29517"/>
    <cellStyle name="Normal 17 10 2 4" xfId="36486"/>
    <cellStyle name="Normal 17 10 3" xfId="13261"/>
    <cellStyle name="Normal 17 10 4" xfId="20228"/>
    <cellStyle name="Normal 17 10 5" xfId="27195"/>
    <cellStyle name="Normal 17 10 6" xfId="34164"/>
    <cellStyle name="Normal 17 11" xfId="7959"/>
    <cellStyle name="Normal 17 11 2" xfId="15755"/>
    <cellStyle name="Normal 17 11 2 2" xfId="22722"/>
    <cellStyle name="Normal 17 11 2 3" xfId="29689"/>
    <cellStyle name="Normal 17 11 2 4" xfId="36658"/>
    <cellStyle name="Normal 17 11 3" xfId="11111"/>
    <cellStyle name="Normal 17 11 4" xfId="18078"/>
    <cellStyle name="Normal 17 11 5" xfId="25045"/>
    <cellStyle name="Normal 17 11 6" xfId="32013"/>
    <cellStyle name="Normal 17 12" xfId="13433"/>
    <cellStyle name="Normal 17 12 2" xfId="20400"/>
    <cellStyle name="Normal 17 12 3" xfId="27367"/>
    <cellStyle name="Normal 17 12 4" xfId="34336"/>
    <cellStyle name="Normal 17 13" xfId="10939"/>
    <cellStyle name="Normal 17 14" xfId="17905"/>
    <cellStyle name="Normal 17 15" xfId="24873"/>
    <cellStyle name="Normal 17 16" xfId="31841"/>
    <cellStyle name="Normal 17 2" xfId="1508"/>
    <cellStyle name="Normal 17 2 10" xfId="7960"/>
    <cellStyle name="Normal 17 2 10 2" xfId="15756"/>
    <cellStyle name="Normal 17 2 10 2 2" xfId="22723"/>
    <cellStyle name="Normal 17 2 10 2 3" xfId="29690"/>
    <cellStyle name="Normal 17 2 10 2 4" xfId="36659"/>
    <cellStyle name="Normal 17 2 10 3" xfId="11112"/>
    <cellStyle name="Normal 17 2 10 4" xfId="18079"/>
    <cellStyle name="Normal 17 2 10 5" xfId="25046"/>
    <cellStyle name="Normal 17 2 10 6" xfId="32014"/>
    <cellStyle name="Normal 17 2 11" xfId="13434"/>
    <cellStyle name="Normal 17 2 11 2" xfId="20401"/>
    <cellStyle name="Normal 17 2 11 3" xfId="27368"/>
    <cellStyle name="Normal 17 2 11 4" xfId="34337"/>
    <cellStyle name="Normal 17 2 12" xfId="10940"/>
    <cellStyle name="Normal 17 2 13" xfId="17906"/>
    <cellStyle name="Normal 17 2 14" xfId="24874"/>
    <cellStyle name="Normal 17 2 15" xfId="31842"/>
    <cellStyle name="Normal 17 2 2" xfId="1509"/>
    <cellStyle name="Normal 17 2 2 10" xfId="13435"/>
    <cellStyle name="Normal 17 2 2 10 2" xfId="20402"/>
    <cellStyle name="Normal 17 2 2 10 3" xfId="27369"/>
    <cellStyle name="Normal 17 2 2 10 4" xfId="34338"/>
    <cellStyle name="Normal 17 2 2 11" xfId="10941"/>
    <cellStyle name="Normal 17 2 2 12" xfId="17907"/>
    <cellStyle name="Normal 17 2 2 13" xfId="24875"/>
    <cellStyle name="Normal 17 2 2 14" xfId="31843"/>
    <cellStyle name="Normal 17 2 2 2" xfId="3238"/>
    <cellStyle name="Normal 17 2 2 2 2" xfId="4993"/>
    <cellStyle name="Normal 17 2 2 2 2 2" xfId="9868"/>
    <cellStyle name="Normal 17 2 2 2 2 2 2" xfId="16866"/>
    <cellStyle name="Normal 17 2 2 2 2 2 3" xfId="23833"/>
    <cellStyle name="Normal 17 2 2 2 2 2 4" xfId="30800"/>
    <cellStyle name="Normal 17 2 2 2 2 2 5" xfId="37769"/>
    <cellStyle name="Normal 17 2 2 2 2 3" xfId="14546"/>
    <cellStyle name="Normal 17 2 2 2 2 3 2" xfId="21513"/>
    <cellStyle name="Normal 17 2 2 2 2 3 3" xfId="28480"/>
    <cellStyle name="Normal 17 2 2 2 2 3 4" xfId="35449"/>
    <cellStyle name="Normal 17 2 2 2 2 4" xfId="12224"/>
    <cellStyle name="Normal 17 2 2 2 2 5" xfId="19191"/>
    <cellStyle name="Normal 17 2 2 2 2 6" xfId="26158"/>
    <cellStyle name="Normal 17 2 2 2 2 7" xfId="33126"/>
    <cellStyle name="Normal 17 2 2 2 3" xfId="8872"/>
    <cellStyle name="Normal 17 2 2 2 3 2" xfId="15928"/>
    <cellStyle name="Normal 17 2 2 2 3 3" xfId="22895"/>
    <cellStyle name="Normal 17 2 2 2 3 4" xfId="29862"/>
    <cellStyle name="Normal 17 2 2 2 3 5" xfId="36831"/>
    <cellStyle name="Normal 17 2 2 2 4" xfId="13606"/>
    <cellStyle name="Normal 17 2 2 2 4 2" xfId="20573"/>
    <cellStyle name="Normal 17 2 2 2 4 3" xfId="27540"/>
    <cellStyle name="Normal 17 2 2 2 4 4" xfId="34509"/>
    <cellStyle name="Normal 17 2 2 2 5" xfId="11284"/>
    <cellStyle name="Normal 17 2 2 2 6" xfId="18251"/>
    <cellStyle name="Normal 17 2 2 2 7" xfId="25218"/>
    <cellStyle name="Normal 17 2 2 2 8" xfId="32186"/>
    <cellStyle name="Normal 17 2 2 3" xfId="3444"/>
    <cellStyle name="Normal 17 2 2 3 2" xfId="4994"/>
    <cellStyle name="Normal 17 2 2 3 2 2" xfId="9869"/>
    <cellStyle name="Normal 17 2 2 3 2 2 2" xfId="16867"/>
    <cellStyle name="Normal 17 2 2 3 2 2 3" xfId="23834"/>
    <cellStyle name="Normal 17 2 2 3 2 2 4" xfId="30801"/>
    <cellStyle name="Normal 17 2 2 3 2 2 5" xfId="37770"/>
    <cellStyle name="Normal 17 2 2 3 2 3" xfId="14547"/>
    <cellStyle name="Normal 17 2 2 3 2 3 2" xfId="21514"/>
    <cellStyle name="Normal 17 2 2 3 2 3 3" xfId="28481"/>
    <cellStyle name="Normal 17 2 2 3 2 3 4" xfId="35450"/>
    <cellStyle name="Normal 17 2 2 3 2 4" xfId="12225"/>
    <cellStyle name="Normal 17 2 2 3 2 5" xfId="19192"/>
    <cellStyle name="Normal 17 2 2 3 2 6" xfId="26159"/>
    <cellStyle name="Normal 17 2 2 3 2 7" xfId="33127"/>
    <cellStyle name="Normal 17 2 2 3 3" xfId="9056"/>
    <cellStyle name="Normal 17 2 2 3 3 2" xfId="16095"/>
    <cellStyle name="Normal 17 2 2 3 3 3" xfId="23062"/>
    <cellStyle name="Normal 17 2 2 3 3 4" xfId="30029"/>
    <cellStyle name="Normal 17 2 2 3 3 5" xfId="36998"/>
    <cellStyle name="Normal 17 2 2 3 4" xfId="13775"/>
    <cellStyle name="Normal 17 2 2 3 4 2" xfId="20742"/>
    <cellStyle name="Normal 17 2 2 3 4 3" xfId="27709"/>
    <cellStyle name="Normal 17 2 2 3 4 4" xfId="34678"/>
    <cellStyle name="Normal 17 2 2 3 5" xfId="11453"/>
    <cellStyle name="Normal 17 2 2 3 6" xfId="18420"/>
    <cellStyle name="Normal 17 2 2 3 7" xfId="25387"/>
    <cellStyle name="Normal 17 2 2 3 8" xfId="32355"/>
    <cellStyle name="Normal 17 2 2 4" xfId="3619"/>
    <cellStyle name="Normal 17 2 2 4 2" xfId="4995"/>
    <cellStyle name="Normal 17 2 2 4 2 2" xfId="9870"/>
    <cellStyle name="Normal 17 2 2 4 2 2 2" xfId="16868"/>
    <cellStyle name="Normal 17 2 2 4 2 2 3" xfId="23835"/>
    <cellStyle name="Normal 17 2 2 4 2 2 4" xfId="30802"/>
    <cellStyle name="Normal 17 2 2 4 2 2 5" xfId="37771"/>
    <cellStyle name="Normal 17 2 2 4 2 3" xfId="14548"/>
    <cellStyle name="Normal 17 2 2 4 2 3 2" xfId="21515"/>
    <cellStyle name="Normal 17 2 2 4 2 3 3" xfId="28482"/>
    <cellStyle name="Normal 17 2 2 4 2 3 4" xfId="35451"/>
    <cellStyle name="Normal 17 2 2 4 2 4" xfId="12226"/>
    <cellStyle name="Normal 17 2 2 4 2 5" xfId="19193"/>
    <cellStyle name="Normal 17 2 2 4 2 6" xfId="26160"/>
    <cellStyle name="Normal 17 2 2 4 2 7" xfId="33128"/>
    <cellStyle name="Normal 17 2 2 4 3" xfId="9227"/>
    <cellStyle name="Normal 17 2 2 4 3 2" xfId="16266"/>
    <cellStyle name="Normal 17 2 2 4 3 3" xfId="23233"/>
    <cellStyle name="Normal 17 2 2 4 3 4" xfId="30200"/>
    <cellStyle name="Normal 17 2 2 4 3 5" xfId="37169"/>
    <cellStyle name="Normal 17 2 2 4 4" xfId="13946"/>
    <cellStyle name="Normal 17 2 2 4 4 2" xfId="20913"/>
    <cellStyle name="Normal 17 2 2 4 4 3" xfId="27880"/>
    <cellStyle name="Normal 17 2 2 4 4 4" xfId="34849"/>
    <cellStyle name="Normal 17 2 2 4 5" xfId="11624"/>
    <cellStyle name="Normal 17 2 2 4 6" xfId="18591"/>
    <cellStyle name="Normal 17 2 2 4 7" xfId="25558"/>
    <cellStyle name="Normal 17 2 2 4 8" xfId="32526"/>
    <cellStyle name="Normal 17 2 2 5" xfId="3896"/>
    <cellStyle name="Normal 17 2 2 5 2" xfId="4996"/>
    <cellStyle name="Normal 17 2 2 5 2 2" xfId="9871"/>
    <cellStyle name="Normal 17 2 2 5 2 2 2" xfId="16869"/>
    <cellStyle name="Normal 17 2 2 5 2 2 3" xfId="23836"/>
    <cellStyle name="Normal 17 2 2 5 2 2 4" xfId="30803"/>
    <cellStyle name="Normal 17 2 2 5 2 2 5" xfId="37772"/>
    <cellStyle name="Normal 17 2 2 5 2 3" xfId="14549"/>
    <cellStyle name="Normal 17 2 2 5 2 3 2" xfId="21516"/>
    <cellStyle name="Normal 17 2 2 5 2 3 3" xfId="28483"/>
    <cellStyle name="Normal 17 2 2 5 2 3 4" xfId="35452"/>
    <cellStyle name="Normal 17 2 2 5 2 4" xfId="12227"/>
    <cellStyle name="Normal 17 2 2 5 2 5" xfId="19194"/>
    <cellStyle name="Normal 17 2 2 5 2 6" xfId="26161"/>
    <cellStyle name="Normal 17 2 2 5 2 7" xfId="33129"/>
    <cellStyle name="Normal 17 2 2 5 3" xfId="9502"/>
    <cellStyle name="Normal 17 2 2 5 3 2" xfId="16538"/>
    <cellStyle name="Normal 17 2 2 5 3 3" xfId="23505"/>
    <cellStyle name="Normal 17 2 2 5 3 4" xfId="30472"/>
    <cellStyle name="Normal 17 2 2 5 3 5" xfId="37441"/>
    <cellStyle name="Normal 17 2 2 5 4" xfId="14218"/>
    <cellStyle name="Normal 17 2 2 5 4 2" xfId="21185"/>
    <cellStyle name="Normal 17 2 2 5 4 3" xfId="28152"/>
    <cellStyle name="Normal 17 2 2 5 4 4" xfId="35121"/>
    <cellStyle name="Normal 17 2 2 5 5" xfId="11896"/>
    <cellStyle name="Normal 17 2 2 5 6" xfId="18863"/>
    <cellStyle name="Normal 17 2 2 5 7" xfId="25830"/>
    <cellStyle name="Normal 17 2 2 5 8" xfId="32798"/>
    <cellStyle name="Normal 17 2 2 6" xfId="4992"/>
    <cellStyle name="Normal 17 2 2 6 2" xfId="9867"/>
    <cellStyle name="Normal 17 2 2 6 2 2" xfId="16865"/>
    <cellStyle name="Normal 17 2 2 6 2 3" xfId="23832"/>
    <cellStyle name="Normal 17 2 2 6 2 4" xfId="30799"/>
    <cellStyle name="Normal 17 2 2 6 2 5" xfId="37768"/>
    <cellStyle name="Normal 17 2 2 6 3" xfId="14545"/>
    <cellStyle name="Normal 17 2 2 6 3 2" xfId="21512"/>
    <cellStyle name="Normal 17 2 2 6 3 3" xfId="28479"/>
    <cellStyle name="Normal 17 2 2 6 3 4" xfId="35448"/>
    <cellStyle name="Normal 17 2 2 6 4" xfId="12223"/>
    <cellStyle name="Normal 17 2 2 6 5" xfId="19190"/>
    <cellStyle name="Normal 17 2 2 6 6" xfId="26157"/>
    <cellStyle name="Normal 17 2 2 6 7" xfId="33125"/>
    <cellStyle name="Normal 17 2 2 7" xfId="6784"/>
    <cellStyle name="Normal 17 2 2 7 2" xfId="10757"/>
    <cellStyle name="Normal 17 2 2 7 2 2" xfId="17732"/>
    <cellStyle name="Normal 17 2 2 7 2 3" xfId="24699"/>
    <cellStyle name="Normal 17 2 2 7 2 4" xfId="31666"/>
    <cellStyle name="Normal 17 2 2 7 2 5" xfId="38635"/>
    <cellStyle name="Normal 17 2 2 7 3" xfId="15412"/>
    <cellStyle name="Normal 17 2 2 7 3 2" xfId="22379"/>
    <cellStyle name="Normal 17 2 2 7 3 3" xfId="29346"/>
    <cellStyle name="Normal 17 2 2 7 3 4" xfId="36315"/>
    <cellStyle name="Normal 17 2 2 7 4" xfId="13090"/>
    <cellStyle name="Normal 17 2 2 7 5" xfId="20057"/>
    <cellStyle name="Normal 17 2 2 7 6" xfId="27024"/>
    <cellStyle name="Normal 17 2 2 7 7" xfId="33993"/>
    <cellStyle name="Normal 17 2 2 8" xfId="7101"/>
    <cellStyle name="Normal 17 2 2 8 2" xfId="15585"/>
    <cellStyle name="Normal 17 2 2 8 2 2" xfId="22552"/>
    <cellStyle name="Normal 17 2 2 8 2 3" xfId="29519"/>
    <cellStyle name="Normal 17 2 2 8 2 4" xfId="36488"/>
    <cellStyle name="Normal 17 2 2 8 3" xfId="13263"/>
    <cellStyle name="Normal 17 2 2 8 4" xfId="20230"/>
    <cellStyle name="Normal 17 2 2 8 5" xfId="27197"/>
    <cellStyle name="Normal 17 2 2 8 6" xfId="34166"/>
    <cellStyle name="Normal 17 2 2 9" xfId="7961"/>
    <cellStyle name="Normal 17 2 2 9 2" xfId="15757"/>
    <cellStyle name="Normal 17 2 2 9 2 2" xfId="22724"/>
    <cellStyle name="Normal 17 2 2 9 2 3" xfId="29691"/>
    <cellStyle name="Normal 17 2 2 9 2 4" xfId="36660"/>
    <cellStyle name="Normal 17 2 2 9 3" xfId="11113"/>
    <cellStyle name="Normal 17 2 2 9 4" xfId="18080"/>
    <cellStyle name="Normal 17 2 2 9 5" xfId="25047"/>
    <cellStyle name="Normal 17 2 2 9 6" xfId="32015"/>
    <cellStyle name="Normal 17 2 3" xfId="3237"/>
    <cellStyle name="Normal 17 2 3 2" xfId="4997"/>
    <cellStyle name="Normal 17 2 3 2 2" xfId="9872"/>
    <cellStyle name="Normal 17 2 3 2 2 2" xfId="16870"/>
    <cellStyle name="Normal 17 2 3 2 2 3" xfId="23837"/>
    <cellStyle name="Normal 17 2 3 2 2 4" xfId="30804"/>
    <cellStyle name="Normal 17 2 3 2 2 5" xfId="37773"/>
    <cellStyle name="Normal 17 2 3 2 3" xfId="14550"/>
    <cellStyle name="Normal 17 2 3 2 3 2" xfId="21517"/>
    <cellStyle name="Normal 17 2 3 2 3 3" xfId="28484"/>
    <cellStyle name="Normal 17 2 3 2 3 4" xfId="35453"/>
    <cellStyle name="Normal 17 2 3 2 4" xfId="12228"/>
    <cellStyle name="Normal 17 2 3 2 5" xfId="19195"/>
    <cellStyle name="Normal 17 2 3 2 6" xfId="26162"/>
    <cellStyle name="Normal 17 2 3 2 7" xfId="33130"/>
    <cellStyle name="Normal 17 2 3 3" xfId="8871"/>
    <cellStyle name="Normal 17 2 3 3 2" xfId="15927"/>
    <cellStyle name="Normal 17 2 3 3 3" xfId="22894"/>
    <cellStyle name="Normal 17 2 3 3 4" xfId="29861"/>
    <cellStyle name="Normal 17 2 3 3 5" xfId="36830"/>
    <cellStyle name="Normal 17 2 3 4" xfId="13605"/>
    <cellStyle name="Normal 17 2 3 4 2" xfId="20572"/>
    <cellStyle name="Normal 17 2 3 4 3" xfId="27539"/>
    <cellStyle name="Normal 17 2 3 4 4" xfId="34508"/>
    <cellStyle name="Normal 17 2 3 5" xfId="11283"/>
    <cellStyle name="Normal 17 2 3 6" xfId="18250"/>
    <cellStyle name="Normal 17 2 3 7" xfId="25217"/>
    <cellStyle name="Normal 17 2 3 8" xfId="32185"/>
    <cellStyle name="Normal 17 2 4" xfId="3443"/>
    <cellStyle name="Normal 17 2 4 2" xfId="4998"/>
    <cellStyle name="Normal 17 2 4 2 2" xfId="9873"/>
    <cellStyle name="Normal 17 2 4 2 2 2" xfId="16871"/>
    <cellStyle name="Normal 17 2 4 2 2 3" xfId="23838"/>
    <cellStyle name="Normal 17 2 4 2 2 4" xfId="30805"/>
    <cellStyle name="Normal 17 2 4 2 2 5" xfId="37774"/>
    <cellStyle name="Normal 17 2 4 2 3" xfId="14551"/>
    <cellStyle name="Normal 17 2 4 2 3 2" xfId="21518"/>
    <cellStyle name="Normal 17 2 4 2 3 3" xfId="28485"/>
    <cellStyle name="Normal 17 2 4 2 3 4" xfId="35454"/>
    <cellStyle name="Normal 17 2 4 2 4" xfId="12229"/>
    <cellStyle name="Normal 17 2 4 2 5" xfId="19196"/>
    <cellStyle name="Normal 17 2 4 2 6" xfId="26163"/>
    <cellStyle name="Normal 17 2 4 2 7" xfId="33131"/>
    <cellStyle name="Normal 17 2 4 3" xfId="9055"/>
    <cellStyle name="Normal 17 2 4 3 2" xfId="16094"/>
    <cellStyle name="Normal 17 2 4 3 3" xfId="23061"/>
    <cellStyle name="Normal 17 2 4 3 4" xfId="30028"/>
    <cellStyle name="Normal 17 2 4 3 5" xfId="36997"/>
    <cellStyle name="Normal 17 2 4 4" xfId="13774"/>
    <cellStyle name="Normal 17 2 4 4 2" xfId="20741"/>
    <cellStyle name="Normal 17 2 4 4 3" xfId="27708"/>
    <cellStyle name="Normal 17 2 4 4 4" xfId="34677"/>
    <cellStyle name="Normal 17 2 4 5" xfId="11452"/>
    <cellStyle name="Normal 17 2 4 6" xfId="18419"/>
    <cellStyle name="Normal 17 2 4 7" xfId="25386"/>
    <cellStyle name="Normal 17 2 4 8" xfId="32354"/>
    <cellStyle name="Normal 17 2 5" xfId="3618"/>
    <cellStyle name="Normal 17 2 5 2" xfId="4999"/>
    <cellStyle name="Normal 17 2 5 2 2" xfId="9874"/>
    <cellStyle name="Normal 17 2 5 2 2 2" xfId="16872"/>
    <cellStyle name="Normal 17 2 5 2 2 3" xfId="23839"/>
    <cellStyle name="Normal 17 2 5 2 2 4" xfId="30806"/>
    <cellStyle name="Normal 17 2 5 2 2 5" xfId="37775"/>
    <cellStyle name="Normal 17 2 5 2 3" xfId="14552"/>
    <cellStyle name="Normal 17 2 5 2 3 2" xfId="21519"/>
    <cellStyle name="Normal 17 2 5 2 3 3" xfId="28486"/>
    <cellStyle name="Normal 17 2 5 2 3 4" xfId="35455"/>
    <cellStyle name="Normal 17 2 5 2 4" xfId="12230"/>
    <cellStyle name="Normal 17 2 5 2 5" xfId="19197"/>
    <cellStyle name="Normal 17 2 5 2 6" xfId="26164"/>
    <cellStyle name="Normal 17 2 5 2 7" xfId="33132"/>
    <cellStyle name="Normal 17 2 5 3" xfId="9226"/>
    <cellStyle name="Normal 17 2 5 3 2" xfId="16265"/>
    <cellStyle name="Normal 17 2 5 3 3" xfId="23232"/>
    <cellStyle name="Normal 17 2 5 3 4" xfId="30199"/>
    <cellStyle name="Normal 17 2 5 3 5" xfId="37168"/>
    <cellStyle name="Normal 17 2 5 4" xfId="13945"/>
    <cellStyle name="Normal 17 2 5 4 2" xfId="20912"/>
    <cellStyle name="Normal 17 2 5 4 3" xfId="27879"/>
    <cellStyle name="Normal 17 2 5 4 4" xfId="34848"/>
    <cellStyle name="Normal 17 2 5 5" xfId="11623"/>
    <cellStyle name="Normal 17 2 5 6" xfId="18590"/>
    <cellStyle name="Normal 17 2 5 7" xfId="25557"/>
    <cellStyle name="Normal 17 2 5 8" xfId="32525"/>
    <cellStyle name="Normal 17 2 6" xfId="3895"/>
    <cellStyle name="Normal 17 2 6 2" xfId="5000"/>
    <cellStyle name="Normal 17 2 6 2 2" xfId="9875"/>
    <cellStyle name="Normal 17 2 6 2 2 2" xfId="16873"/>
    <cellStyle name="Normal 17 2 6 2 2 3" xfId="23840"/>
    <cellStyle name="Normal 17 2 6 2 2 4" xfId="30807"/>
    <cellStyle name="Normal 17 2 6 2 2 5" xfId="37776"/>
    <cellStyle name="Normal 17 2 6 2 3" xfId="14553"/>
    <cellStyle name="Normal 17 2 6 2 3 2" xfId="21520"/>
    <cellStyle name="Normal 17 2 6 2 3 3" xfId="28487"/>
    <cellStyle name="Normal 17 2 6 2 3 4" xfId="35456"/>
    <cellStyle name="Normal 17 2 6 2 4" xfId="12231"/>
    <cellStyle name="Normal 17 2 6 2 5" xfId="19198"/>
    <cellStyle name="Normal 17 2 6 2 6" xfId="26165"/>
    <cellStyle name="Normal 17 2 6 2 7" xfId="33133"/>
    <cellStyle name="Normal 17 2 6 3" xfId="9501"/>
    <cellStyle name="Normal 17 2 6 3 2" xfId="16537"/>
    <cellStyle name="Normal 17 2 6 3 3" xfId="23504"/>
    <cellStyle name="Normal 17 2 6 3 4" xfId="30471"/>
    <cellStyle name="Normal 17 2 6 3 5" xfId="37440"/>
    <cellStyle name="Normal 17 2 6 4" xfId="14217"/>
    <cellStyle name="Normal 17 2 6 4 2" xfId="21184"/>
    <cellStyle name="Normal 17 2 6 4 3" xfId="28151"/>
    <cellStyle name="Normal 17 2 6 4 4" xfId="35120"/>
    <cellStyle name="Normal 17 2 6 5" xfId="11895"/>
    <cellStyle name="Normal 17 2 6 6" xfId="18862"/>
    <cellStyle name="Normal 17 2 6 7" xfId="25829"/>
    <cellStyle name="Normal 17 2 6 8" xfId="32797"/>
    <cellStyle name="Normal 17 2 7" xfId="4991"/>
    <cellStyle name="Normal 17 2 7 2" xfId="9866"/>
    <cellStyle name="Normal 17 2 7 2 2" xfId="16864"/>
    <cellStyle name="Normal 17 2 7 2 3" xfId="23831"/>
    <cellStyle name="Normal 17 2 7 2 4" xfId="30798"/>
    <cellStyle name="Normal 17 2 7 2 5" xfId="37767"/>
    <cellStyle name="Normal 17 2 7 3" xfId="14544"/>
    <cellStyle name="Normal 17 2 7 3 2" xfId="21511"/>
    <cellStyle name="Normal 17 2 7 3 3" xfId="28478"/>
    <cellStyle name="Normal 17 2 7 3 4" xfId="35447"/>
    <cellStyle name="Normal 17 2 7 4" xfId="12222"/>
    <cellStyle name="Normal 17 2 7 5" xfId="19189"/>
    <cellStyle name="Normal 17 2 7 6" xfId="26156"/>
    <cellStyle name="Normal 17 2 7 7" xfId="33124"/>
    <cellStyle name="Normal 17 2 8" xfId="6783"/>
    <cellStyle name="Normal 17 2 8 2" xfId="10756"/>
    <cellStyle name="Normal 17 2 8 2 2" xfId="17731"/>
    <cellStyle name="Normal 17 2 8 2 3" xfId="24698"/>
    <cellStyle name="Normal 17 2 8 2 4" xfId="31665"/>
    <cellStyle name="Normal 17 2 8 2 5" xfId="38634"/>
    <cellStyle name="Normal 17 2 8 3" xfId="15411"/>
    <cellStyle name="Normal 17 2 8 3 2" xfId="22378"/>
    <cellStyle name="Normal 17 2 8 3 3" xfId="29345"/>
    <cellStyle name="Normal 17 2 8 3 4" xfId="36314"/>
    <cellStyle name="Normal 17 2 8 4" xfId="13089"/>
    <cellStyle name="Normal 17 2 8 5" xfId="20056"/>
    <cellStyle name="Normal 17 2 8 6" xfId="27023"/>
    <cellStyle name="Normal 17 2 8 7" xfId="33992"/>
    <cellStyle name="Normal 17 2 9" xfId="7100"/>
    <cellStyle name="Normal 17 2 9 2" xfId="15584"/>
    <cellStyle name="Normal 17 2 9 2 2" xfId="22551"/>
    <cellStyle name="Normal 17 2 9 2 3" xfId="29518"/>
    <cellStyle name="Normal 17 2 9 2 4" xfId="36487"/>
    <cellStyle name="Normal 17 2 9 3" xfId="13262"/>
    <cellStyle name="Normal 17 2 9 4" xfId="20229"/>
    <cellStyle name="Normal 17 2 9 5" xfId="27196"/>
    <cellStyle name="Normal 17 2 9 6" xfId="34165"/>
    <cellStyle name="Normal 17 3" xfId="1510"/>
    <cellStyle name="Normal 17 3 10" xfId="13436"/>
    <cellStyle name="Normal 17 3 10 2" xfId="20403"/>
    <cellStyle name="Normal 17 3 10 3" xfId="27370"/>
    <cellStyle name="Normal 17 3 10 4" xfId="34339"/>
    <cellStyle name="Normal 17 3 11" xfId="10942"/>
    <cellStyle name="Normal 17 3 12" xfId="17908"/>
    <cellStyle name="Normal 17 3 13" xfId="24876"/>
    <cellStyle name="Normal 17 3 14" xfId="31844"/>
    <cellStyle name="Normal 17 3 2" xfId="3239"/>
    <cellStyle name="Normal 17 3 2 2" xfId="5002"/>
    <cellStyle name="Normal 17 3 2 2 2" xfId="9877"/>
    <cellStyle name="Normal 17 3 2 2 2 2" xfId="16875"/>
    <cellStyle name="Normal 17 3 2 2 2 3" xfId="23842"/>
    <cellStyle name="Normal 17 3 2 2 2 4" xfId="30809"/>
    <cellStyle name="Normal 17 3 2 2 2 5" xfId="37778"/>
    <cellStyle name="Normal 17 3 2 2 3" xfId="14555"/>
    <cellStyle name="Normal 17 3 2 2 3 2" xfId="21522"/>
    <cellStyle name="Normal 17 3 2 2 3 3" xfId="28489"/>
    <cellStyle name="Normal 17 3 2 2 3 4" xfId="35458"/>
    <cellStyle name="Normal 17 3 2 2 4" xfId="12233"/>
    <cellStyle name="Normal 17 3 2 2 5" xfId="19200"/>
    <cellStyle name="Normal 17 3 2 2 6" xfId="26167"/>
    <cellStyle name="Normal 17 3 2 2 7" xfId="33135"/>
    <cellStyle name="Normal 17 3 2 3" xfId="8873"/>
    <cellStyle name="Normal 17 3 2 3 2" xfId="15929"/>
    <cellStyle name="Normal 17 3 2 3 3" xfId="22896"/>
    <cellStyle name="Normal 17 3 2 3 4" xfId="29863"/>
    <cellStyle name="Normal 17 3 2 3 5" xfId="36832"/>
    <cellStyle name="Normal 17 3 2 4" xfId="13607"/>
    <cellStyle name="Normal 17 3 2 4 2" xfId="20574"/>
    <cellStyle name="Normal 17 3 2 4 3" xfId="27541"/>
    <cellStyle name="Normal 17 3 2 4 4" xfId="34510"/>
    <cellStyle name="Normal 17 3 2 5" xfId="11285"/>
    <cellStyle name="Normal 17 3 2 6" xfId="18252"/>
    <cellStyle name="Normal 17 3 2 7" xfId="25219"/>
    <cellStyle name="Normal 17 3 2 8" xfId="32187"/>
    <cellStyle name="Normal 17 3 3" xfId="3445"/>
    <cellStyle name="Normal 17 3 3 2" xfId="5003"/>
    <cellStyle name="Normal 17 3 3 2 2" xfId="9878"/>
    <cellStyle name="Normal 17 3 3 2 2 2" xfId="16876"/>
    <cellStyle name="Normal 17 3 3 2 2 3" xfId="23843"/>
    <cellStyle name="Normal 17 3 3 2 2 4" xfId="30810"/>
    <cellStyle name="Normal 17 3 3 2 2 5" xfId="37779"/>
    <cellStyle name="Normal 17 3 3 2 3" xfId="14556"/>
    <cellStyle name="Normal 17 3 3 2 3 2" xfId="21523"/>
    <cellStyle name="Normal 17 3 3 2 3 3" xfId="28490"/>
    <cellStyle name="Normal 17 3 3 2 3 4" xfId="35459"/>
    <cellStyle name="Normal 17 3 3 2 4" xfId="12234"/>
    <cellStyle name="Normal 17 3 3 2 5" xfId="19201"/>
    <cellStyle name="Normal 17 3 3 2 6" xfId="26168"/>
    <cellStyle name="Normal 17 3 3 2 7" xfId="33136"/>
    <cellStyle name="Normal 17 3 3 3" xfId="9057"/>
    <cellStyle name="Normal 17 3 3 3 2" xfId="16096"/>
    <cellStyle name="Normal 17 3 3 3 3" xfId="23063"/>
    <cellStyle name="Normal 17 3 3 3 4" xfId="30030"/>
    <cellStyle name="Normal 17 3 3 3 5" xfId="36999"/>
    <cellStyle name="Normal 17 3 3 4" xfId="13776"/>
    <cellStyle name="Normal 17 3 3 4 2" xfId="20743"/>
    <cellStyle name="Normal 17 3 3 4 3" xfId="27710"/>
    <cellStyle name="Normal 17 3 3 4 4" xfId="34679"/>
    <cellStyle name="Normal 17 3 3 5" xfId="11454"/>
    <cellStyle name="Normal 17 3 3 6" xfId="18421"/>
    <cellStyle name="Normal 17 3 3 7" xfId="25388"/>
    <cellStyle name="Normal 17 3 3 8" xfId="32356"/>
    <cellStyle name="Normal 17 3 4" xfId="3620"/>
    <cellStyle name="Normal 17 3 4 2" xfId="5004"/>
    <cellStyle name="Normal 17 3 4 2 2" xfId="9879"/>
    <cellStyle name="Normal 17 3 4 2 2 2" xfId="16877"/>
    <cellStyle name="Normal 17 3 4 2 2 3" xfId="23844"/>
    <cellStyle name="Normal 17 3 4 2 2 4" xfId="30811"/>
    <cellStyle name="Normal 17 3 4 2 2 5" xfId="37780"/>
    <cellStyle name="Normal 17 3 4 2 3" xfId="14557"/>
    <cellStyle name="Normal 17 3 4 2 3 2" xfId="21524"/>
    <cellStyle name="Normal 17 3 4 2 3 3" xfId="28491"/>
    <cellStyle name="Normal 17 3 4 2 3 4" xfId="35460"/>
    <cellStyle name="Normal 17 3 4 2 4" xfId="12235"/>
    <cellStyle name="Normal 17 3 4 2 5" xfId="19202"/>
    <cellStyle name="Normal 17 3 4 2 6" xfId="26169"/>
    <cellStyle name="Normal 17 3 4 2 7" xfId="33137"/>
    <cellStyle name="Normal 17 3 4 3" xfId="9228"/>
    <cellStyle name="Normal 17 3 4 3 2" xfId="16267"/>
    <cellStyle name="Normal 17 3 4 3 3" xfId="23234"/>
    <cellStyle name="Normal 17 3 4 3 4" xfId="30201"/>
    <cellStyle name="Normal 17 3 4 3 5" xfId="37170"/>
    <cellStyle name="Normal 17 3 4 4" xfId="13947"/>
    <cellStyle name="Normal 17 3 4 4 2" xfId="20914"/>
    <cellStyle name="Normal 17 3 4 4 3" xfId="27881"/>
    <cellStyle name="Normal 17 3 4 4 4" xfId="34850"/>
    <cellStyle name="Normal 17 3 4 5" xfId="11625"/>
    <cellStyle name="Normal 17 3 4 6" xfId="18592"/>
    <cellStyle name="Normal 17 3 4 7" xfId="25559"/>
    <cellStyle name="Normal 17 3 4 8" xfId="32527"/>
    <cellStyle name="Normal 17 3 5" xfId="3897"/>
    <cellStyle name="Normal 17 3 5 2" xfId="5005"/>
    <cellStyle name="Normal 17 3 5 2 2" xfId="9880"/>
    <cellStyle name="Normal 17 3 5 2 2 2" xfId="16878"/>
    <cellStyle name="Normal 17 3 5 2 2 3" xfId="23845"/>
    <cellStyle name="Normal 17 3 5 2 2 4" xfId="30812"/>
    <cellStyle name="Normal 17 3 5 2 2 5" xfId="37781"/>
    <cellStyle name="Normal 17 3 5 2 3" xfId="14558"/>
    <cellStyle name="Normal 17 3 5 2 3 2" xfId="21525"/>
    <cellStyle name="Normal 17 3 5 2 3 3" xfId="28492"/>
    <cellStyle name="Normal 17 3 5 2 3 4" xfId="35461"/>
    <cellStyle name="Normal 17 3 5 2 4" xfId="12236"/>
    <cellStyle name="Normal 17 3 5 2 5" xfId="19203"/>
    <cellStyle name="Normal 17 3 5 2 6" xfId="26170"/>
    <cellStyle name="Normal 17 3 5 2 7" xfId="33138"/>
    <cellStyle name="Normal 17 3 5 3" xfId="9503"/>
    <cellStyle name="Normal 17 3 5 3 2" xfId="16539"/>
    <cellStyle name="Normal 17 3 5 3 3" xfId="23506"/>
    <cellStyle name="Normal 17 3 5 3 4" xfId="30473"/>
    <cellStyle name="Normal 17 3 5 3 5" xfId="37442"/>
    <cellStyle name="Normal 17 3 5 4" xfId="14219"/>
    <cellStyle name="Normal 17 3 5 4 2" xfId="21186"/>
    <cellStyle name="Normal 17 3 5 4 3" xfId="28153"/>
    <cellStyle name="Normal 17 3 5 4 4" xfId="35122"/>
    <cellStyle name="Normal 17 3 5 5" xfId="11897"/>
    <cellStyle name="Normal 17 3 5 6" xfId="18864"/>
    <cellStyle name="Normal 17 3 5 7" xfId="25831"/>
    <cellStyle name="Normal 17 3 5 8" xfId="32799"/>
    <cellStyle name="Normal 17 3 6" xfId="5001"/>
    <cellStyle name="Normal 17 3 6 2" xfId="9876"/>
    <cellStyle name="Normal 17 3 6 2 2" xfId="16874"/>
    <cellStyle name="Normal 17 3 6 2 3" xfId="23841"/>
    <cellStyle name="Normal 17 3 6 2 4" xfId="30808"/>
    <cellStyle name="Normal 17 3 6 2 5" xfId="37777"/>
    <cellStyle name="Normal 17 3 6 3" xfId="14554"/>
    <cellStyle name="Normal 17 3 6 3 2" xfId="21521"/>
    <cellStyle name="Normal 17 3 6 3 3" xfId="28488"/>
    <cellStyle name="Normal 17 3 6 3 4" xfId="35457"/>
    <cellStyle name="Normal 17 3 6 4" xfId="12232"/>
    <cellStyle name="Normal 17 3 6 5" xfId="19199"/>
    <cellStyle name="Normal 17 3 6 6" xfId="26166"/>
    <cellStyle name="Normal 17 3 6 7" xfId="33134"/>
    <cellStyle name="Normal 17 3 7" xfId="6785"/>
    <cellStyle name="Normal 17 3 7 2" xfId="10758"/>
    <cellStyle name="Normal 17 3 7 2 2" xfId="17733"/>
    <cellStyle name="Normal 17 3 7 2 3" xfId="24700"/>
    <cellStyle name="Normal 17 3 7 2 4" xfId="31667"/>
    <cellStyle name="Normal 17 3 7 2 5" xfId="38636"/>
    <cellStyle name="Normal 17 3 7 3" xfId="15413"/>
    <cellStyle name="Normal 17 3 7 3 2" xfId="22380"/>
    <cellStyle name="Normal 17 3 7 3 3" xfId="29347"/>
    <cellStyle name="Normal 17 3 7 3 4" xfId="36316"/>
    <cellStyle name="Normal 17 3 7 4" xfId="13091"/>
    <cellStyle name="Normal 17 3 7 5" xfId="20058"/>
    <cellStyle name="Normal 17 3 7 6" xfId="27025"/>
    <cellStyle name="Normal 17 3 7 7" xfId="33994"/>
    <cellStyle name="Normal 17 3 8" xfId="7102"/>
    <cellStyle name="Normal 17 3 8 2" xfId="15586"/>
    <cellStyle name="Normal 17 3 8 2 2" xfId="22553"/>
    <cellStyle name="Normal 17 3 8 2 3" xfId="29520"/>
    <cellStyle name="Normal 17 3 8 2 4" xfId="36489"/>
    <cellStyle name="Normal 17 3 8 3" xfId="13264"/>
    <cellStyle name="Normal 17 3 8 4" xfId="20231"/>
    <cellStyle name="Normal 17 3 8 5" xfId="27198"/>
    <cellStyle name="Normal 17 3 8 6" xfId="34167"/>
    <cellStyle name="Normal 17 3 9" xfId="7962"/>
    <cellStyle name="Normal 17 3 9 2" xfId="15758"/>
    <cellStyle name="Normal 17 3 9 2 2" xfId="22725"/>
    <cellStyle name="Normal 17 3 9 2 3" xfId="29692"/>
    <cellStyle name="Normal 17 3 9 2 4" xfId="36661"/>
    <cellStyle name="Normal 17 3 9 3" xfId="11114"/>
    <cellStyle name="Normal 17 3 9 4" xfId="18081"/>
    <cellStyle name="Normal 17 3 9 5" xfId="25048"/>
    <cellStyle name="Normal 17 3 9 6" xfId="32016"/>
    <cellStyle name="Normal 17 4" xfId="3236"/>
    <cellStyle name="Normal 17 4 2" xfId="5006"/>
    <cellStyle name="Normal 17 4 2 2" xfId="9881"/>
    <cellStyle name="Normal 17 4 2 2 2" xfId="16879"/>
    <cellStyle name="Normal 17 4 2 2 3" xfId="23846"/>
    <cellStyle name="Normal 17 4 2 2 4" xfId="30813"/>
    <cellStyle name="Normal 17 4 2 2 5" xfId="37782"/>
    <cellStyle name="Normal 17 4 2 3" xfId="14559"/>
    <cellStyle name="Normal 17 4 2 3 2" xfId="21526"/>
    <cellStyle name="Normal 17 4 2 3 3" xfId="28493"/>
    <cellStyle name="Normal 17 4 2 3 4" xfId="35462"/>
    <cellStyle name="Normal 17 4 2 4" xfId="12237"/>
    <cellStyle name="Normal 17 4 2 5" xfId="19204"/>
    <cellStyle name="Normal 17 4 2 6" xfId="26171"/>
    <cellStyle name="Normal 17 4 2 7" xfId="33139"/>
    <cellStyle name="Normal 17 4 3" xfId="8870"/>
    <cellStyle name="Normal 17 4 3 2" xfId="15926"/>
    <cellStyle name="Normal 17 4 3 3" xfId="22893"/>
    <cellStyle name="Normal 17 4 3 4" xfId="29860"/>
    <cellStyle name="Normal 17 4 3 5" xfId="36829"/>
    <cellStyle name="Normal 17 4 4" xfId="13604"/>
    <cellStyle name="Normal 17 4 4 2" xfId="20571"/>
    <cellStyle name="Normal 17 4 4 3" xfId="27538"/>
    <cellStyle name="Normal 17 4 4 4" xfId="34507"/>
    <cellStyle name="Normal 17 4 5" xfId="11282"/>
    <cellStyle name="Normal 17 4 6" xfId="18249"/>
    <cellStyle name="Normal 17 4 7" xfId="25216"/>
    <cellStyle name="Normal 17 4 8" xfId="32184"/>
    <cellStyle name="Normal 17 5" xfId="3442"/>
    <cellStyle name="Normal 17 5 2" xfId="5007"/>
    <cellStyle name="Normal 17 5 2 2" xfId="9882"/>
    <cellStyle name="Normal 17 5 2 2 2" xfId="16880"/>
    <cellStyle name="Normal 17 5 2 2 3" xfId="23847"/>
    <cellStyle name="Normal 17 5 2 2 4" xfId="30814"/>
    <cellStyle name="Normal 17 5 2 2 5" xfId="37783"/>
    <cellStyle name="Normal 17 5 2 3" xfId="14560"/>
    <cellStyle name="Normal 17 5 2 3 2" xfId="21527"/>
    <cellStyle name="Normal 17 5 2 3 3" xfId="28494"/>
    <cellStyle name="Normal 17 5 2 3 4" xfId="35463"/>
    <cellStyle name="Normal 17 5 2 4" xfId="12238"/>
    <cellStyle name="Normal 17 5 2 5" xfId="19205"/>
    <cellStyle name="Normal 17 5 2 6" xfId="26172"/>
    <cellStyle name="Normal 17 5 2 7" xfId="33140"/>
    <cellStyle name="Normal 17 5 3" xfId="9054"/>
    <cellStyle name="Normal 17 5 3 2" xfId="16093"/>
    <cellStyle name="Normal 17 5 3 3" xfId="23060"/>
    <cellStyle name="Normal 17 5 3 4" xfId="30027"/>
    <cellStyle name="Normal 17 5 3 5" xfId="36996"/>
    <cellStyle name="Normal 17 5 4" xfId="13773"/>
    <cellStyle name="Normal 17 5 4 2" xfId="20740"/>
    <cellStyle name="Normal 17 5 4 3" xfId="27707"/>
    <cellStyle name="Normal 17 5 4 4" xfId="34676"/>
    <cellStyle name="Normal 17 5 5" xfId="11451"/>
    <cellStyle name="Normal 17 5 6" xfId="18418"/>
    <cellStyle name="Normal 17 5 7" xfId="25385"/>
    <cellStyle name="Normal 17 5 8" xfId="32353"/>
    <cellStyle name="Normal 17 6" xfId="3617"/>
    <cellStyle name="Normal 17 6 2" xfId="5008"/>
    <cellStyle name="Normal 17 6 2 2" xfId="9883"/>
    <cellStyle name="Normal 17 6 2 2 2" xfId="16881"/>
    <cellStyle name="Normal 17 6 2 2 3" xfId="23848"/>
    <cellStyle name="Normal 17 6 2 2 4" xfId="30815"/>
    <cellStyle name="Normal 17 6 2 2 5" xfId="37784"/>
    <cellStyle name="Normal 17 6 2 3" xfId="14561"/>
    <cellStyle name="Normal 17 6 2 3 2" xfId="21528"/>
    <cellStyle name="Normal 17 6 2 3 3" xfId="28495"/>
    <cellStyle name="Normal 17 6 2 3 4" xfId="35464"/>
    <cellStyle name="Normal 17 6 2 4" xfId="12239"/>
    <cellStyle name="Normal 17 6 2 5" xfId="19206"/>
    <cellStyle name="Normal 17 6 2 6" xfId="26173"/>
    <cellStyle name="Normal 17 6 2 7" xfId="33141"/>
    <cellStyle name="Normal 17 6 3" xfId="9225"/>
    <cellStyle name="Normal 17 6 3 2" xfId="16264"/>
    <cellStyle name="Normal 17 6 3 3" xfId="23231"/>
    <cellStyle name="Normal 17 6 3 4" xfId="30198"/>
    <cellStyle name="Normal 17 6 3 5" xfId="37167"/>
    <cellStyle name="Normal 17 6 4" xfId="13944"/>
    <cellStyle name="Normal 17 6 4 2" xfId="20911"/>
    <cellStyle name="Normal 17 6 4 3" xfId="27878"/>
    <cellStyle name="Normal 17 6 4 4" xfId="34847"/>
    <cellStyle name="Normal 17 6 5" xfId="11622"/>
    <cellStyle name="Normal 17 6 6" xfId="18589"/>
    <cellStyle name="Normal 17 6 7" xfId="25556"/>
    <cellStyle name="Normal 17 6 8" xfId="32524"/>
    <cellStyle name="Normal 17 7" xfId="3894"/>
    <cellStyle name="Normal 17 7 2" xfId="5009"/>
    <cellStyle name="Normal 17 7 2 2" xfId="9884"/>
    <cellStyle name="Normal 17 7 2 2 2" xfId="16882"/>
    <cellStyle name="Normal 17 7 2 2 3" xfId="23849"/>
    <cellStyle name="Normal 17 7 2 2 4" xfId="30816"/>
    <cellStyle name="Normal 17 7 2 2 5" xfId="37785"/>
    <cellStyle name="Normal 17 7 2 3" xfId="14562"/>
    <cellStyle name="Normal 17 7 2 3 2" xfId="21529"/>
    <cellStyle name="Normal 17 7 2 3 3" xfId="28496"/>
    <cellStyle name="Normal 17 7 2 3 4" xfId="35465"/>
    <cellStyle name="Normal 17 7 2 4" xfId="12240"/>
    <cellStyle name="Normal 17 7 2 5" xfId="19207"/>
    <cellStyle name="Normal 17 7 2 6" xfId="26174"/>
    <cellStyle name="Normal 17 7 2 7" xfId="33142"/>
    <cellStyle name="Normal 17 7 3" xfId="9500"/>
    <cellStyle name="Normal 17 7 3 2" xfId="16536"/>
    <cellStyle name="Normal 17 7 3 3" xfId="23503"/>
    <cellStyle name="Normal 17 7 3 4" xfId="30470"/>
    <cellStyle name="Normal 17 7 3 5" xfId="37439"/>
    <cellStyle name="Normal 17 7 4" xfId="14216"/>
    <cellStyle name="Normal 17 7 4 2" xfId="21183"/>
    <cellStyle name="Normal 17 7 4 3" xfId="28150"/>
    <cellStyle name="Normal 17 7 4 4" xfId="35119"/>
    <cellStyle name="Normal 17 7 5" xfId="11894"/>
    <cellStyle name="Normal 17 7 6" xfId="18861"/>
    <cellStyle name="Normal 17 7 7" xfId="25828"/>
    <cellStyle name="Normal 17 7 8" xfId="32796"/>
    <cellStyle name="Normal 17 8" xfId="4990"/>
    <cellStyle name="Normal 17 8 2" xfId="9865"/>
    <cellStyle name="Normal 17 8 2 2" xfId="16863"/>
    <cellStyle name="Normal 17 8 2 3" xfId="23830"/>
    <cellStyle name="Normal 17 8 2 4" xfId="30797"/>
    <cellStyle name="Normal 17 8 2 5" xfId="37766"/>
    <cellStyle name="Normal 17 8 3" xfId="14543"/>
    <cellStyle name="Normal 17 8 3 2" xfId="21510"/>
    <cellStyle name="Normal 17 8 3 3" xfId="28477"/>
    <cellStyle name="Normal 17 8 3 4" xfId="35446"/>
    <cellStyle name="Normal 17 8 4" xfId="12221"/>
    <cellStyle name="Normal 17 8 5" xfId="19188"/>
    <cellStyle name="Normal 17 8 6" xfId="26155"/>
    <cellStyle name="Normal 17 8 7" xfId="33123"/>
    <cellStyle name="Normal 17 9" xfId="6782"/>
    <cellStyle name="Normal 17 9 2" xfId="10755"/>
    <cellStyle name="Normal 17 9 2 2" xfId="17730"/>
    <cellStyle name="Normal 17 9 2 3" xfId="24697"/>
    <cellStyle name="Normal 17 9 2 4" xfId="31664"/>
    <cellStyle name="Normal 17 9 2 5" xfId="38633"/>
    <cellStyle name="Normal 17 9 3" xfId="15410"/>
    <cellStyle name="Normal 17 9 3 2" xfId="22377"/>
    <cellStyle name="Normal 17 9 3 3" xfId="29344"/>
    <cellStyle name="Normal 17 9 3 4" xfId="36313"/>
    <cellStyle name="Normal 17 9 4" xfId="13088"/>
    <cellStyle name="Normal 17 9 5" xfId="20055"/>
    <cellStyle name="Normal 17 9 6" xfId="27022"/>
    <cellStyle name="Normal 17 9 7" xfId="33991"/>
    <cellStyle name="Normal 170" xfId="1511"/>
    <cellStyle name="Normal 170 2" xfId="1512"/>
    <cellStyle name="Normal 170 3" xfId="1513"/>
    <cellStyle name="Normal 171" xfId="1514"/>
    <cellStyle name="Normal 171 2" xfId="1515"/>
    <cellStyle name="Normal 171 3" xfId="1516"/>
    <cellStyle name="Normal 172" xfId="1517"/>
    <cellStyle name="Normal 172 2" xfId="1518"/>
    <cellStyle name="Normal 172 3" xfId="1519"/>
    <cellStyle name="Normal 173" xfId="1520"/>
    <cellStyle name="Normal 173 2" xfId="1521"/>
    <cellStyle name="Normal 173 3" xfId="1522"/>
    <cellStyle name="Normal 174" xfId="1523"/>
    <cellStyle name="Normal 174 2" xfId="1524"/>
    <cellStyle name="Normal 174 3" xfId="1525"/>
    <cellStyle name="Normal 175" xfId="1526"/>
    <cellStyle name="Normal 175 2" xfId="1527"/>
    <cellStyle name="Normal 175 3" xfId="1528"/>
    <cellStyle name="Normal 176" xfId="1529"/>
    <cellStyle name="Normal 176 2" xfId="1530"/>
    <cellStyle name="Normal 176 3" xfId="1531"/>
    <cellStyle name="Normal 177" xfId="1532"/>
    <cellStyle name="Normal 177 2" xfId="1533"/>
    <cellStyle name="Normal 177 3" xfId="1534"/>
    <cellStyle name="Normal 178" xfId="1535"/>
    <cellStyle name="Normal 178 2" xfId="1536"/>
    <cellStyle name="Normal 178 3" xfId="1537"/>
    <cellStyle name="Normal 179" xfId="1538"/>
    <cellStyle name="Normal 179 2" xfId="1539"/>
    <cellStyle name="Normal 179 3" xfId="1540"/>
    <cellStyle name="Normal 18" xfId="1541"/>
    <cellStyle name="Normal 18 2" xfId="1542"/>
    <cellStyle name="Normal 18 3" xfId="1543"/>
    <cellStyle name="Normal 18 3 2" xfId="1544"/>
    <cellStyle name="Normal 18 4" xfId="1545"/>
    <cellStyle name="Normal 18 5" xfId="1546"/>
    <cellStyle name="Normal 18 5 2" xfId="1547"/>
    <cellStyle name="Normal 18 5 3" xfId="1548"/>
    <cellStyle name="Normal 18 5 4" xfId="1549"/>
    <cellStyle name="Normal 18 5 4 2" xfId="1550"/>
    <cellStyle name="Normal 18 5 4 2 2" xfId="1551"/>
    <cellStyle name="Normal 18 5 4 2 3" xfId="1552"/>
    <cellStyle name="Normal 18 5 4 2 3 2" xfId="1553"/>
    <cellStyle name="Normal 18 5 4 2 3 3" xfId="1554"/>
    <cellStyle name="Normal 18 5 4 2 3 3 2" xfId="1555"/>
    <cellStyle name="Normal 18 5 4 2 3 3 3" xfId="1556"/>
    <cellStyle name="Normal 18 5 4 2 3 3 4" xfId="1557"/>
    <cellStyle name="Normal 18 5 4 2 3 3 4 2" xfId="1558"/>
    <cellStyle name="Normal 18 5 4 2 3 3 4 3" xfId="1559"/>
    <cellStyle name="Normal 18 5 4 3" xfId="1560"/>
    <cellStyle name="Normal 18 5 4 4" xfId="1561"/>
    <cellStyle name="Normal 18 5 4 4 2" xfId="1562"/>
    <cellStyle name="Normal 18 5 4 4 3" xfId="1563"/>
    <cellStyle name="Normal 18 5 4 4 3 2" xfId="1564"/>
    <cellStyle name="Normal 18 5 4 4 3 3" xfId="1565"/>
    <cellStyle name="Normal 18 5 4 4 3 4" xfId="1566"/>
    <cellStyle name="Normal 18 5 4 4 3 4 2" xfId="1567"/>
    <cellStyle name="Normal 18 5 4 4 3 4 3" xfId="1568"/>
    <cellStyle name="Normal 18 6" xfId="6786"/>
    <cellStyle name="Normal 18 7" xfId="6787"/>
    <cellStyle name="Normal 18 7 2" xfId="10759"/>
    <cellStyle name="Normal 180" xfId="1569"/>
    <cellStyle name="Normal 180 2" xfId="1570"/>
    <cellStyle name="Normal 180 3" xfId="1571"/>
    <cellStyle name="Normal 181" xfId="1572"/>
    <cellStyle name="Normal 181 2" xfId="1573"/>
    <cellStyle name="Normal 181 3" xfId="1574"/>
    <cellStyle name="Normal 182" xfId="1575"/>
    <cellStyle name="Normal 182 2" xfId="1576"/>
    <cellStyle name="Normal 182 3" xfId="1577"/>
    <cellStyle name="Normal 183" xfId="1578"/>
    <cellStyle name="Normal 183 2" xfId="1579"/>
    <cellStyle name="Normal 183 3" xfId="1580"/>
    <cellStyle name="Normal 184" xfId="1581"/>
    <cellStyle name="Normal 184 2" xfId="1582"/>
    <cellStyle name="Normal 184 3" xfId="1583"/>
    <cellStyle name="Normal 185" xfId="1584"/>
    <cellStyle name="Normal 185 2" xfId="1585"/>
    <cellStyle name="Normal 185 3" xfId="1586"/>
    <cellStyle name="Normal 186" xfId="1587"/>
    <cellStyle name="Normal 186 2" xfId="1588"/>
    <cellStyle name="Normal 186 3" xfId="1589"/>
    <cellStyle name="Normal 187" xfId="1590"/>
    <cellStyle name="Normal 187 2" xfId="1591"/>
    <cellStyle name="Normal 187 3" xfId="1592"/>
    <cellStyle name="Normal 188" xfId="1593"/>
    <cellStyle name="Normal 188 2" xfId="5010"/>
    <cellStyle name="Normal 188 3" xfId="7963"/>
    <cellStyle name="Normal 189" xfId="1594"/>
    <cellStyle name="Normal 189 2" xfId="5011"/>
    <cellStyle name="Normal 189 3" xfId="7964"/>
    <cellStyle name="Normal 19" xfId="1595"/>
    <cellStyle name="Normal 190" xfId="1596"/>
    <cellStyle name="Normal 190 2" xfId="5012"/>
    <cellStyle name="Normal 190 3" xfId="7965"/>
    <cellStyle name="Normal 191" xfId="1597"/>
    <cellStyle name="Normal 191 2" xfId="5013"/>
    <cellStyle name="Normal 191 3" xfId="7966"/>
    <cellStyle name="Normal 192" xfId="1598"/>
    <cellStyle name="Normal 192 2" xfId="5014"/>
    <cellStyle name="Normal 192 3" xfId="7967"/>
    <cellStyle name="Normal 193" xfId="1599"/>
    <cellStyle name="Normal 193 2" xfId="3585"/>
    <cellStyle name="Normal 194" xfId="1600"/>
    <cellStyle name="Normal 194 2" xfId="3587"/>
    <cellStyle name="Normal 194 3" xfId="7968"/>
    <cellStyle name="Normal 195" xfId="1601"/>
    <cellStyle name="Normal 195 2" xfId="5015"/>
    <cellStyle name="Normal 195 3" xfId="7969"/>
    <cellStyle name="Normal 196" xfId="1602"/>
    <cellStyle name="Normal 196 2" xfId="3240"/>
    <cellStyle name="Normal 196 2 2" xfId="5017"/>
    <cellStyle name="Normal 196 2 3" xfId="6788"/>
    <cellStyle name="Normal 196 2 4" xfId="8874"/>
    <cellStyle name="Normal 196 3" xfId="5018"/>
    <cellStyle name="Normal 196 4" xfId="5016"/>
    <cellStyle name="Normal 197" xfId="3241"/>
    <cellStyle name="Normal 197 2" xfId="5019"/>
    <cellStyle name="Normal 197 3" xfId="8875"/>
    <cellStyle name="Normal 198" xfId="3242"/>
    <cellStyle name="Normal 198 2" xfId="5020"/>
    <cellStyle name="Normal 198 3" xfId="8876"/>
    <cellStyle name="Normal 199" xfId="3243"/>
    <cellStyle name="Normal 199 2" xfId="5021"/>
    <cellStyle name="Normal 199 3" xfId="8877"/>
    <cellStyle name="Normal 2" xfId="1603"/>
    <cellStyle name="Normal 2 10" xfId="1604"/>
    <cellStyle name="Normal 2 10 10" xfId="7971"/>
    <cellStyle name="Normal 2 10 10 2" xfId="15760"/>
    <cellStyle name="Normal 2 10 10 2 2" xfId="22727"/>
    <cellStyle name="Normal 2 10 10 2 3" xfId="29694"/>
    <cellStyle name="Normal 2 10 10 2 4" xfId="36663"/>
    <cellStyle name="Normal 2 10 10 3" xfId="11116"/>
    <cellStyle name="Normal 2 10 10 4" xfId="18083"/>
    <cellStyle name="Normal 2 10 10 5" xfId="25050"/>
    <cellStyle name="Normal 2 10 10 6" xfId="32018"/>
    <cellStyle name="Normal 2 10 11" xfId="13438"/>
    <cellStyle name="Normal 2 10 11 2" xfId="20405"/>
    <cellStyle name="Normal 2 10 11 3" xfId="27372"/>
    <cellStyle name="Normal 2 10 11 4" xfId="34341"/>
    <cellStyle name="Normal 2 10 12" xfId="10944"/>
    <cellStyle name="Normal 2 10 13" xfId="17910"/>
    <cellStyle name="Normal 2 10 14" xfId="24878"/>
    <cellStyle name="Normal 2 10 15" xfId="31846"/>
    <cellStyle name="Normal 2 10 2" xfId="1605"/>
    <cellStyle name="Normal 2 10 2 10" xfId="13439"/>
    <cellStyle name="Normal 2 10 2 10 2" xfId="20406"/>
    <cellStyle name="Normal 2 10 2 10 3" xfId="27373"/>
    <cellStyle name="Normal 2 10 2 10 4" xfId="34342"/>
    <cellStyle name="Normal 2 10 2 11" xfId="10945"/>
    <cellStyle name="Normal 2 10 2 12" xfId="17911"/>
    <cellStyle name="Normal 2 10 2 13" xfId="24879"/>
    <cellStyle name="Normal 2 10 2 14" xfId="31847"/>
    <cellStyle name="Normal 2 10 2 2" xfId="3245"/>
    <cellStyle name="Normal 2 10 2 2 2" xfId="5024"/>
    <cellStyle name="Normal 2 10 2 2 2 2" xfId="9887"/>
    <cellStyle name="Normal 2 10 2 2 2 2 2" xfId="16885"/>
    <cellStyle name="Normal 2 10 2 2 2 2 3" xfId="23852"/>
    <cellStyle name="Normal 2 10 2 2 2 2 4" xfId="30819"/>
    <cellStyle name="Normal 2 10 2 2 2 2 5" xfId="37788"/>
    <cellStyle name="Normal 2 10 2 2 2 3" xfId="14565"/>
    <cellStyle name="Normal 2 10 2 2 2 3 2" xfId="21532"/>
    <cellStyle name="Normal 2 10 2 2 2 3 3" xfId="28499"/>
    <cellStyle name="Normal 2 10 2 2 2 3 4" xfId="35468"/>
    <cellStyle name="Normal 2 10 2 2 2 4" xfId="12243"/>
    <cellStyle name="Normal 2 10 2 2 2 5" xfId="19210"/>
    <cellStyle name="Normal 2 10 2 2 2 6" xfId="26177"/>
    <cellStyle name="Normal 2 10 2 2 2 7" xfId="33145"/>
    <cellStyle name="Normal 2 10 2 2 3" xfId="8879"/>
    <cellStyle name="Normal 2 10 2 2 3 2" xfId="15931"/>
    <cellStyle name="Normal 2 10 2 2 3 3" xfId="22898"/>
    <cellStyle name="Normal 2 10 2 2 3 4" xfId="29865"/>
    <cellStyle name="Normal 2 10 2 2 3 5" xfId="36834"/>
    <cellStyle name="Normal 2 10 2 2 4" xfId="13609"/>
    <cellStyle name="Normal 2 10 2 2 4 2" xfId="20576"/>
    <cellStyle name="Normal 2 10 2 2 4 3" xfId="27543"/>
    <cellStyle name="Normal 2 10 2 2 4 4" xfId="34512"/>
    <cellStyle name="Normal 2 10 2 2 5" xfId="11287"/>
    <cellStyle name="Normal 2 10 2 2 6" xfId="18254"/>
    <cellStyle name="Normal 2 10 2 2 7" xfId="25221"/>
    <cellStyle name="Normal 2 10 2 2 8" xfId="32189"/>
    <cellStyle name="Normal 2 10 2 3" xfId="3447"/>
    <cellStyle name="Normal 2 10 2 3 2" xfId="5025"/>
    <cellStyle name="Normal 2 10 2 3 2 2" xfId="9888"/>
    <cellStyle name="Normal 2 10 2 3 2 2 2" xfId="16886"/>
    <cellStyle name="Normal 2 10 2 3 2 2 3" xfId="23853"/>
    <cellStyle name="Normal 2 10 2 3 2 2 4" xfId="30820"/>
    <cellStyle name="Normal 2 10 2 3 2 2 5" xfId="37789"/>
    <cellStyle name="Normal 2 10 2 3 2 3" xfId="14566"/>
    <cellStyle name="Normal 2 10 2 3 2 3 2" xfId="21533"/>
    <cellStyle name="Normal 2 10 2 3 2 3 3" xfId="28500"/>
    <cellStyle name="Normal 2 10 2 3 2 3 4" xfId="35469"/>
    <cellStyle name="Normal 2 10 2 3 2 4" xfId="12244"/>
    <cellStyle name="Normal 2 10 2 3 2 5" xfId="19211"/>
    <cellStyle name="Normal 2 10 2 3 2 6" xfId="26178"/>
    <cellStyle name="Normal 2 10 2 3 2 7" xfId="33146"/>
    <cellStyle name="Normal 2 10 2 3 3" xfId="9059"/>
    <cellStyle name="Normal 2 10 2 3 3 2" xfId="16098"/>
    <cellStyle name="Normal 2 10 2 3 3 3" xfId="23065"/>
    <cellStyle name="Normal 2 10 2 3 3 4" xfId="30032"/>
    <cellStyle name="Normal 2 10 2 3 3 5" xfId="37001"/>
    <cellStyle name="Normal 2 10 2 3 4" xfId="13778"/>
    <cellStyle name="Normal 2 10 2 3 4 2" xfId="20745"/>
    <cellStyle name="Normal 2 10 2 3 4 3" xfId="27712"/>
    <cellStyle name="Normal 2 10 2 3 4 4" xfId="34681"/>
    <cellStyle name="Normal 2 10 2 3 5" xfId="11456"/>
    <cellStyle name="Normal 2 10 2 3 6" xfId="18423"/>
    <cellStyle name="Normal 2 10 2 3 7" xfId="25390"/>
    <cellStyle name="Normal 2 10 2 3 8" xfId="32358"/>
    <cellStyle name="Normal 2 10 2 4" xfId="3622"/>
    <cellStyle name="Normal 2 10 2 4 2" xfId="5026"/>
    <cellStyle name="Normal 2 10 2 4 2 2" xfId="9889"/>
    <cellStyle name="Normal 2 10 2 4 2 2 2" xfId="16887"/>
    <cellStyle name="Normal 2 10 2 4 2 2 3" xfId="23854"/>
    <cellStyle name="Normal 2 10 2 4 2 2 4" xfId="30821"/>
    <cellStyle name="Normal 2 10 2 4 2 2 5" xfId="37790"/>
    <cellStyle name="Normal 2 10 2 4 2 3" xfId="14567"/>
    <cellStyle name="Normal 2 10 2 4 2 3 2" xfId="21534"/>
    <cellStyle name="Normal 2 10 2 4 2 3 3" xfId="28501"/>
    <cellStyle name="Normal 2 10 2 4 2 3 4" xfId="35470"/>
    <cellStyle name="Normal 2 10 2 4 2 4" xfId="12245"/>
    <cellStyle name="Normal 2 10 2 4 2 5" xfId="19212"/>
    <cellStyle name="Normal 2 10 2 4 2 6" xfId="26179"/>
    <cellStyle name="Normal 2 10 2 4 2 7" xfId="33147"/>
    <cellStyle name="Normal 2 10 2 4 3" xfId="9230"/>
    <cellStyle name="Normal 2 10 2 4 3 2" xfId="16269"/>
    <cellStyle name="Normal 2 10 2 4 3 3" xfId="23236"/>
    <cellStyle name="Normal 2 10 2 4 3 4" xfId="30203"/>
    <cellStyle name="Normal 2 10 2 4 3 5" xfId="37172"/>
    <cellStyle name="Normal 2 10 2 4 4" xfId="13949"/>
    <cellStyle name="Normal 2 10 2 4 4 2" xfId="20916"/>
    <cellStyle name="Normal 2 10 2 4 4 3" xfId="27883"/>
    <cellStyle name="Normal 2 10 2 4 4 4" xfId="34852"/>
    <cellStyle name="Normal 2 10 2 4 5" xfId="11627"/>
    <cellStyle name="Normal 2 10 2 4 6" xfId="18594"/>
    <cellStyle name="Normal 2 10 2 4 7" xfId="25561"/>
    <cellStyle name="Normal 2 10 2 4 8" xfId="32529"/>
    <cellStyle name="Normal 2 10 2 5" xfId="3899"/>
    <cellStyle name="Normal 2 10 2 5 2" xfId="5027"/>
    <cellStyle name="Normal 2 10 2 5 2 2" xfId="9890"/>
    <cellStyle name="Normal 2 10 2 5 2 2 2" xfId="16888"/>
    <cellStyle name="Normal 2 10 2 5 2 2 3" xfId="23855"/>
    <cellStyle name="Normal 2 10 2 5 2 2 4" xfId="30822"/>
    <cellStyle name="Normal 2 10 2 5 2 2 5" xfId="37791"/>
    <cellStyle name="Normal 2 10 2 5 2 3" xfId="14568"/>
    <cellStyle name="Normal 2 10 2 5 2 3 2" xfId="21535"/>
    <cellStyle name="Normal 2 10 2 5 2 3 3" xfId="28502"/>
    <cellStyle name="Normal 2 10 2 5 2 3 4" xfId="35471"/>
    <cellStyle name="Normal 2 10 2 5 2 4" xfId="12246"/>
    <cellStyle name="Normal 2 10 2 5 2 5" xfId="19213"/>
    <cellStyle name="Normal 2 10 2 5 2 6" xfId="26180"/>
    <cellStyle name="Normal 2 10 2 5 2 7" xfId="33148"/>
    <cellStyle name="Normal 2 10 2 5 3" xfId="9505"/>
    <cellStyle name="Normal 2 10 2 5 3 2" xfId="16541"/>
    <cellStyle name="Normal 2 10 2 5 3 3" xfId="23508"/>
    <cellStyle name="Normal 2 10 2 5 3 4" xfId="30475"/>
    <cellStyle name="Normal 2 10 2 5 3 5" xfId="37444"/>
    <cellStyle name="Normal 2 10 2 5 4" xfId="14221"/>
    <cellStyle name="Normal 2 10 2 5 4 2" xfId="21188"/>
    <cellStyle name="Normal 2 10 2 5 4 3" xfId="28155"/>
    <cellStyle name="Normal 2 10 2 5 4 4" xfId="35124"/>
    <cellStyle name="Normal 2 10 2 5 5" xfId="11899"/>
    <cellStyle name="Normal 2 10 2 5 6" xfId="18866"/>
    <cellStyle name="Normal 2 10 2 5 7" xfId="25833"/>
    <cellStyle name="Normal 2 10 2 5 8" xfId="32801"/>
    <cellStyle name="Normal 2 10 2 6" xfId="5023"/>
    <cellStyle name="Normal 2 10 2 6 2" xfId="9886"/>
    <cellStyle name="Normal 2 10 2 6 2 2" xfId="16884"/>
    <cellStyle name="Normal 2 10 2 6 2 3" xfId="23851"/>
    <cellStyle name="Normal 2 10 2 6 2 4" xfId="30818"/>
    <cellStyle name="Normal 2 10 2 6 2 5" xfId="37787"/>
    <cellStyle name="Normal 2 10 2 6 3" xfId="14564"/>
    <cellStyle name="Normal 2 10 2 6 3 2" xfId="21531"/>
    <cellStyle name="Normal 2 10 2 6 3 3" xfId="28498"/>
    <cellStyle name="Normal 2 10 2 6 3 4" xfId="35467"/>
    <cellStyle name="Normal 2 10 2 6 4" xfId="12242"/>
    <cellStyle name="Normal 2 10 2 6 5" xfId="19209"/>
    <cellStyle name="Normal 2 10 2 6 6" xfId="26176"/>
    <cellStyle name="Normal 2 10 2 6 7" xfId="33144"/>
    <cellStyle name="Normal 2 10 2 7" xfId="6791"/>
    <cellStyle name="Normal 2 10 2 7 2" xfId="10762"/>
    <cellStyle name="Normal 2 10 2 7 2 2" xfId="17736"/>
    <cellStyle name="Normal 2 10 2 7 2 3" xfId="24703"/>
    <cellStyle name="Normal 2 10 2 7 2 4" xfId="31670"/>
    <cellStyle name="Normal 2 10 2 7 2 5" xfId="38639"/>
    <cellStyle name="Normal 2 10 2 7 3" xfId="15416"/>
    <cellStyle name="Normal 2 10 2 7 3 2" xfId="22383"/>
    <cellStyle name="Normal 2 10 2 7 3 3" xfId="29350"/>
    <cellStyle name="Normal 2 10 2 7 3 4" xfId="36319"/>
    <cellStyle name="Normal 2 10 2 7 4" xfId="13094"/>
    <cellStyle name="Normal 2 10 2 7 5" xfId="20061"/>
    <cellStyle name="Normal 2 10 2 7 6" xfId="27028"/>
    <cellStyle name="Normal 2 10 2 7 7" xfId="33997"/>
    <cellStyle name="Normal 2 10 2 8" xfId="7105"/>
    <cellStyle name="Normal 2 10 2 8 2" xfId="15589"/>
    <cellStyle name="Normal 2 10 2 8 2 2" xfId="22556"/>
    <cellStyle name="Normal 2 10 2 8 2 3" xfId="29523"/>
    <cellStyle name="Normal 2 10 2 8 2 4" xfId="36492"/>
    <cellStyle name="Normal 2 10 2 8 3" xfId="13267"/>
    <cellStyle name="Normal 2 10 2 8 4" xfId="20234"/>
    <cellStyle name="Normal 2 10 2 8 5" xfId="27201"/>
    <cellStyle name="Normal 2 10 2 8 6" xfId="34170"/>
    <cellStyle name="Normal 2 10 2 9" xfId="7972"/>
    <cellStyle name="Normal 2 10 2 9 2" xfId="15761"/>
    <cellStyle name="Normal 2 10 2 9 2 2" xfId="22728"/>
    <cellStyle name="Normal 2 10 2 9 2 3" xfId="29695"/>
    <cellStyle name="Normal 2 10 2 9 2 4" xfId="36664"/>
    <cellStyle name="Normal 2 10 2 9 3" xfId="11117"/>
    <cellStyle name="Normal 2 10 2 9 4" xfId="18084"/>
    <cellStyle name="Normal 2 10 2 9 5" xfId="25051"/>
    <cellStyle name="Normal 2 10 2 9 6" xfId="32019"/>
    <cellStyle name="Normal 2 10 3" xfId="3244"/>
    <cellStyle name="Normal 2 10 3 2" xfId="5028"/>
    <cellStyle name="Normal 2 10 3 2 2" xfId="9891"/>
    <cellStyle name="Normal 2 10 3 2 2 2" xfId="16889"/>
    <cellStyle name="Normal 2 10 3 2 2 3" xfId="23856"/>
    <cellStyle name="Normal 2 10 3 2 2 4" xfId="30823"/>
    <cellStyle name="Normal 2 10 3 2 2 5" xfId="37792"/>
    <cellStyle name="Normal 2 10 3 2 3" xfId="14569"/>
    <cellStyle name="Normal 2 10 3 2 3 2" xfId="21536"/>
    <cellStyle name="Normal 2 10 3 2 3 3" xfId="28503"/>
    <cellStyle name="Normal 2 10 3 2 3 4" xfId="35472"/>
    <cellStyle name="Normal 2 10 3 2 4" xfId="12247"/>
    <cellStyle name="Normal 2 10 3 2 5" xfId="19214"/>
    <cellStyle name="Normal 2 10 3 2 6" xfId="26181"/>
    <cellStyle name="Normal 2 10 3 2 7" xfId="33149"/>
    <cellStyle name="Normal 2 10 3 3" xfId="8878"/>
    <cellStyle name="Normal 2 10 3 3 2" xfId="15930"/>
    <cellStyle name="Normal 2 10 3 3 3" xfId="22897"/>
    <cellStyle name="Normal 2 10 3 3 4" xfId="29864"/>
    <cellStyle name="Normal 2 10 3 3 5" xfId="36833"/>
    <cellStyle name="Normal 2 10 3 4" xfId="13608"/>
    <cellStyle name="Normal 2 10 3 4 2" xfId="20575"/>
    <cellStyle name="Normal 2 10 3 4 3" xfId="27542"/>
    <cellStyle name="Normal 2 10 3 4 4" xfId="34511"/>
    <cellStyle name="Normal 2 10 3 5" xfId="11286"/>
    <cellStyle name="Normal 2 10 3 6" xfId="18253"/>
    <cellStyle name="Normal 2 10 3 7" xfId="25220"/>
    <cellStyle name="Normal 2 10 3 8" xfId="32188"/>
    <cellStyle name="Normal 2 10 4" xfId="3446"/>
    <cellStyle name="Normal 2 10 4 2" xfId="5029"/>
    <cellStyle name="Normal 2 10 4 2 2" xfId="9892"/>
    <cellStyle name="Normal 2 10 4 2 2 2" xfId="16890"/>
    <cellStyle name="Normal 2 10 4 2 2 3" xfId="23857"/>
    <cellStyle name="Normal 2 10 4 2 2 4" xfId="30824"/>
    <cellStyle name="Normal 2 10 4 2 2 5" xfId="37793"/>
    <cellStyle name="Normal 2 10 4 2 3" xfId="14570"/>
    <cellStyle name="Normal 2 10 4 2 3 2" xfId="21537"/>
    <cellStyle name="Normal 2 10 4 2 3 3" xfId="28504"/>
    <cellStyle name="Normal 2 10 4 2 3 4" xfId="35473"/>
    <cellStyle name="Normal 2 10 4 2 4" xfId="12248"/>
    <cellStyle name="Normal 2 10 4 2 5" xfId="19215"/>
    <cellStyle name="Normal 2 10 4 2 6" xfId="26182"/>
    <cellStyle name="Normal 2 10 4 2 7" xfId="33150"/>
    <cellStyle name="Normal 2 10 4 3" xfId="9058"/>
    <cellStyle name="Normal 2 10 4 3 2" xfId="16097"/>
    <cellStyle name="Normal 2 10 4 3 3" xfId="23064"/>
    <cellStyle name="Normal 2 10 4 3 4" xfId="30031"/>
    <cellStyle name="Normal 2 10 4 3 5" xfId="37000"/>
    <cellStyle name="Normal 2 10 4 4" xfId="13777"/>
    <cellStyle name="Normal 2 10 4 4 2" xfId="20744"/>
    <cellStyle name="Normal 2 10 4 4 3" xfId="27711"/>
    <cellStyle name="Normal 2 10 4 4 4" xfId="34680"/>
    <cellStyle name="Normal 2 10 4 5" xfId="11455"/>
    <cellStyle name="Normal 2 10 4 6" xfId="18422"/>
    <cellStyle name="Normal 2 10 4 7" xfId="25389"/>
    <cellStyle name="Normal 2 10 4 8" xfId="32357"/>
    <cellStyle name="Normal 2 10 5" xfId="3621"/>
    <cellStyle name="Normal 2 10 5 2" xfId="5030"/>
    <cellStyle name="Normal 2 10 5 2 2" xfId="9893"/>
    <cellStyle name="Normal 2 10 5 2 2 2" xfId="16891"/>
    <cellStyle name="Normal 2 10 5 2 2 3" xfId="23858"/>
    <cellStyle name="Normal 2 10 5 2 2 4" xfId="30825"/>
    <cellStyle name="Normal 2 10 5 2 2 5" xfId="37794"/>
    <cellStyle name="Normal 2 10 5 2 3" xfId="14571"/>
    <cellStyle name="Normal 2 10 5 2 3 2" xfId="21538"/>
    <cellStyle name="Normal 2 10 5 2 3 3" xfId="28505"/>
    <cellStyle name="Normal 2 10 5 2 3 4" xfId="35474"/>
    <cellStyle name="Normal 2 10 5 2 4" xfId="12249"/>
    <cellStyle name="Normal 2 10 5 2 5" xfId="19216"/>
    <cellStyle name="Normal 2 10 5 2 6" xfId="26183"/>
    <cellStyle name="Normal 2 10 5 2 7" xfId="33151"/>
    <cellStyle name="Normal 2 10 5 3" xfId="9229"/>
    <cellStyle name="Normal 2 10 5 3 2" xfId="16268"/>
    <cellStyle name="Normal 2 10 5 3 3" xfId="23235"/>
    <cellStyle name="Normal 2 10 5 3 4" xfId="30202"/>
    <cellStyle name="Normal 2 10 5 3 5" xfId="37171"/>
    <cellStyle name="Normal 2 10 5 4" xfId="13948"/>
    <cellStyle name="Normal 2 10 5 4 2" xfId="20915"/>
    <cellStyle name="Normal 2 10 5 4 3" xfId="27882"/>
    <cellStyle name="Normal 2 10 5 4 4" xfId="34851"/>
    <cellStyle name="Normal 2 10 5 5" xfId="11626"/>
    <cellStyle name="Normal 2 10 5 6" xfId="18593"/>
    <cellStyle name="Normal 2 10 5 7" xfId="25560"/>
    <cellStyle name="Normal 2 10 5 8" xfId="32528"/>
    <cellStyle name="Normal 2 10 6" xfId="3898"/>
    <cellStyle name="Normal 2 10 6 2" xfId="5031"/>
    <cellStyle name="Normal 2 10 6 2 2" xfId="9894"/>
    <cellStyle name="Normal 2 10 6 2 2 2" xfId="16892"/>
    <cellStyle name="Normal 2 10 6 2 2 3" xfId="23859"/>
    <cellStyle name="Normal 2 10 6 2 2 4" xfId="30826"/>
    <cellStyle name="Normal 2 10 6 2 2 5" xfId="37795"/>
    <cellStyle name="Normal 2 10 6 2 3" xfId="14572"/>
    <cellStyle name="Normal 2 10 6 2 3 2" xfId="21539"/>
    <cellStyle name="Normal 2 10 6 2 3 3" xfId="28506"/>
    <cellStyle name="Normal 2 10 6 2 3 4" xfId="35475"/>
    <cellStyle name="Normal 2 10 6 2 4" xfId="12250"/>
    <cellStyle name="Normal 2 10 6 2 5" xfId="19217"/>
    <cellStyle name="Normal 2 10 6 2 6" xfId="26184"/>
    <cellStyle name="Normal 2 10 6 2 7" xfId="33152"/>
    <cellStyle name="Normal 2 10 6 3" xfId="9504"/>
    <cellStyle name="Normal 2 10 6 3 2" xfId="16540"/>
    <cellStyle name="Normal 2 10 6 3 3" xfId="23507"/>
    <cellStyle name="Normal 2 10 6 3 4" xfId="30474"/>
    <cellStyle name="Normal 2 10 6 3 5" xfId="37443"/>
    <cellStyle name="Normal 2 10 6 4" xfId="14220"/>
    <cellStyle name="Normal 2 10 6 4 2" xfId="21187"/>
    <cellStyle name="Normal 2 10 6 4 3" xfId="28154"/>
    <cellStyle name="Normal 2 10 6 4 4" xfId="35123"/>
    <cellStyle name="Normal 2 10 6 5" xfId="11898"/>
    <cellStyle name="Normal 2 10 6 6" xfId="18865"/>
    <cellStyle name="Normal 2 10 6 7" xfId="25832"/>
    <cellStyle name="Normal 2 10 6 8" xfId="32800"/>
    <cellStyle name="Normal 2 10 7" xfId="5022"/>
    <cellStyle name="Normal 2 10 7 2" xfId="9885"/>
    <cellStyle name="Normal 2 10 7 2 2" xfId="16883"/>
    <cellStyle name="Normal 2 10 7 2 3" xfId="23850"/>
    <cellStyle name="Normal 2 10 7 2 4" xfId="30817"/>
    <cellStyle name="Normal 2 10 7 2 5" xfId="37786"/>
    <cellStyle name="Normal 2 10 7 3" xfId="14563"/>
    <cellStyle name="Normal 2 10 7 3 2" xfId="21530"/>
    <cellStyle name="Normal 2 10 7 3 3" xfId="28497"/>
    <cellStyle name="Normal 2 10 7 3 4" xfId="35466"/>
    <cellStyle name="Normal 2 10 7 4" xfId="12241"/>
    <cellStyle name="Normal 2 10 7 5" xfId="19208"/>
    <cellStyle name="Normal 2 10 7 6" xfId="26175"/>
    <cellStyle name="Normal 2 10 7 7" xfId="33143"/>
    <cellStyle name="Normal 2 10 8" xfId="6790"/>
    <cellStyle name="Normal 2 10 8 2" xfId="10761"/>
    <cellStyle name="Normal 2 10 8 2 2" xfId="17735"/>
    <cellStyle name="Normal 2 10 8 2 3" xfId="24702"/>
    <cellStyle name="Normal 2 10 8 2 4" xfId="31669"/>
    <cellStyle name="Normal 2 10 8 2 5" xfId="38638"/>
    <cellStyle name="Normal 2 10 8 3" xfId="15415"/>
    <cellStyle name="Normal 2 10 8 3 2" xfId="22382"/>
    <cellStyle name="Normal 2 10 8 3 3" xfId="29349"/>
    <cellStyle name="Normal 2 10 8 3 4" xfId="36318"/>
    <cellStyle name="Normal 2 10 8 4" xfId="13093"/>
    <cellStyle name="Normal 2 10 8 5" xfId="20060"/>
    <cellStyle name="Normal 2 10 8 6" xfId="27027"/>
    <cellStyle name="Normal 2 10 8 7" xfId="33996"/>
    <cellStyle name="Normal 2 10 9" xfId="7104"/>
    <cellStyle name="Normal 2 10 9 2" xfId="15588"/>
    <cellStyle name="Normal 2 10 9 2 2" xfId="22555"/>
    <cellStyle name="Normal 2 10 9 2 3" xfId="29522"/>
    <cellStyle name="Normal 2 10 9 2 4" xfId="36491"/>
    <cellStyle name="Normal 2 10 9 3" xfId="13266"/>
    <cellStyle name="Normal 2 10 9 4" xfId="20233"/>
    <cellStyle name="Normal 2 10 9 5" xfId="27200"/>
    <cellStyle name="Normal 2 10 9 6" xfId="34169"/>
    <cellStyle name="Normal 2 11" xfId="1606"/>
    <cellStyle name="Normal 2 11 10" xfId="7973"/>
    <cellStyle name="Normal 2 11 10 2" xfId="15762"/>
    <cellStyle name="Normal 2 11 10 2 2" xfId="22729"/>
    <cellStyle name="Normal 2 11 10 2 3" xfId="29696"/>
    <cellStyle name="Normal 2 11 10 2 4" xfId="36665"/>
    <cellStyle name="Normal 2 11 10 3" xfId="11118"/>
    <cellStyle name="Normal 2 11 10 4" xfId="18085"/>
    <cellStyle name="Normal 2 11 10 5" xfId="25052"/>
    <cellStyle name="Normal 2 11 10 6" xfId="32020"/>
    <cellStyle name="Normal 2 11 11" xfId="13440"/>
    <cellStyle name="Normal 2 11 11 2" xfId="20407"/>
    <cellStyle name="Normal 2 11 11 3" xfId="27374"/>
    <cellStyle name="Normal 2 11 11 4" xfId="34343"/>
    <cellStyle name="Normal 2 11 12" xfId="10946"/>
    <cellStyle name="Normal 2 11 13" xfId="17912"/>
    <cellStyle name="Normal 2 11 14" xfId="24880"/>
    <cellStyle name="Normal 2 11 15" xfId="31848"/>
    <cellStyle name="Normal 2 11 2" xfId="1607"/>
    <cellStyle name="Normal 2 11 2 10" xfId="13441"/>
    <cellStyle name="Normal 2 11 2 10 2" xfId="20408"/>
    <cellStyle name="Normal 2 11 2 10 3" xfId="27375"/>
    <cellStyle name="Normal 2 11 2 10 4" xfId="34344"/>
    <cellStyle name="Normal 2 11 2 11" xfId="10947"/>
    <cellStyle name="Normal 2 11 2 12" xfId="17913"/>
    <cellStyle name="Normal 2 11 2 13" xfId="24881"/>
    <cellStyle name="Normal 2 11 2 14" xfId="31849"/>
    <cellStyle name="Normal 2 11 2 2" xfId="3247"/>
    <cellStyle name="Normal 2 11 2 2 2" xfId="5034"/>
    <cellStyle name="Normal 2 11 2 2 2 2" xfId="9897"/>
    <cellStyle name="Normal 2 11 2 2 2 2 2" xfId="16895"/>
    <cellStyle name="Normal 2 11 2 2 2 2 3" xfId="23862"/>
    <cellStyle name="Normal 2 11 2 2 2 2 4" xfId="30829"/>
    <cellStyle name="Normal 2 11 2 2 2 2 5" xfId="37798"/>
    <cellStyle name="Normal 2 11 2 2 2 3" xfId="14575"/>
    <cellStyle name="Normal 2 11 2 2 2 3 2" xfId="21542"/>
    <cellStyle name="Normal 2 11 2 2 2 3 3" xfId="28509"/>
    <cellStyle name="Normal 2 11 2 2 2 3 4" xfId="35478"/>
    <cellStyle name="Normal 2 11 2 2 2 4" xfId="12253"/>
    <cellStyle name="Normal 2 11 2 2 2 5" xfId="19220"/>
    <cellStyle name="Normal 2 11 2 2 2 6" xfId="26187"/>
    <cellStyle name="Normal 2 11 2 2 2 7" xfId="33155"/>
    <cellStyle name="Normal 2 11 2 2 3" xfId="8881"/>
    <cellStyle name="Normal 2 11 2 2 3 2" xfId="15933"/>
    <cellStyle name="Normal 2 11 2 2 3 3" xfId="22900"/>
    <cellStyle name="Normal 2 11 2 2 3 4" xfId="29867"/>
    <cellStyle name="Normal 2 11 2 2 3 5" xfId="36836"/>
    <cellStyle name="Normal 2 11 2 2 4" xfId="13611"/>
    <cellStyle name="Normal 2 11 2 2 4 2" xfId="20578"/>
    <cellStyle name="Normal 2 11 2 2 4 3" xfId="27545"/>
    <cellStyle name="Normal 2 11 2 2 4 4" xfId="34514"/>
    <cellStyle name="Normal 2 11 2 2 5" xfId="11289"/>
    <cellStyle name="Normal 2 11 2 2 6" xfId="18256"/>
    <cellStyle name="Normal 2 11 2 2 7" xfId="25223"/>
    <cellStyle name="Normal 2 11 2 2 8" xfId="32191"/>
    <cellStyle name="Normal 2 11 2 3" xfId="3449"/>
    <cellStyle name="Normal 2 11 2 3 2" xfId="5035"/>
    <cellStyle name="Normal 2 11 2 3 2 2" xfId="9898"/>
    <cellStyle name="Normal 2 11 2 3 2 2 2" xfId="16896"/>
    <cellStyle name="Normal 2 11 2 3 2 2 3" xfId="23863"/>
    <cellStyle name="Normal 2 11 2 3 2 2 4" xfId="30830"/>
    <cellStyle name="Normal 2 11 2 3 2 2 5" xfId="37799"/>
    <cellStyle name="Normal 2 11 2 3 2 3" xfId="14576"/>
    <cellStyle name="Normal 2 11 2 3 2 3 2" xfId="21543"/>
    <cellStyle name="Normal 2 11 2 3 2 3 3" xfId="28510"/>
    <cellStyle name="Normal 2 11 2 3 2 3 4" xfId="35479"/>
    <cellStyle name="Normal 2 11 2 3 2 4" xfId="12254"/>
    <cellStyle name="Normal 2 11 2 3 2 5" xfId="19221"/>
    <cellStyle name="Normal 2 11 2 3 2 6" xfId="26188"/>
    <cellStyle name="Normal 2 11 2 3 2 7" xfId="33156"/>
    <cellStyle name="Normal 2 11 2 3 3" xfId="9061"/>
    <cellStyle name="Normal 2 11 2 3 3 2" xfId="16100"/>
    <cellStyle name="Normal 2 11 2 3 3 3" xfId="23067"/>
    <cellStyle name="Normal 2 11 2 3 3 4" xfId="30034"/>
    <cellStyle name="Normal 2 11 2 3 3 5" xfId="37003"/>
    <cellStyle name="Normal 2 11 2 3 4" xfId="13780"/>
    <cellStyle name="Normal 2 11 2 3 4 2" xfId="20747"/>
    <cellStyle name="Normal 2 11 2 3 4 3" xfId="27714"/>
    <cellStyle name="Normal 2 11 2 3 4 4" xfId="34683"/>
    <cellStyle name="Normal 2 11 2 3 5" xfId="11458"/>
    <cellStyle name="Normal 2 11 2 3 6" xfId="18425"/>
    <cellStyle name="Normal 2 11 2 3 7" xfId="25392"/>
    <cellStyle name="Normal 2 11 2 3 8" xfId="32360"/>
    <cellStyle name="Normal 2 11 2 4" xfId="3624"/>
    <cellStyle name="Normal 2 11 2 4 2" xfId="5036"/>
    <cellStyle name="Normal 2 11 2 4 2 2" xfId="9899"/>
    <cellStyle name="Normal 2 11 2 4 2 2 2" xfId="16897"/>
    <cellStyle name="Normal 2 11 2 4 2 2 3" xfId="23864"/>
    <cellStyle name="Normal 2 11 2 4 2 2 4" xfId="30831"/>
    <cellStyle name="Normal 2 11 2 4 2 2 5" xfId="37800"/>
    <cellStyle name="Normal 2 11 2 4 2 3" xfId="14577"/>
    <cellStyle name="Normal 2 11 2 4 2 3 2" xfId="21544"/>
    <cellStyle name="Normal 2 11 2 4 2 3 3" xfId="28511"/>
    <cellStyle name="Normal 2 11 2 4 2 3 4" xfId="35480"/>
    <cellStyle name="Normal 2 11 2 4 2 4" xfId="12255"/>
    <cellStyle name="Normal 2 11 2 4 2 5" xfId="19222"/>
    <cellStyle name="Normal 2 11 2 4 2 6" xfId="26189"/>
    <cellStyle name="Normal 2 11 2 4 2 7" xfId="33157"/>
    <cellStyle name="Normal 2 11 2 4 3" xfId="9232"/>
    <cellStyle name="Normal 2 11 2 4 3 2" xfId="16271"/>
    <cellStyle name="Normal 2 11 2 4 3 3" xfId="23238"/>
    <cellStyle name="Normal 2 11 2 4 3 4" xfId="30205"/>
    <cellStyle name="Normal 2 11 2 4 3 5" xfId="37174"/>
    <cellStyle name="Normal 2 11 2 4 4" xfId="13951"/>
    <cellStyle name="Normal 2 11 2 4 4 2" xfId="20918"/>
    <cellStyle name="Normal 2 11 2 4 4 3" xfId="27885"/>
    <cellStyle name="Normal 2 11 2 4 4 4" xfId="34854"/>
    <cellStyle name="Normal 2 11 2 4 5" xfId="11629"/>
    <cellStyle name="Normal 2 11 2 4 6" xfId="18596"/>
    <cellStyle name="Normal 2 11 2 4 7" xfId="25563"/>
    <cellStyle name="Normal 2 11 2 4 8" xfId="32531"/>
    <cellStyle name="Normal 2 11 2 5" xfId="3901"/>
    <cellStyle name="Normal 2 11 2 5 2" xfId="5037"/>
    <cellStyle name="Normal 2 11 2 5 2 2" xfId="9900"/>
    <cellStyle name="Normal 2 11 2 5 2 2 2" xfId="16898"/>
    <cellStyle name="Normal 2 11 2 5 2 2 3" xfId="23865"/>
    <cellStyle name="Normal 2 11 2 5 2 2 4" xfId="30832"/>
    <cellStyle name="Normal 2 11 2 5 2 2 5" xfId="37801"/>
    <cellStyle name="Normal 2 11 2 5 2 3" xfId="14578"/>
    <cellStyle name="Normal 2 11 2 5 2 3 2" xfId="21545"/>
    <cellStyle name="Normal 2 11 2 5 2 3 3" xfId="28512"/>
    <cellStyle name="Normal 2 11 2 5 2 3 4" xfId="35481"/>
    <cellStyle name="Normal 2 11 2 5 2 4" xfId="12256"/>
    <cellStyle name="Normal 2 11 2 5 2 5" xfId="19223"/>
    <cellStyle name="Normal 2 11 2 5 2 6" xfId="26190"/>
    <cellStyle name="Normal 2 11 2 5 2 7" xfId="33158"/>
    <cellStyle name="Normal 2 11 2 5 3" xfId="9507"/>
    <cellStyle name="Normal 2 11 2 5 3 2" xfId="16543"/>
    <cellStyle name="Normal 2 11 2 5 3 3" xfId="23510"/>
    <cellStyle name="Normal 2 11 2 5 3 4" xfId="30477"/>
    <cellStyle name="Normal 2 11 2 5 3 5" xfId="37446"/>
    <cellStyle name="Normal 2 11 2 5 4" xfId="14223"/>
    <cellStyle name="Normal 2 11 2 5 4 2" xfId="21190"/>
    <cellStyle name="Normal 2 11 2 5 4 3" xfId="28157"/>
    <cellStyle name="Normal 2 11 2 5 4 4" xfId="35126"/>
    <cellStyle name="Normal 2 11 2 5 5" xfId="11901"/>
    <cellStyle name="Normal 2 11 2 5 6" xfId="18868"/>
    <cellStyle name="Normal 2 11 2 5 7" xfId="25835"/>
    <cellStyle name="Normal 2 11 2 5 8" xfId="32803"/>
    <cellStyle name="Normal 2 11 2 6" xfId="5033"/>
    <cellStyle name="Normal 2 11 2 6 2" xfId="9896"/>
    <cellStyle name="Normal 2 11 2 6 2 2" xfId="16894"/>
    <cellStyle name="Normal 2 11 2 6 2 3" xfId="23861"/>
    <cellStyle name="Normal 2 11 2 6 2 4" xfId="30828"/>
    <cellStyle name="Normal 2 11 2 6 2 5" xfId="37797"/>
    <cellStyle name="Normal 2 11 2 6 3" xfId="14574"/>
    <cellStyle name="Normal 2 11 2 6 3 2" xfId="21541"/>
    <cellStyle name="Normal 2 11 2 6 3 3" xfId="28508"/>
    <cellStyle name="Normal 2 11 2 6 3 4" xfId="35477"/>
    <cellStyle name="Normal 2 11 2 6 4" xfId="12252"/>
    <cellStyle name="Normal 2 11 2 6 5" xfId="19219"/>
    <cellStyle name="Normal 2 11 2 6 6" xfId="26186"/>
    <cellStyle name="Normal 2 11 2 6 7" xfId="33154"/>
    <cellStyle name="Normal 2 11 2 7" xfId="6793"/>
    <cellStyle name="Normal 2 11 2 7 2" xfId="10764"/>
    <cellStyle name="Normal 2 11 2 7 2 2" xfId="17738"/>
    <cellStyle name="Normal 2 11 2 7 2 3" xfId="24705"/>
    <cellStyle name="Normal 2 11 2 7 2 4" xfId="31672"/>
    <cellStyle name="Normal 2 11 2 7 2 5" xfId="38641"/>
    <cellStyle name="Normal 2 11 2 7 3" xfId="15418"/>
    <cellStyle name="Normal 2 11 2 7 3 2" xfId="22385"/>
    <cellStyle name="Normal 2 11 2 7 3 3" xfId="29352"/>
    <cellStyle name="Normal 2 11 2 7 3 4" xfId="36321"/>
    <cellStyle name="Normal 2 11 2 7 4" xfId="13096"/>
    <cellStyle name="Normal 2 11 2 7 5" xfId="20063"/>
    <cellStyle name="Normal 2 11 2 7 6" xfId="27030"/>
    <cellStyle name="Normal 2 11 2 7 7" xfId="33999"/>
    <cellStyle name="Normal 2 11 2 8" xfId="7107"/>
    <cellStyle name="Normal 2 11 2 8 2" xfId="15591"/>
    <cellStyle name="Normal 2 11 2 8 2 2" xfId="22558"/>
    <cellStyle name="Normal 2 11 2 8 2 3" xfId="29525"/>
    <cellStyle name="Normal 2 11 2 8 2 4" xfId="36494"/>
    <cellStyle name="Normal 2 11 2 8 3" xfId="13269"/>
    <cellStyle name="Normal 2 11 2 8 4" xfId="20236"/>
    <cellStyle name="Normal 2 11 2 8 5" xfId="27203"/>
    <cellStyle name="Normal 2 11 2 8 6" xfId="34172"/>
    <cellStyle name="Normal 2 11 2 9" xfId="7974"/>
    <cellStyle name="Normal 2 11 2 9 2" xfId="15763"/>
    <cellStyle name="Normal 2 11 2 9 2 2" xfId="22730"/>
    <cellStyle name="Normal 2 11 2 9 2 3" xfId="29697"/>
    <cellStyle name="Normal 2 11 2 9 2 4" xfId="36666"/>
    <cellStyle name="Normal 2 11 2 9 3" xfId="11119"/>
    <cellStyle name="Normal 2 11 2 9 4" xfId="18086"/>
    <cellStyle name="Normal 2 11 2 9 5" xfId="25053"/>
    <cellStyle name="Normal 2 11 2 9 6" xfId="32021"/>
    <cellStyle name="Normal 2 11 3" xfId="3246"/>
    <cellStyle name="Normal 2 11 3 2" xfId="5038"/>
    <cellStyle name="Normal 2 11 3 2 2" xfId="9901"/>
    <cellStyle name="Normal 2 11 3 2 2 2" xfId="16899"/>
    <cellStyle name="Normal 2 11 3 2 2 3" xfId="23866"/>
    <cellStyle name="Normal 2 11 3 2 2 4" xfId="30833"/>
    <cellStyle name="Normal 2 11 3 2 2 5" xfId="37802"/>
    <cellStyle name="Normal 2 11 3 2 3" xfId="14579"/>
    <cellStyle name="Normal 2 11 3 2 3 2" xfId="21546"/>
    <cellStyle name="Normal 2 11 3 2 3 3" xfId="28513"/>
    <cellStyle name="Normal 2 11 3 2 3 4" xfId="35482"/>
    <cellStyle name="Normal 2 11 3 2 4" xfId="12257"/>
    <cellStyle name="Normal 2 11 3 2 5" xfId="19224"/>
    <cellStyle name="Normal 2 11 3 2 6" xfId="26191"/>
    <cellStyle name="Normal 2 11 3 2 7" xfId="33159"/>
    <cellStyle name="Normal 2 11 3 3" xfId="6794"/>
    <cellStyle name="Normal 2 11 3 4" xfId="8880"/>
    <cellStyle name="Normal 2 11 3 4 2" xfId="15932"/>
    <cellStyle name="Normal 2 11 3 4 2 2" xfId="22899"/>
    <cellStyle name="Normal 2 11 3 4 2 3" xfId="29866"/>
    <cellStyle name="Normal 2 11 3 4 2 4" xfId="36835"/>
    <cellStyle name="Normal 2 11 3 4 3" xfId="11288"/>
    <cellStyle name="Normal 2 11 3 4 4" xfId="18255"/>
    <cellStyle name="Normal 2 11 3 4 5" xfId="25222"/>
    <cellStyle name="Normal 2 11 3 4 6" xfId="32190"/>
    <cellStyle name="Normal 2 11 3 5" xfId="13610"/>
    <cellStyle name="Normal 2 11 3 5 2" xfId="20577"/>
    <cellStyle name="Normal 2 11 3 5 3" xfId="27544"/>
    <cellStyle name="Normal 2 11 3 5 4" xfId="34513"/>
    <cellStyle name="Normal 2 11 4" xfId="3448"/>
    <cellStyle name="Normal 2 11 4 2" xfId="5039"/>
    <cellStyle name="Normal 2 11 4 2 2" xfId="9902"/>
    <cellStyle name="Normal 2 11 4 2 2 2" xfId="16900"/>
    <cellStyle name="Normal 2 11 4 2 2 3" xfId="23867"/>
    <cellStyle name="Normal 2 11 4 2 2 4" xfId="30834"/>
    <cellStyle name="Normal 2 11 4 2 2 5" xfId="37803"/>
    <cellStyle name="Normal 2 11 4 2 3" xfId="14580"/>
    <cellStyle name="Normal 2 11 4 2 3 2" xfId="21547"/>
    <cellStyle name="Normal 2 11 4 2 3 3" xfId="28514"/>
    <cellStyle name="Normal 2 11 4 2 3 4" xfId="35483"/>
    <cellStyle name="Normal 2 11 4 2 4" xfId="12258"/>
    <cellStyle name="Normal 2 11 4 2 5" xfId="19225"/>
    <cellStyle name="Normal 2 11 4 2 6" xfId="26192"/>
    <cellStyle name="Normal 2 11 4 2 7" xfId="33160"/>
    <cellStyle name="Normal 2 11 4 3" xfId="9060"/>
    <cellStyle name="Normal 2 11 4 3 2" xfId="16099"/>
    <cellStyle name="Normal 2 11 4 3 3" xfId="23066"/>
    <cellStyle name="Normal 2 11 4 3 4" xfId="30033"/>
    <cellStyle name="Normal 2 11 4 3 5" xfId="37002"/>
    <cellStyle name="Normal 2 11 4 4" xfId="13779"/>
    <cellStyle name="Normal 2 11 4 4 2" xfId="20746"/>
    <cellStyle name="Normal 2 11 4 4 3" xfId="27713"/>
    <cellStyle name="Normal 2 11 4 4 4" xfId="34682"/>
    <cellStyle name="Normal 2 11 4 5" xfId="11457"/>
    <cellStyle name="Normal 2 11 4 6" xfId="18424"/>
    <cellStyle name="Normal 2 11 4 7" xfId="25391"/>
    <cellStyle name="Normal 2 11 4 8" xfId="32359"/>
    <cellStyle name="Normal 2 11 5" xfId="3623"/>
    <cellStyle name="Normal 2 11 5 2" xfId="5040"/>
    <cellStyle name="Normal 2 11 5 2 2" xfId="9903"/>
    <cellStyle name="Normal 2 11 5 2 2 2" xfId="16901"/>
    <cellStyle name="Normal 2 11 5 2 2 3" xfId="23868"/>
    <cellStyle name="Normal 2 11 5 2 2 4" xfId="30835"/>
    <cellStyle name="Normal 2 11 5 2 2 5" xfId="37804"/>
    <cellStyle name="Normal 2 11 5 2 3" xfId="14581"/>
    <cellStyle name="Normal 2 11 5 2 3 2" xfId="21548"/>
    <cellStyle name="Normal 2 11 5 2 3 3" xfId="28515"/>
    <cellStyle name="Normal 2 11 5 2 3 4" xfId="35484"/>
    <cellStyle name="Normal 2 11 5 2 4" xfId="12259"/>
    <cellStyle name="Normal 2 11 5 2 5" xfId="19226"/>
    <cellStyle name="Normal 2 11 5 2 6" xfId="26193"/>
    <cellStyle name="Normal 2 11 5 2 7" xfId="33161"/>
    <cellStyle name="Normal 2 11 5 3" xfId="9231"/>
    <cellStyle name="Normal 2 11 5 3 2" xfId="16270"/>
    <cellStyle name="Normal 2 11 5 3 3" xfId="23237"/>
    <cellStyle name="Normal 2 11 5 3 4" xfId="30204"/>
    <cellStyle name="Normal 2 11 5 3 5" xfId="37173"/>
    <cellStyle name="Normal 2 11 5 4" xfId="13950"/>
    <cellStyle name="Normal 2 11 5 4 2" xfId="20917"/>
    <cellStyle name="Normal 2 11 5 4 3" xfId="27884"/>
    <cellStyle name="Normal 2 11 5 4 4" xfId="34853"/>
    <cellStyle name="Normal 2 11 5 5" xfId="11628"/>
    <cellStyle name="Normal 2 11 5 6" xfId="18595"/>
    <cellStyle name="Normal 2 11 5 7" xfId="25562"/>
    <cellStyle name="Normal 2 11 5 8" xfId="32530"/>
    <cellStyle name="Normal 2 11 6" xfId="3900"/>
    <cellStyle name="Normal 2 11 6 2" xfId="5041"/>
    <cellStyle name="Normal 2 11 6 2 2" xfId="9904"/>
    <cellStyle name="Normal 2 11 6 2 2 2" xfId="16902"/>
    <cellStyle name="Normal 2 11 6 2 2 3" xfId="23869"/>
    <cellStyle name="Normal 2 11 6 2 2 4" xfId="30836"/>
    <cellStyle name="Normal 2 11 6 2 2 5" xfId="37805"/>
    <cellStyle name="Normal 2 11 6 2 3" xfId="14582"/>
    <cellStyle name="Normal 2 11 6 2 3 2" xfId="21549"/>
    <cellStyle name="Normal 2 11 6 2 3 3" xfId="28516"/>
    <cellStyle name="Normal 2 11 6 2 3 4" xfId="35485"/>
    <cellStyle name="Normal 2 11 6 2 4" xfId="12260"/>
    <cellStyle name="Normal 2 11 6 2 5" xfId="19227"/>
    <cellStyle name="Normal 2 11 6 2 6" xfId="26194"/>
    <cellStyle name="Normal 2 11 6 2 7" xfId="33162"/>
    <cellStyle name="Normal 2 11 6 3" xfId="9506"/>
    <cellStyle name="Normal 2 11 6 3 2" xfId="16542"/>
    <cellStyle name="Normal 2 11 6 3 3" xfId="23509"/>
    <cellStyle name="Normal 2 11 6 3 4" xfId="30476"/>
    <cellStyle name="Normal 2 11 6 3 5" xfId="37445"/>
    <cellStyle name="Normal 2 11 6 4" xfId="14222"/>
    <cellStyle name="Normal 2 11 6 4 2" xfId="21189"/>
    <cellStyle name="Normal 2 11 6 4 3" xfId="28156"/>
    <cellStyle name="Normal 2 11 6 4 4" xfId="35125"/>
    <cellStyle name="Normal 2 11 6 5" xfId="11900"/>
    <cellStyle name="Normal 2 11 6 6" xfId="18867"/>
    <cellStyle name="Normal 2 11 6 7" xfId="25834"/>
    <cellStyle name="Normal 2 11 6 8" xfId="32802"/>
    <cellStyle name="Normal 2 11 7" xfId="5032"/>
    <cellStyle name="Normal 2 11 7 2" xfId="9895"/>
    <cellStyle name="Normal 2 11 7 2 2" xfId="16893"/>
    <cellStyle name="Normal 2 11 7 2 3" xfId="23860"/>
    <cellStyle name="Normal 2 11 7 2 4" xfId="30827"/>
    <cellStyle name="Normal 2 11 7 2 5" xfId="37796"/>
    <cellStyle name="Normal 2 11 7 3" xfId="14573"/>
    <cellStyle name="Normal 2 11 7 3 2" xfId="21540"/>
    <cellStyle name="Normal 2 11 7 3 3" xfId="28507"/>
    <cellStyle name="Normal 2 11 7 3 4" xfId="35476"/>
    <cellStyle name="Normal 2 11 7 4" xfId="12251"/>
    <cellStyle name="Normal 2 11 7 5" xfId="19218"/>
    <cellStyle name="Normal 2 11 7 6" xfId="26185"/>
    <cellStyle name="Normal 2 11 7 7" xfId="33153"/>
    <cellStyle name="Normal 2 11 8" xfId="6792"/>
    <cellStyle name="Normal 2 11 8 2" xfId="10763"/>
    <cellStyle name="Normal 2 11 8 2 2" xfId="17737"/>
    <cellStyle name="Normal 2 11 8 2 3" xfId="24704"/>
    <cellStyle name="Normal 2 11 8 2 4" xfId="31671"/>
    <cellStyle name="Normal 2 11 8 2 5" xfId="38640"/>
    <cellStyle name="Normal 2 11 8 3" xfId="15417"/>
    <cellStyle name="Normal 2 11 8 3 2" xfId="22384"/>
    <cellStyle name="Normal 2 11 8 3 3" xfId="29351"/>
    <cellStyle name="Normal 2 11 8 3 4" xfId="36320"/>
    <cellStyle name="Normal 2 11 8 4" xfId="13095"/>
    <cellStyle name="Normal 2 11 8 5" xfId="20062"/>
    <cellStyle name="Normal 2 11 8 6" xfId="27029"/>
    <cellStyle name="Normal 2 11 8 7" xfId="33998"/>
    <cellStyle name="Normal 2 11 9" xfId="7106"/>
    <cellStyle name="Normal 2 11 9 2" xfId="15590"/>
    <cellStyle name="Normal 2 11 9 2 2" xfId="22557"/>
    <cellStyle name="Normal 2 11 9 2 3" xfId="29524"/>
    <cellStyle name="Normal 2 11 9 2 4" xfId="36493"/>
    <cellStyle name="Normal 2 11 9 3" xfId="13268"/>
    <cellStyle name="Normal 2 11 9 4" xfId="20235"/>
    <cellStyle name="Normal 2 11 9 5" xfId="27202"/>
    <cellStyle name="Normal 2 11 9 6" xfId="34171"/>
    <cellStyle name="Normal 2 12" xfId="1608"/>
    <cellStyle name="Normal 2 12 2" xfId="1609"/>
    <cellStyle name="Normal 2 12 3" xfId="1610"/>
    <cellStyle name="Normal 2 12 3 10" xfId="13442"/>
    <cellStyle name="Normal 2 12 3 10 2" xfId="20409"/>
    <cellStyle name="Normal 2 12 3 10 3" xfId="27376"/>
    <cellStyle name="Normal 2 12 3 10 4" xfId="34345"/>
    <cellStyle name="Normal 2 12 3 11" xfId="10948"/>
    <cellStyle name="Normal 2 12 3 12" xfId="17914"/>
    <cellStyle name="Normal 2 12 3 13" xfId="24882"/>
    <cellStyle name="Normal 2 12 3 14" xfId="31850"/>
    <cellStyle name="Normal 2 12 3 2" xfId="3248"/>
    <cellStyle name="Normal 2 12 3 2 2" xfId="5043"/>
    <cellStyle name="Normal 2 12 3 2 2 2" xfId="9906"/>
    <cellStyle name="Normal 2 12 3 2 2 2 2" xfId="16904"/>
    <cellStyle name="Normal 2 12 3 2 2 2 3" xfId="23871"/>
    <cellStyle name="Normal 2 12 3 2 2 2 4" xfId="30838"/>
    <cellStyle name="Normal 2 12 3 2 2 2 5" xfId="37807"/>
    <cellStyle name="Normal 2 12 3 2 2 3" xfId="14584"/>
    <cellStyle name="Normal 2 12 3 2 2 3 2" xfId="21551"/>
    <cellStyle name="Normal 2 12 3 2 2 3 3" xfId="28518"/>
    <cellStyle name="Normal 2 12 3 2 2 3 4" xfId="35487"/>
    <cellStyle name="Normal 2 12 3 2 2 4" xfId="12262"/>
    <cellStyle name="Normal 2 12 3 2 2 5" xfId="19229"/>
    <cellStyle name="Normal 2 12 3 2 2 6" xfId="26196"/>
    <cellStyle name="Normal 2 12 3 2 2 7" xfId="33164"/>
    <cellStyle name="Normal 2 12 3 2 3" xfId="8882"/>
    <cellStyle name="Normal 2 12 3 2 3 2" xfId="15934"/>
    <cellStyle name="Normal 2 12 3 2 3 3" xfId="22901"/>
    <cellStyle name="Normal 2 12 3 2 3 4" xfId="29868"/>
    <cellStyle name="Normal 2 12 3 2 3 5" xfId="36837"/>
    <cellStyle name="Normal 2 12 3 2 4" xfId="13612"/>
    <cellStyle name="Normal 2 12 3 2 4 2" xfId="20579"/>
    <cellStyle name="Normal 2 12 3 2 4 3" xfId="27546"/>
    <cellStyle name="Normal 2 12 3 2 4 4" xfId="34515"/>
    <cellStyle name="Normal 2 12 3 2 5" xfId="11290"/>
    <cellStyle name="Normal 2 12 3 2 6" xfId="18257"/>
    <cellStyle name="Normal 2 12 3 2 7" xfId="25224"/>
    <cellStyle name="Normal 2 12 3 2 8" xfId="32192"/>
    <cellStyle name="Normal 2 12 3 3" xfId="3450"/>
    <cellStyle name="Normal 2 12 3 3 2" xfId="5044"/>
    <cellStyle name="Normal 2 12 3 3 2 2" xfId="9907"/>
    <cellStyle name="Normal 2 12 3 3 2 2 2" xfId="16905"/>
    <cellStyle name="Normal 2 12 3 3 2 2 3" xfId="23872"/>
    <cellStyle name="Normal 2 12 3 3 2 2 4" xfId="30839"/>
    <cellStyle name="Normal 2 12 3 3 2 2 5" xfId="37808"/>
    <cellStyle name="Normal 2 12 3 3 2 3" xfId="14585"/>
    <cellStyle name="Normal 2 12 3 3 2 3 2" xfId="21552"/>
    <cellStyle name="Normal 2 12 3 3 2 3 3" xfId="28519"/>
    <cellStyle name="Normal 2 12 3 3 2 3 4" xfId="35488"/>
    <cellStyle name="Normal 2 12 3 3 2 4" xfId="12263"/>
    <cellStyle name="Normal 2 12 3 3 2 5" xfId="19230"/>
    <cellStyle name="Normal 2 12 3 3 2 6" xfId="26197"/>
    <cellStyle name="Normal 2 12 3 3 2 7" xfId="33165"/>
    <cellStyle name="Normal 2 12 3 3 3" xfId="9062"/>
    <cellStyle name="Normal 2 12 3 3 3 2" xfId="16101"/>
    <cellStyle name="Normal 2 12 3 3 3 3" xfId="23068"/>
    <cellStyle name="Normal 2 12 3 3 3 4" xfId="30035"/>
    <cellStyle name="Normal 2 12 3 3 3 5" xfId="37004"/>
    <cellStyle name="Normal 2 12 3 3 4" xfId="13781"/>
    <cellStyle name="Normal 2 12 3 3 4 2" xfId="20748"/>
    <cellStyle name="Normal 2 12 3 3 4 3" xfId="27715"/>
    <cellStyle name="Normal 2 12 3 3 4 4" xfId="34684"/>
    <cellStyle name="Normal 2 12 3 3 5" xfId="11459"/>
    <cellStyle name="Normal 2 12 3 3 6" xfId="18426"/>
    <cellStyle name="Normal 2 12 3 3 7" xfId="25393"/>
    <cellStyle name="Normal 2 12 3 3 8" xfId="32361"/>
    <cellStyle name="Normal 2 12 3 4" xfId="3625"/>
    <cellStyle name="Normal 2 12 3 4 2" xfId="5045"/>
    <cellStyle name="Normal 2 12 3 4 2 2" xfId="9908"/>
    <cellStyle name="Normal 2 12 3 4 2 2 2" xfId="16906"/>
    <cellStyle name="Normal 2 12 3 4 2 2 3" xfId="23873"/>
    <cellStyle name="Normal 2 12 3 4 2 2 4" xfId="30840"/>
    <cellStyle name="Normal 2 12 3 4 2 2 5" xfId="37809"/>
    <cellStyle name="Normal 2 12 3 4 2 3" xfId="14586"/>
    <cellStyle name="Normal 2 12 3 4 2 3 2" xfId="21553"/>
    <cellStyle name="Normal 2 12 3 4 2 3 3" xfId="28520"/>
    <cellStyle name="Normal 2 12 3 4 2 3 4" xfId="35489"/>
    <cellStyle name="Normal 2 12 3 4 2 4" xfId="12264"/>
    <cellStyle name="Normal 2 12 3 4 2 5" xfId="19231"/>
    <cellStyle name="Normal 2 12 3 4 2 6" xfId="26198"/>
    <cellStyle name="Normal 2 12 3 4 2 7" xfId="33166"/>
    <cellStyle name="Normal 2 12 3 4 3" xfId="9233"/>
    <cellStyle name="Normal 2 12 3 4 3 2" xfId="16272"/>
    <cellStyle name="Normal 2 12 3 4 3 3" xfId="23239"/>
    <cellStyle name="Normal 2 12 3 4 3 4" xfId="30206"/>
    <cellStyle name="Normal 2 12 3 4 3 5" xfId="37175"/>
    <cellStyle name="Normal 2 12 3 4 4" xfId="13952"/>
    <cellStyle name="Normal 2 12 3 4 4 2" xfId="20919"/>
    <cellStyle name="Normal 2 12 3 4 4 3" xfId="27886"/>
    <cellStyle name="Normal 2 12 3 4 4 4" xfId="34855"/>
    <cellStyle name="Normal 2 12 3 4 5" xfId="11630"/>
    <cellStyle name="Normal 2 12 3 4 6" xfId="18597"/>
    <cellStyle name="Normal 2 12 3 4 7" xfId="25564"/>
    <cellStyle name="Normal 2 12 3 4 8" xfId="32532"/>
    <cellStyle name="Normal 2 12 3 5" xfId="3902"/>
    <cellStyle name="Normal 2 12 3 5 2" xfId="5046"/>
    <cellStyle name="Normal 2 12 3 5 2 2" xfId="9909"/>
    <cellStyle name="Normal 2 12 3 5 2 2 2" xfId="16907"/>
    <cellStyle name="Normal 2 12 3 5 2 2 3" xfId="23874"/>
    <cellStyle name="Normal 2 12 3 5 2 2 4" xfId="30841"/>
    <cellStyle name="Normal 2 12 3 5 2 2 5" xfId="37810"/>
    <cellStyle name="Normal 2 12 3 5 2 3" xfId="14587"/>
    <cellStyle name="Normal 2 12 3 5 2 3 2" xfId="21554"/>
    <cellStyle name="Normal 2 12 3 5 2 3 3" xfId="28521"/>
    <cellStyle name="Normal 2 12 3 5 2 3 4" xfId="35490"/>
    <cellStyle name="Normal 2 12 3 5 2 4" xfId="12265"/>
    <cellStyle name="Normal 2 12 3 5 2 5" xfId="19232"/>
    <cellStyle name="Normal 2 12 3 5 2 6" xfId="26199"/>
    <cellStyle name="Normal 2 12 3 5 2 7" xfId="33167"/>
    <cellStyle name="Normal 2 12 3 5 3" xfId="9508"/>
    <cellStyle name="Normal 2 12 3 5 3 2" xfId="16544"/>
    <cellStyle name="Normal 2 12 3 5 3 3" xfId="23511"/>
    <cellStyle name="Normal 2 12 3 5 3 4" xfId="30478"/>
    <cellStyle name="Normal 2 12 3 5 3 5" xfId="37447"/>
    <cellStyle name="Normal 2 12 3 5 4" xfId="14224"/>
    <cellStyle name="Normal 2 12 3 5 4 2" xfId="21191"/>
    <cellStyle name="Normal 2 12 3 5 4 3" xfId="28158"/>
    <cellStyle name="Normal 2 12 3 5 4 4" xfId="35127"/>
    <cellStyle name="Normal 2 12 3 5 5" xfId="11902"/>
    <cellStyle name="Normal 2 12 3 5 6" xfId="18869"/>
    <cellStyle name="Normal 2 12 3 5 7" xfId="25836"/>
    <cellStyle name="Normal 2 12 3 5 8" xfId="32804"/>
    <cellStyle name="Normal 2 12 3 6" xfId="5042"/>
    <cellStyle name="Normal 2 12 3 6 2" xfId="9905"/>
    <cellStyle name="Normal 2 12 3 6 2 2" xfId="16903"/>
    <cellStyle name="Normal 2 12 3 6 2 3" xfId="23870"/>
    <cellStyle name="Normal 2 12 3 6 2 4" xfId="30837"/>
    <cellStyle name="Normal 2 12 3 6 2 5" xfId="37806"/>
    <cellStyle name="Normal 2 12 3 6 3" xfId="14583"/>
    <cellStyle name="Normal 2 12 3 6 3 2" xfId="21550"/>
    <cellStyle name="Normal 2 12 3 6 3 3" xfId="28517"/>
    <cellStyle name="Normal 2 12 3 6 3 4" xfId="35486"/>
    <cellStyle name="Normal 2 12 3 6 4" xfId="12261"/>
    <cellStyle name="Normal 2 12 3 6 5" xfId="19228"/>
    <cellStyle name="Normal 2 12 3 6 6" xfId="26195"/>
    <cellStyle name="Normal 2 12 3 6 7" xfId="33163"/>
    <cellStyle name="Normal 2 12 3 7" xfId="6795"/>
    <cellStyle name="Normal 2 12 3 7 2" xfId="10765"/>
    <cellStyle name="Normal 2 12 3 7 2 2" xfId="17739"/>
    <cellStyle name="Normal 2 12 3 7 2 3" xfId="24706"/>
    <cellStyle name="Normal 2 12 3 7 2 4" xfId="31673"/>
    <cellStyle name="Normal 2 12 3 7 2 5" xfId="38642"/>
    <cellStyle name="Normal 2 12 3 7 3" xfId="15419"/>
    <cellStyle name="Normal 2 12 3 7 3 2" xfId="22386"/>
    <cellStyle name="Normal 2 12 3 7 3 3" xfId="29353"/>
    <cellStyle name="Normal 2 12 3 7 3 4" xfId="36322"/>
    <cellStyle name="Normal 2 12 3 7 4" xfId="13097"/>
    <cellStyle name="Normal 2 12 3 7 5" xfId="20064"/>
    <cellStyle name="Normal 2 12 3 7 6" xfId="27031"/>
    <cellStyle name="Normal 2 12 3 7 7" xfId="34000"/>
    <cellStyle name="Normal 2 12 3 8" xfId="7108"/>
    <cellStyle name="Normal 2 12 3 8 2" xfId="15592"/>
    <cellStyle name="Normal 2 12 3 8 2 2" xfId="22559"/>
    <cellStyle name="Normal 2 12 3 8 2 3" xfId="29526"/>
    <cellStyle name="Normal 2 12 3 8 2 4" xfId="36495"/>
    <cellStyle name="Normal 2 12 3 8 3" xfId="13270"/>
    <cellStyle name="Normal 2 12 3 8 4" xfId="20237"/>
    <cellStyle name="Normal 2 12 3 8 5" xfId="27204"/>
    <cellStyle name="Normal 2 12 3 8 6" xfId="34173"/>
    <cellStyle name="Normal 2 12 3 9" xfId="7975"/>
    <cellStyle name="Normal 2 12 3 9 2" xfId="15764"/>
    <cellStyle name="Normal 2 12 3 9 2 2" xfId="22731"/>
    <cellStyle name="Normal 2 12 3 9 2 3" xfId="29698"/>
    <cellStyle name="Normal 2 12 3 9 2 4" xfId="36667"/>
    <cellStyle name="Normal 2 12 3 9 3" xfId="11120"/>
    <cellStyle name="Normal 2 12 3 9 4" xfId="18087"/>
    <cellStyle name="Normal 2 12 3 9 5" xfId="25054"/>
    <cellStyle name="Normal 2 12 3 9 6" xfId="32022"/>
    <cellStyle name="Normal 2 12 4" xfId="1611"/>
    <cellStyle name="Normal 2 13" xfId="4088"/>
    <cellStyle name="Normal 2 14" xfId="6789"/>
    <cellStyle name="Normal 2 14 2" xfId="10760"/>
    <cellStyle name="Normal 2 14 2 2" xfId="17734"/>
    <cellStyle name="Normal 2 14 2 3" xfId="24701"/>
    <cellStyle name="Normal 2 14 2 4" xfId="31668"/>
    <cellStyle name="Normal 2 14 2 5" xfId="38637"/>
    <cellStyle name="Normal 2 14 3" xfId="15414"/>
    <cellStyle name="Normal 2 14 3 2" xfId="22381"/>
    <cellStyle name="Normal 2 14 3 3" xfId="29348"/>
    <cellStyle name="Normal 2 14 3 4" xfId="36317"/>
    <cellStyle name="Normal 2 14 4" xfId="13092"/>
    <cellStyle name="Normal 2 14 5" xfId="20059"/>
    <cellStyle name="Normal 2 14 6" xfId="27026"/>
    <cellStyle name="Normal 2 14 7" xfId="33995"/>
    <cellStyle name="Normal 2 15" xfId="7103"/>
    <cellStyle name="Normal 2 15 2" xfId="15587"/>
    <cellStyle name="Normal 2 15 2 2" xfId="22554"/>
    <cellStyle name="Normal 2 15 2 3" xfId="29521"/>
    <cellStyle name="Normal 2 15 2 4" xfId="36490"/>
    <cellStyle name="Normal 2 15 3" xfId="13265"/>
    <cellStyle name="Normal 2 15 4" xfId="20232"/>
    <cellStyle name="Normal 2 15 5" xfId="27199"/>
    <cellStyle name="Normal 2 15 6" xfId="34168"/>
    <cellStyle name="Normal 2 16" xfId="7970"/>
    <cellStyle name="Normal 2 16 2" xfId="15759"/>
    <cellStyle name="Normal 2 16 2 2" xfId="22726"/>
    <cellStyle name="Normal 2 16 2 3" xfId="29693"/>
    <cellStyle name="Normal 2 16 2 4" xfId="36662"/>
    <cellStyle name="Normal 2 16 3" xfId="11115"/>
    <cellStyle name="Normal 2 16 4" xfId="18082"/>
    <cellStyle name="Normal 2 16 5" xfId="25049"/>
    <cellStyle name="Normal 2 16 6" xfId="32017"/>
    <cellStyle name="Normal 2 17" xfId="13437"/>
    <cellStyle name="Normal 2 17 2" xfId="20404"/>
    <cellStyle name="Normal 2 17 3" xfId="27371"/>
    <cellStyle name="Normal 2 17 4" xfId="34340"/>
    <cellStyle name="Normal 2 18" xfId="10943"/>
    <cellStyle name="Normal 2 19" xfId="17909"/>
    <cellStyle name="Normal 2 2" xfId="1612"/>
    <cellStyle name="Normal 2 2 10" xfId="3851"/>
    <cellStyle name="Normal 2 2 10 2" xfId="5048"/>
    <cellStyle name="Normal 2 2 10 2 2" xfId="9910"/>
    <cellStyle name="Normal 2 2 10 2 2 2" xfId="16908"/>
    <cellStyle name="Normal 2 2 10 2 2 3" xfId="23875"/>
    <cellStyle name="Normal 2 2 10 2 2 4" xfId="30842"/>
    <cellStyle name="Normal 2 2 10 2 2 5" xfId="37811"/>
    <cellStyle name="Normal 2 2 10 2 3" xfId="14588"/>
    <cellStyle name="Normal 2 2 10 2 3 2" xfId="21555"/>
    <cellStyle name="Normal 2 2 10 2 3 3" xfId="28522"/>
    <cellStyle name="Normal 2 2 10 2 3 4" xfId="35491"/>
    <cellStyle name="Normal 2 2 10 2 4" xfId="12266"/>
    <cellStyle name="Normal 2 2 10 2 5" xfId="19233"/>
    <cellStyle name="Normal 2 2 10 2 6" xfId="26200"/>
    <cellStyle name="Normal 2 2 10 2 7" xfId="33168"/>
    <cellStyle name="Normal 2 2 10 3" xfId="9457"/>
    <cellStyle name="Normal 2 2 10 3 2" xfId="16495"/>
    <cellStyle name="Normal 2 2 10 3 3" xfId="23462"/>
    <cellStyle name="Normal 2 2 10 3 4" xfId="30429"/>
    <cellStyle name="Normal 2 2 10 3 5" xfId="37398"/>
    <cellStyle name="Normal 2 2 10 4" xfId="14175"/>
    <cellStyle name="Normal 2 2 10 4 2" xfId="21142"/>
    <cellStyle name="Normal 2 2 10 4 3" xfId="28109"/>
    <cellStyle name="Normal 2 2 10 4 4" xfId="35078"/>
    <cellStyle name="Normal 2 2 10 5" xfId="11853"/>
    <cellStyle name="Normal 2 2 10 6" xfId="18820"/>
    <cellStyle name="Normal 2 2 10 7" xfId="25787"/>
    <cellStyle name="Normal 2 2 10 8" xfId="32755"/>
    <cellStyle name="Normal 2 2 11" xfId="4089"/>
    <cellStyle name="Normal 2 2 12" xfId="5047"/>
    <cellStyle name="Normal 2 2 13" xfId="6796"/>
    <cellStyle name="Normal 2 2 13 2" xfId="10766"/>
    <cellStyle name="Normal 2 2 13 2 2" xfId="17740"/>
    <cellStyle name="Normal 2 2 13 2 3" xfId="24707"/>
    <cellStyle name="Normal 2 2 13 2 4" xfId="31674"/>
    <cellStyle name="Normal 2 2 13 2 5" xfId="38643"/>
    <cellStyle name="Normal 2 2 13 3" xfId="15420"/>
    <cellStyle name="Normal 2 2 13 3 2" xfId="22387"/>
    <cellStyle name="Normal 2 2 13 3 3" xfId="29354"/>
    <cellStyle name="Normal 2 2 13 3 4" xfId="36323"/>
    <cellStyle name="Normal 2 2 13 4" xfId="13098"/>
    <cellStyle name="Normal 2 2 13 5" xfId="20065"/>
    <cellStyle name="Normal 2 2 13 6" xfId="27032"/>
    <cellStyle name="Normal 2 2 13 7" xfId="34001"/>
    <cellStyle name="Normal 2 2 14" xfId="7109"/>
    <cellStyle name="Normal 2 2 14 2" xfId="15593"/>
    <cellStyle name="Normal 2 2 14 2 2" xfId="22560"/>
    <cellStyle name="Normal 2 2 14 2 3" xfId="29527"/>
    <cellStyle name="Normal 2 2 14 2 4" xfId="36496"/>
    <cellStyle name="Normal 2 2 14 3" xfId="13271"/>
    <cellStyle name="Normal 2 2 14 4" xfId="20238"/>
    <cellStyle name="Normal 2 2 14 5" xfId="27205"/>
    <cellStyle name="Normal 2 2 14 6" xfId="34174"/>
    <cellStyle name="Normal 2 2 15" xfId="7976"/>
    <cellStyle name="Normal 2 2 15 2" xfId="15765"/>
    <cellStyle name="Normal 2 2 15 2 2" xfId="22732"/>
    <cellStyle name="Normal 2 2 15 2 3" xfId="29699"/>
    <cellStyle name="Normal 2 2 15 2 4" xfId="36668"/>
    <cellStyle name="Normal 2 2 15 3" xfId="11121"/>
    <cellStyle name="Normal 2 2 15 4" xfId="18088"/>
    <cellStyle name="Normal 2 2 15 5" xfId="25055"/>
    <cellStyle name="Normal 2 2 15 6" xfId="32023"/>
    <cellStyle name="Normal 2 2 16" xfId="13443"/>
    <cellStyle name="Normal 2 2 16 2" xfId="20410"/>
    <cellStyle name="Normal 2 2 16 3" xfId="27377"/>
    <cellStyle name="Normal 2 2 16 4" xfId="34346"/>
    <cellStyle name="Normal 2 2 17" xfId="10949"/>
    <cellStyle name="Normal 2 2 18" xfId="17915"/>
    <cellStyle name="Normal 2 2 19" xfId="24883"/>
    <cellStyle name="Normal 2 2 2" xfId="1613"/>
    <cellStyle name="Normal 2 2 2 2" xfId="1614"/>
    <cellStyle name="Normal 2 2 2 2 2" xfId="1615"/>
    <cellStyle name="Normal 2 2 2 2 2 2" xfId="1616"/>
    <cellStyle name="Normal 2 2 2 2 2 2 10" xfId="7980"/>
    <cellStyle name="Normal 2 2 2 2 2 2 10 2" xfId="15766"/>
    <cellStyle name="Normal 2 2 2 2 2 2 10 2 2" xfId="22733"/>
    <cellStyle name="Normal 2 2 2 2 2 2 10 2 3" xfId="29700"/>
    <cellStyle name="Normal 2 2 2 2 2 2 10 2 4" xfId="36669"/>
    <cellStyle name="Normal 2 2 2 2 2 2 10 3" xfId="11122"/>
    <cellStyle name="Normal 2 2 2 2 2 2 10 4" xfId="18089"/>
    <cellStyle name="Normal 2 2 2 2 2 2 10 5" xfId="25056"/>
    <cellStyle name="Normal 2 2 2 2 2 2 10 6" xfId="32024"/>
    <cellStyle name="Normal 2 2 2 2 2 2 11" xfId="13444"/>
    <cellStyle name="Normal 2 2 2 2 2 2 11 2" xfId="20411"/>
    <cellStyle name="Normal 2 2 2 2 2 2 11 3" xfId="27378"/>
    <cellStyle name="Normal 2 2 2 2 2 2 11 4" xfId="34347"/>
    <cellStyle name="Normal 2 2 2 2 2 2 12" xfId="10950"/>
    <cellStyle name="Normal 2 2 2 2 2 2 13" xfId="17916"/>
    <cellStyle name="Normal 2 2 2 2 2 2 14" xfId="24884"/>
    <cellStyle name="Normal 2 2 2 2 2 2 15" xfId="31852"/>
    <cellStyle name="Normal 2 2 2 2 2 2 2" xfId="1617"/>
    <cellStyle name="Normal 2 2 2 2 2 2 2 10" xfId="13445"/>
    <cellStyle name="Normal 2 2 2 2 2 2 2 10 2" xfId="20412"/>
    <cellStyle name="Normal 2 2 2 2 2 2 2 10 3" xfId="27379"/>
    <cellStyle name="Normal 2 2 2 2 2 2 2 10 4" xfId="34348"/>
    <cellStyle name="Normal 2 2 2 2 2 2 2 11" xfId="10951"/>
    <cellStyle name="Normal 2 2 2 2 2 2 2 12" xfId="17917"/>
    <cellStyle name="Normal 2 2 2 2 2 2 2 13" xfId="24885"/>
    <cellStyle name="Normal 2 2 2 2 2 2 2 14" xfId="31853"/>
    <cellStyle name="Normal 2 2 2 2 2 2 2 2" xfId="3250"/>
    <cellStyle name="Normal 2 2 2 2 2 2 2 2 2" xfId="5053"/>
    <cellStyle name="Normal 2 2 2 2 2 2 2 2 2 2" xfId="9913"/>
    <cellStyle name="Normal 2 2 2 2 2 2 2 2 2 2 2" xfId="16911"/>
    <cellStyle name="Normal 2 2 2 2 2 2 2 2 2 2 3" xfId="23878"/>
    <cellStyle name="Normal 2 2 2 2 2 2 2 2 2 2 4" xfId="30845"/>
    <cellStyle name="Normal 2 2 2 2 2 2 2 2 2 2 5" xfId="37814"/>
    <cellStyle name="Normal 2 2 2 2 2 2 2 2 2 3" xfId="14591"/>
    <cellStyle name="Normal 2 2 2 2 2 2 2 2 2 3 2" xfId="21558"/>
    <cellStyle name="Normal 2 2 2 2 2 2 2 2 2 3 3" xfId="28525"/>
    <cellStyle name="Normal 2 2 2 2 2 2 2 2 2 3 4" xfId="35494"/>
    <cellStyle name="Normal 2 2 2 2 2 2 2 2 2 4" xfId="12269"/>
    <cellStyle name="Normal 2 2 2 2 2 2 2 2 2 5" xfId="19236"/>
    <cellStyle name="Normal 2 2 2 2 2 2 2 2 2 6" xfId="26203"/>
    <cellStyle name="Normal 2 2 2 2 2 2 2 2 2 7" xfId="33171"/>
    <cellStyle name="Normal 2 2 2 2 2 2 2 2 3" xfId="8884"/>
    <cellStyle name="Normal 2 2 2 2 2 2 2 2 3 2" xfId="15936"/>
    <cellStyle name="Normal 2 2 2 2 2 2 2 2 3 3" xfId="22903"/>
    <cellStyle name="Normal 2 2 2 2 2 2 2 2 3 4" xfId="29870"/>
    <cellStyle name="Normal 2 2 2 2 2 2 2 2 3 5" xfId="36839"/>
    <cellStyle name="Normal 2 2 2 2 2 2 2 2 4" xfId="13614"/>
    <cellStyle name="Normal 2 2 2 2 2 2 2 2 4 2" xfId="20581"/>
    <cellStyle name="Normal 2 2 2 2 2 2 2 2 4 3" xfId="27548"/>
    <cellStyle name="Normal 2 2 2 2 2 2 2 2 4 4" xfId="34517"/>
    <cellStyle name="Normal 2 2 2 2 2 2 2 2 5" xfId="11292"/>
    <cellStyle name="Normal 2 2 2 2 2 2 2 2 6" xfId="18259"/>
    <cellStyle name="Normal 2 2 2 2 2 2 2 2 7" xfId="25226"/>
    <cellStyle name="Normal 2 2 2 2 2 2 2 2 8" xfId="32194"/>
    <cellStyle name="Normal 2 2 2 2 2 2 2 3" xfId="3452"/>
    <cellStyle name="Normal 2 2 2 2 2 2 2 3 2" xfId="5054"/>
    <cellStyle name="Normal 2 2 2 2 2 2 2 3 2 2" xfId="9914"/>
    <cellStyle name="Normal 2 2 2 2 2 2 2 3 2 2 2" xfId="16912"/>
    <cellStyle name="Normal 2 2 2 2 2 2 2 3 2 2 3" xfId="23879"/>
    <cellStyle name="Normal 2 2 2 2 2 2 2 3 2 2 4" xfId="30846"/>
    <cellStyle name="Normal 2 2 2 2 2 2 2 3 2 2 5" xfId="37815"/>
    <cellStyle name="Normal 2 2 2 2 2 2 2 3 2 3" xfId="14592"/>
    <cellStyle name="Normal 2 2 2 2 2 2 2 3 2 3 2" xfId="21559"/>
    <cellStyle name="Normal 2 2 2 2 2 2 2 3 2 3 3" xfId="28526"/>
    <cellStyle name="Normal 2 2 2 2 2 2 2 3 2 3 4" xfId="35495"/>
    <cellStyle name="Normal 2 2 2 2 2 2 2 3 2 4" xfId="12270"/>
    <cellStyle name="Normal 2 2 2 2 2 2 2 3 2 5" xfId="19237"/>
    <cellStyle name="Normal 2 2 2 2 2 2 2 3 2 6" xfId="26204"/>
    <cellStyle name="Normal 2 2 2 2 2 2 2 3 2 7" xfId="33172"/>
    <cellStyle name="Normal 2 2 2 2 2 2 2 3 3" xfId="9064"/>
    <cellStyle name="Normal 2 2 2 2 2 2 2 3 3 2" xfId="16103"/>
    <cellStyle name="Normal 2 2 2 2 2 2 2 3 3 3" xfId="23070"/>
    <cellStyle name="Normal 2 2 2 2 2 2 2 3 3 4" xfId="30037"/>
    <cellStyle name="Normal 2 2 2 2 2 2 2 3 3 5" xfId="37006"/>
    <cellStyle name="Normal 2 2 2 2 2 2 2 3 4" xfId="13783"/>
    <cellStyle name="Normal 2 2 2 2 2 2 2 3 4 2" xfId="20750"/>
    <cellStyle name="Normal 2 2 2 2 2 2 2 3 4 3" xfId="27717"/>
    <cellStyle name="Normal 2 2 2 2 2 2 2 3 4 4" xfId="34686"/>
    <cellStyle name="Normal 2 2 2 2 2 2 2 3 5" xfId="11461"/>
    <cellStyle name="Normal 2 2 2 2 2 2 2 3 6" xfId="18428"/>
    <cellStyle name="Normal 2 2 2 2 2 2 2 3 7" xfId="25395"/>
    <cellStyle name="Normal 2 2 2 2 2 2 2 3 8" xfId="32363"/>
    <cellStyle name="Normal 2 2 2 2 2 2 2 4" xfId="3627"/>
    <cellStyle name="Normal 2 2 2 2 2 2 2 4 2" xfId="5055"/>
    <cellStyle name="Normal 2 2 2 2 2 2 2 4 2 2" xfId="9915"/>
    <cellStyle name="Normal 2 2 2 2 2 2 2 4 2 2 2" xfId="16913"/>
    <cellStyle name="Normal 2 2 2 2 2 2 2 4 2 2 3" xfId="23880"/>
    <cellStyle name="Normal 2 2 2 2 2 2 2 4 2 2 4" xfId="30847"/>
    <cellStyle name="Normal 2 2 2 2 2 2 2 4 2 2 5" xfId="37816"/>
    <cellStyle name="Normal 2 2 2 2 2 2 2 4 2 3" xfId="14593"/>
    <cellStyle name="Normal 2 2 2 2 2 2 2 4 2 3 2" xfId="21560"/>
    <cellStyle name="Normal 2 2 2 2 2 2 2 4 2 3 3" xfId="28527"/>
    <cellStyle name="Normal 2 2 2 2 2 2 2 4 2 3 4" xfId="35496"/>
    <cellStyle name="Normal 2 2 2 2 2 2 2 4 2 4" xfId="12271"/>
    <cellStyle name="Normal 2 2 2 2 2 2 2 4 2 5" xfId="19238"/>
    <cellStyle name="Normal 2 2 2 2 2 2 2 4 2 6" xfId="26205"/>
    <cellStyle name="Normal 2 2 2 2 2 2 2 4 2 7" xfId="33173"/>
    <cellStyle name="Normal 2 2 2 2 2 2 2 4 3" xfId="9235"/>
    <cellStyle name="Normal 2 2 2 2 2 2 2 4 3 2" xfId="16274"/>
    <cellStyle name="Normal 2 2 2 2 2 2 2 4 3 3" xfId="23241"/>
    <cellStyle name="Normal 2 2 2 2 2 2 2 4 3 4" xfId="30208"/>
    <cellStyle name="Normal 2 2 2 2 2 2 2 4 3 5" xfId="37177"/>
    <cellStyle name="Normal 2 2 2 2 2 2 2 4 4" xfId="13954"/>
    <cellStyle name="Normal 2 2 2 2 2 2 2 4 4 2" xfId="20921"/>
    <cellStyle name="Normal 2 2 2 2 2 2 2 4 4 3" xfId="27888"/>
    <cellStyle name="Normal 2 2 2 2 2 2 2 4 4 4" xfId="34857"/>
    <cellStyle name="Normal 2 2 2 2 2 2 2 4 5" xfId="11632"/>
    <cellStyle name="Normal 2 2 2 2 2 2 2 4 6" xfId="18599"/>
    <cellStyle name="Normal 2 2 2 2 2 2 2 4 7" xfId="25566"/>
    <cellStyle name="Normal 2 2 2 2 2 2 2 4 8" xfId="32534"/>
    <cellStyle name="Normal 2 2 2 2 2 2 2 5" xfId="3904"/>
    <cellStyle name="Normal 2 2 2 2 2 2 2 5 2" xfId="5056"/>
    <cellStyle name="Normal 2 2 2 2 2 2 2 5 2 2" xfId="9916"/>
    <cellStyle name="Normal 2 2 2 2 2 2 2 5 2 2 2" xfId="16914"/>
    <cellStyle name="Normal 2 2 2 2 2 2 2 5 2 2 3" xfId="23881"/>
    <cellStyle name="Normal 2 2 2 2 2 2 2 5 2 2 4" xfId="30848"/>
    <cellStyle name="Normal 2 2 2 2 2 2 2 5 2 2 5" xfId="37817"/>
    <cellStyle name="Normal 2 2 2 2 2 2 2 5 2 3" xfId="14594"/>
    <cellStyle name="Normal 2 2 2 2 2 2 2 5 2 3 2" xfId="21561"/>
    <cellStyle name="Normal 2 2 2 2 2 2 2 5 2 3 3" xfId="28528"/>
    <cellStyle name="Normal 2 2 2 2 2 2 2 5 2 3 4" xfId="35497"/>
    <cellStyle name="Normal 2 2 2 2 2 2 2 5 2 4" xfId="12272"/>
    <cellStyle name="Normal 2 2 2 2 2 2 2 5 2 5" xfId="19239"/>
    <cellStyle name="Normal 2 2 2 2 2 2 2 5 2 6" xfId="26206"/>
    <cellStyle name="Normal 2 2 2 2 2 2 2 5 2 7" xfId="33174"/>
    <cellStyle name="Normal 2 2 2 2 2 2 2 5 3" xfId="9510"/>
    <cellStyle name="Normal 2 2 2 2 2 2 2 5 3 2" xfId="16546"/>
    <cellStyle name="Normal 2 2 2 2 2 2 2 5 3 3" xfId="23513"/>
    <cellStyle name="Normal 2 2 2 2 2 2 2 5 3 4" xfId="30480"/>
    <cellStyle name="Normal 2 2 2 2 2 2 2 5 3 5" xfId="37449"/>
    <cellStyle name="Normal 2 2 2 2 2 2 2 5 4" xfId="14226"/>
    <cellStyle name="Normal 2 2 2 2 2 2 2 5 4 2" xfId="21193"/>
    <cellStyle name="Normal 2 2 2 2 2 2 2 5 4 3" xfId="28160"/>
    <cellStyle name="Normal 2 2 2 2 2 2 2 5 4 4" xfId="35129"/>
    <cellStyle name="Normal 2 2 2 2 2 2 2 5 5" xfId="11904"/>
    <cellStyle name="Normal 2 2 2 2 2 2 2 5 6" xfId="18871"/>
    <cellStyle name="Normal 2 2 2 2 2 2 2 5 7" xfId="25838"/>
    <cellStyle name="Normal 2 2 2 2 2 2 2 5 8" xfId="32806"/>
    <cellStyle name="Normal 2 2 2 2 2 2 2 6" xfId="5052"/>
    <cellStyle name="Normal 2 2 2 2 2 2 2 6 2" xfId="9912"/>
    <cellStyle name="Normal 2 2 2 2 2 2 2 6 2 2" xfId="16910"/>
    <cellStyle name="Normal 2 2 2 2 2 2 2 6 2 3" xfId="23877"/>
    <cellStyle name="Normal 2 2 2 2 2 2 2 6 2 4" xfId="30844"/>
    <cellStyle name="Normal 2 2 2 2 2 2 2 6 2 5" xfId="37813"/>
    <cellStyle name="Normal 2 2 2 2 2 2 2 6 3" xfId="14590"/>
    <cellStyle name="Normal 2 2 2 2 2 2 2 6 3 2" xfId="21557"/>
    <cellStyle name="Normal 2 2 2 2 2 2 2 6 3 3" xfId="28524"/>
    <cellStyle name="Normal 2 2 2 2 2 2 2 6 3 4" xfId="35493"/>
    <cellStyle name="Normal 2 2 2 2 2 2 2 6 4" xfId="12268"/>
    <cellStyle name="Normal 2 2 2 2 2 2 2 6 5" xfId="19235"/>
    <cellStyle name="Normal 2 2 2 2 2 2 2 6 6" xfId="26202"/>
    <cellStyle name="Normal 2 2 2 2 2 2 2 6 7" xfId="33170"/>
    <cellStyle name="Normal 2 2 2 2 2 2 2 7" xfId="6798"/>
    <cellStyle name="Normal 2 2 2 2 2 2 2 7 2" xfId="10768"/>
    <cellStyle name="Normal 2 2 2 2 2 2 2 7 2 2" xfId="17742"/>
    <cellStyle name="Normal 2 2 2 2 2 2 2 7 2 3" xfId="24709"/>
    <cellStyle name="Normal 2 2 2 2 2 2 2 7 2 4" xfId="31676"/>
    <cellStyle name="Normal 2 2 2 2 2 2 2 7 2 5" xfId="38645"/>
    <cellStyle name="Normal 2 2 2 2 2 2 2 7 3" xfId="15422"/>
    <cellStyle name="Normal 2 2 2 2 2 2 2 7 3 2" xfId="22389"/>
    <cellStyle name="Normal 2 2 2 2 2 2 2 7 3 3" xfId="29356"/>
    <cellStyle name="Normal 2 2 2 2 2 2 2 7 3 4" xfId="36325"/>
    <cellStyle name="Normal 2 2 2 2 2 2 2 7 4" xfId="13100"/>
    <cellStyle name="Normal 2 2 2 2 2 2 2 7 5" xfId="20067"/>
    <cellStyle name="Normal 2 2 2 2 2 2 2 7 6" xfId="27034"/>
    <cellStyle name="Normal 2 2 2 2 2 2 2 7 7" xfId="34003"/>
    <cellStyle name="Normal 2 2 2 2 2 2 2 8" xfId="7111"/>
    <cellStyle name="Normal 2 2 2 2 2 2 2 8 2" xfId="15595"/>
    <cellStyle name="Normal 2 2 2 2 2 2 2 8 2 2" xfId="22562"/>
    <cellStyle name="Normal 2 2 2 2 2 2 2 8 2 3" xfId="29529"/>
    <cellStyle name="Normal 2 2 2 2 2 2 2 8 2 4" xfId="36498"/>
    <cellStyle name="Normal 2 2 2 2 2 2 2 8 3" xfId="13273"/>
    <cellStyle name="Normal 2 2 2 2 2 2 2 8 4" xfId="20240"/>
    <cellStyle name="Normal 2 2 2 2 2 2 2 8 5" xfId="27207"/>
    <cellStyle name="Normal 2 2 2 2 2 2 2 8 6" xfId="34176"/>
    <cellStyle name="Normal 2 2 2 2 2 2 2 9" xfId="7981"/>
    <cellStyle name="Normal 2 2 2 2 2 2 2 9 2" xfId="15767"/>
    <cellStyle name="Normal 2 2 2 2 2 2 2 9 2 2" xfId="22734"/>
    <cellStyle name="Normal 2 2 2 2 2 2 2 9 2 3" xfId="29701"/>
    <cellStyle name="Normal 2 2 2 2 2 2 2 9 2 4" xfId="36670"/>
    <cellStyle name="Normal 2 2 2 2 2 2 2 9 3" xfId="11123"/>
    <cellStyle name="Normal 2 2 2 2 2 2 2 9 4" xfId="18090"/>
    <cellStyle name="Normal 2 2 2 2 2 2 2 9 5" xfId="25057"/>
    <cellStyle name="Normal 2 2 2 2 2 2 2 9 6" xfId="32025"/>
    <cellStyle name="Normal 2 2 2 2 2 2 3" xfId="3249"/>
    <cellStyle name="Normal 2 2 2 2 2 2 3 2" xfId="3847"/>
    <cellStyle name="Normal 2 2 2 2 2 2 3 2 2" xfId="5058"/>
    <cellStyle name="Normal 2 2 2 2 2 2 3 2 2 2" xfId="9918"/>
    <cellStyle name="Normal 2 2 2 2 2 2 3 2 2 2 2" xfId="16916"/>
    <cellStyle name="Normal 2 2 2 2 2 2 3 2 2 2 3" xfId="23883"/>
    <cellStyle name="Normal 2 2 2 2 2 2 3 2 2 2 4" xfId="30850"/>
    <cellStyle name="Normal 2 2 2 2 2 2 3 2 2 2 5" xfId="37819"/>
    <cellStyle name="Normal 2 2 2 2 2 2 3 2 2 3" xfId="14596"/>
    <cellStyle name="Normal 2 2 2 2 2 2 3 2 2 3 2" xfId="21563"/>
    <cellStyle name="Normal 2 2 2 2 2 2 3 2 2 3 3" xfId="28530"/>
    <cellStyle name="Normal 2 2 2 2 2 2 3 2 2 3 4" xfId="35499"/>
    <cellStyle name="Normal 2 2 2 2 2 2 3 2 2 4" xfId="12274"/>
    <cellStyle name="Normal 2 2 2 2 2 2 3 2 2 5" xfId="19241"/>
    <cellStyle name="Normal 2 2 2 2 2 2 3 2 2 6" xfId="26208"/>
    <cellStyle name="Normal 2 2 2 2 2 2 3 2 2 7" xfId="33176"/>
    <cellStyle name="Normal 2 2 2 2 2 2 3 2 3" xfId="9453"/>
    <cellStyle name="Normal 2 2 2 2 2 2 3 2 3 2" xfId="16491"/>
    <cellStyle name="Normal 2 2 2 2 2 2 3 2 3 3" xfId="23458"/>
    <cellStyle name="Normal 2 2 2 2 2 2 3 2 3 4" xfId="30425"/>
    <cellStyle name="Normal 2 2 2 2 2 2 3 2 3 5" xfId="37394"/>
    <cellStyle name="Normal 2 2 2 2 2 2 3 2 4" xfId="14171"/>
    <cellStyle name="Normal 2 2 2 2 2 2 3 2 4 2" xfId="21138"/>
    <cellStyle name="Normal 2 2 2 2 2 2 3 2 4 3" xfId="28105"/>
    <cellStyle name="Normal 2 2 2 2 2 2 3 2 4 4" xfId="35074"/>
    <cellStyle name="Normal 2 2 2 2 2 2 3 2 5" xfId="11849"/>
    <cellStyle name="Normal 2 2 2 2 2 2 3 2 6" xfId="18816"/>
    <cellStyle name="Normal 2 2 2 2 2 2 3 2 7" xfId="25783"/>
    <cellStyle name="Normal 2 2 2 2 2 2 3 2 8" xfId="32751"/>
    <cellStyle name="Normal 2 2 2 2 2 2 3 3" xfId="5057"/>
    <cellStyle name="Normal 2 2 2 2 2 2 3 3 2" xfId="9917"/>
    <cellStyle name="Normal 2 2 2 2 2 2 3 3 2 2" xfId="16915"/>
    <cellStyle name="Normal 2 2 2 2 2 2 3 3 2 3" xfId="23882"/>
    <cellStyle name="Normal 2 2 2 2 2 2 3 3 2 4" xfId="30849"/>
    <cellStyle name="Normal 2 2 2 2 2 2 3 3 2 5" xfId="37818"/>
    <cellStyle name="Normal 2 2 2 2 2 2 3 3 3" xfId="14595"/>
    <cellStyle name="Normal 2 2 2 2 2 2 3 3 3 2" xfId="21562"/>
    <cellStyle name="Normal 2 2 2 2 2 2 3 3 3 3" xfId="28529"/>
    <cellStyle name="Normal 2 2 2 2 2 2 3 3 3 4" xfId="35498"/>
    <cellStyle name="Normal 2 2 2 2 2 2 3 3 4" xfId="12273"/>
    <cellStyle name="Normal 2 2 2 2 2 2 3 3 5" xfId="19240"/>
    <cellStyle name="Normal 2 2 2 2 2 2 3 3 6" xfId="26207"/>
    <cellStyle name="Normal 2 2 2 2 2 2 3 3 7" xfId="33175"/>
    <cellStyle name="Normal 2 2 2 2 2 2 3 4" xfId="8883"/>
    <cellStyle name="Normal 2 2 2 2 2 2 3 4 2" xfId="15935"/>
    <cellStyle name="Normal 2 2 2 2 2 2 3 4 3" xfId="22902"/>
    <cellStyle name="Normal 2 2 2 2 2 2 3 4 4" xfId="29869"/>
    <cellStyle name="Normal 2 2 2 2 2 2 3 4 5" xfId="36838"/>
    <cellStyle name="Normal 2 2 2 2 2 2 3 5" xfId="13613"/>
    <cellStyle name="Normal 2 2 2 2 2 2 3 5 2" xfId="20580"/>
    <cellStyle name="Normal 2 2 2 2 2 2 3 5 3" xfId="27547"/>
    <cellStyle name="Normal 2 2 2 2 2 2 3 5 4" xfId="34516"/>
    <cellStyle name="Normal 2 2 2 2 2 2 3 6" xfId="11291"/>
    <cellStyle name="Normal 2 2 2 2 2 2 3 7" xfId="18258"/>
    <cellStyle name="Normal 2 2 2 2 2 2 3 8" xfId="25225"/>
    <cellStyle name="Normal 2 2 2 2 2 2 3 9" xfId="32193"/>
    <cellStyle name="Normal 2 2 2 2 2 2 4" xfId="3451"/>
    <cellStyle name="Normal 2 2 2 2 2 2 4 2" xfId="5059"/>
    <cellStyle name="Normal 2 2 2 2 2 2 4 2 2" xfId="9919"/>
    <cellStyle name="Normal 2 2 2 2 2 2 4 2 2 2" xfId="16917"/>
    <cellStyle name="Normal 2 2 2 2 2 2 4 2 2 3" xfId="23884"/>
    <cellStyle name="Normal 2 2 2 2 2 2 4 2 2 4" xfId="30851"/>
    <cellStyle name="Normal 2 2 2 2 2 2 4 2 2 5" xfId="37820"/>
    <cellStyle name="Normal 2 2 2 2 2 2 4 2 3" xfId="14597"/>
    <cellStyle name="Normal 2 2 2 2 2 2 4 2 3 2" xfId="21564"/>
    <cellStyle name="Normal 2 2 2 2 2 2 4 2 3 3" xfId="28531"/>
    <cellStyle name="Normal 2 2 2 2 2 2 4 2 3 4" xfId="35500"/>
    <cellStyle name="Normal 2 2 2 2 2 2 4 2 4" xfId="12275"/>
    <cellStyle name="Normal 2 2 2 2 2 2 4 2 5" xfId="19242"/>
    <cellStyle name="Normal 2 2 2 2 2 2 4 2 6" xfId="26209"/>
    <cellStyle name="Normal 2 2 2 2 2 2 4 2 7" xfId="33177"/>
    <cellStyle name="Normal 2 2 2 2 2 2 4 3" xfId="9063"/>
    <cellStyle name="Normal 2 2 2 2 2 2 4 3 2" xfId="16102"/>
    <cellStyle name="Normal 2 2 2 2 2 2 4 3 3" xfId="23069"/>
    <cellStyle name="Normal 2 2 2 2 2 2 4 3 4" xfId="30036"/>
    <cellStyle name="Normal 2 2 2 2 2 2 4 3 5" xfId="37005"/>
    <cellStyle name="Normal 2 2 2 2 2 2 4 4" xfId="13782"/>
    <cellStyle name="Normal 2 2 2 2 2 2 4 4 2" xfId="20749"/>
    <cellStyle name="Normal 2 2 2 2 2 2 4 4 3" xfId="27716"/>
    <cellStyle name="Normal 2 2 2 2 2 2 4 4 4" xfId="34685"/>
    <cellStyle name="Normal 2 2 2 2 2 2 4 5" xfId="11460"/>
    <cellStyle name="Normal 2 2 2 2 2 2 4 6" xfId="18427"/>
    <cellStyle name="Normal 2 2 2 2 2 2 4 7" xfId="25394"/>
    <cellStyle name="Normal 2 2 2 2 2 2 4 8" xfId="32362"/>
    <cellStyle name="Normal 2 2 2 2 2 2 5" xfId="3626"/>
    <cellStyle name="Normal 2 2 2 2 2 2 5 2" xfId="5060"/>
    <cellStyle name="Normal 2 2 2 2 2 2 5 2 2" xfId="9920"/>
    <cellStyle name="Normal 2 2 2 2 2 2 5 2 2 2" xfId="16918"/>
    <cellStyle name="Normal 2 2 2 2 2 2 5 2 2 3" xfId="23885"/>
    <cellStyle name="Normal 2 2 2 2 2 2 5 2 2 4" xfId="30852"/>
    <cellStyle name="Normal 2 2 2 2 2 2 5 2 2 5" xfId="37821"/>
    <cellStyle name="Normal 2 2 2 2 2 2 5 2 3" xfId="14598"/>
    <cellStyle name="Normal 2 2 2 2 2 2 5 2 3 2" xfId="21565"/>
    <cellStyle name="Normal 2 2 2 2 2 2 5 2 3 3" xfId="28532"/>
    <cellStyle name="Normal 2 2 2 2 2 2 5 2 3 4" xfId="35501"/>
    <cellStyle name="Normal 2 2 2 2 2 2 5 2 4" xfId="12276"/>
    <cellStyle name="Normal 2 2 2 2 2 2 5 2 5" xfId="19243"/>
    <cellStyle name="Normal 2 2 2 2 2 2 5 2 6" xfId="26210"/>
    <cellStyle name="Normal 2 2 2 2 2 2 5 2 7" xfId="33178"/>
    <cellStyle name="Normal 2 2 2 2 2 2 5 3" xfId="9234"/>
    <cellStyle name="Normal 2 2 2 2 2 2 5 3 2" xfId="16273"/>
    <cellStyle name="Normal 2 2 2 2 2 2 5 3 3" xfId="23240"/>
    <cellStyle name="Normal 2 2 2 2 2 2 5 3 4" xfId="30207"/>
    <cellStyle name="Normal 2 2 2 2 2 2 5 3 5" xfId="37176"/>
    <cellStyle name="Normal 2 2 2 2 2 2 5 4" xfId="13953"/>
    <cellStyle name="Normal 2 2 2 2 2 2 5 4 2" xfId="20920"/>
    <cellStyle name="Normal 2 2 2 2 2 2 5 4 3" xfId="27887"/>
    <cellStyle name="Normal 2 2 2 2 2 2 5 4 4" xfId="34856"/>
    <cellStyle name="Normal 2 2 2 2 2 2 5 5" xfId="11631"/>
    <cellStyle name="Normal 2 2 2 2 2 2 5 6" xfId="18598"/>
    <cellStyle name="Normal 2 2 2 2 2 2 5 7" xfId="25565"/>
    <cellStyle name="Normal 2 2 2 2 2 2 5 8" xfId="32533"/>
    <cellStyle name="Normal 2 2 2 2 2 2 6" xfId="3903"/>
    <cellStyle name="Normal 2 2 2 2 2 2 6 2" xfId="5061"/>
    <cellStyle name="Normal 2 2 2 2 2 2 6 2 2" xfId="9921"/>
    <cellStyle name="Normal 2 2 2 2 2 2 6 2 2 2" xfId="16919"/>
    <cellStyle name="Normal 2 2 2 2 2 2 6 2 2 3" xfId="23886"/>
    <cellStyle name="Normal 2 2 2 2 2 2 6 2 2 4" xfId="30853"/>
    <cellStyle name="Normal 2 2 2 2 2 2 6 2 2 5" xfId="37822"/>
    <cellStyle name="Normal 2 2 2 2 2 2 6 2 3" xfId="14599"/>
    <cellStyle name="Normal 2 2 2 2 2 2 6 2 3 2" xfId="21566"/>
    <cellStyle name="Normal 2 2 2 2 2 2 6 2 3 3" xfId="28533"/>
    <cellStyle name="Normal 2 2 2 2 2 2 6 2 3 4" xfId="35502"/>
    <cellStyle name="Normal 2 2 2 2 2 2 6 2 4" xfId="12277"/>
    <cellStyle name="Normal 2 2 2 2 2 2 6 2 5" xfId="19244"/>
    <cellStyle name="Normal 2 2 2 2 2 2 6 2 6" xfId="26211"/>
    <cellStyle name="Normal 2 2 2 2 2 2 6 2 7" xfId="33179"/>
    <cellStyle name="Normal 2 2 2 2 2 2 6 3" xfId="9509"/>
    <cellStyle name="Normal 2 2 2 2 2 2 6 3 2" xfId="16545"/>
    <cellStyle name="Normal 2 2 2 2 2 2 6 3 3" xfId="23512"/>
    <cellStyle name="Normal 2 2 2 2 2 2 6 3 4" xfId="30479"/>
    <cellStyle name="Normal 2 2 2 2 2 2 6 3 5" xfId="37448"/>
    <cellStyle name="Normal 2 2 2 2 2 2 6 4" xfId="14225"/>
    <cellStyle name="Normal 2 2 2 2 2 2 6 4 2" xfId="21192"/>
    <cellStyle name="Normal 2 2 2 2 2 2 6 4 3" xfId="28159"/>
    <cellStyle name="Normal 2 2 2 2 2 2 6 4 4" xfId="35128"/>
    <cellStyle name="Normal 2 2 2 2 2 2 6 5" xfId="11903"/>
    <cellStyle name="Normal 2 2 2 2 2 2 6 6" xfId="18870"/>
    <cellStyle name="Normal 2 2 2 2 2 2 6 7" xfId="25837"/>
    <cellStyle name="Normal 2 2 2 2 2 2 6 8" xfId="32805"/>
    <cellStyle name="Normal 2 2 2 2 2 2 7" xfId="5051"/>
    <cellStyle name="Normal 2 2 2 2 2 2 7 2" xfId="9911"/>
    <cellStyle name="Normal 2 2 2 2 2 2 7 2 2" xfId="16909"/>
    <cellStyle name="Normal 2 2 2 2 2 2 7 2 3" xfId="23876"/>
    <cellStyle name="Normal 2 2 2 2 2 2 7 2 4" xfId="30843"/>
    <cellStyle name="Normal 2 2 2 2 2 2 7 2 5" xfId="37812"/>
    <cellStyle name="Normal 2 2 2 2 2 2 7 3" xfId="14589"/>
    <cellStyle name="Normal 2 2 2 2 2 2 7 3 2" xfId="21556"/>
    <cellStyle name="Normal 2 2 2 2 2 2 7 3 3" xfId="28523"/>
    <cellStyle name="Normal 2 2 2 2 2 2 7 3 4" xfId="35492"/>
    <cellStyle name="Normal 2 2 2 2 2 2 7 4" xfId="12267"/>
    <cellStyle name="Normal 2 2 2 2 2 2 7 5" xfId="19234"/>
    <cellStyle name="Normal 2 2 2 2 2 2 7 6" xfId="26201"/>
    <cellStyle name="Normal 2 2 2 2 2 2 7 7" xfId="33169"/>
    <cellStyle name="Normal 2 2 2 2 2 2 8" xfId="6797"/>
    <cellStyle name="Normal 2 2 2 2 2 2 8 2" xfId="10767"/>
    <cellStyle name="Normal 2 2 2 2 2 2 8 2 2" xfId="17741"/>
    <cellStyle name="Normal 2 2 2 2 2 2 8 2 3" xfId="24708"/>
    <cellStyle name="Normal 2 2 2 2 2 2 8 2 4" xfId="31675"/>
    <cellStyle name="Normal 2 2 2 2 2 2 8 2 5" xfId="38644"/>
    <cellStyle name="Normal 2 2 2 2 2 2 8 3" xfId="15421"/>
    <cellStyle name="Normal 2 2 2 2 2 2 8 3 2" xfId="22388"/>
    <cellStyle name="Normal 2 2 2 2 2 2 8 3 3" xfId="29355"/>
    <cellStyle name="Normal 2 2 2 2 2 2 8 3 4" xfId="36324"/>
    <cellStyle name="Normal 2 2 2 2 2 2 8 4" xfId="13099"/>
    <cellStyle name="Normal 2 2 2 2 2 2 8 5" xfId="20066"/>
    <cellStyle name="Normal 2 2 2 2 2 2 8 6" xfId="27033"/>
    <cellStyle name="Normal 2 2 2 2 2 2 8 7" xfId="34002"/>
    <cellStyle name="Normal 2 2 2 2 2 2 9" xfId="7110"/>
    <cellStyle name="Normal 2 2 2 2 2 2 9 2" xfId="15594"/>
    <cellStyle name="Normal 2 2 2 2 2 2 9 2 2" xfId="22561"/>
    <cellStyle name="Normal 2 2 2 2 2 2 9 2 3" xfId="29528"/>
    <cellStyle name="Normal 2 2 2 2 2 2 9 2 4" xfId="36497"/>
    <cellStyle name="Normal 2 2 2 2 2 2 9 3" xfId="13272"/>
    <cellStyle name="Normal 2 2 2 2 2 2 9 4" xfId="20239"/>
    <cellStyle name="Normal 2 2 2 2 2 2 9 5" xfId="27206"/>
    <cellStyle name="Normal 2 2 2 2 2 2 9 6" xfId="34175"/>
    <cellStyle name="Normal 2 2 2 2 2 3" xfId="3848"/>
    <cellStyle name="Normal 2 2 2 2 2 3 2" xfId="5062"/>
    <cellStyle name="Normal 2 2 2 2 2 3 2 2" xfId="9922"/>
    <cellStyle name="Normal 2 2 2 2 2 3 2 2 2" xfId="16920"/>
    <cellStyle name="Normal 2 2 2 2 2 3 2 2 3" xfId="23887"/>
    <cellStyle name="Normal 2 2 2 2 2 3 2 2 4" xfId="30854"/>
    <cellStyle name="Normal 2 2 2 2 2 3 2 2 5" xfId="37823"/>
    <cellStyle name="Normal 2 2 2 2 2 3 2 3" xfId="14600"/>
    <cellStyle name="Normal 2 2 2 2 2 3 2 3 2" xfId="21567"/>
    <cellStyle name="Normal 2 2 2 2 2 3 2 3 3" xfId="28534"/>
    <cellStyle name="Normal 2 2 2 2 2 3 2 3 4" xfId="35503"/>
    <cellStyle name="Normal 2 2 2 2 2 3 2 4" xfId="12278"/>
    <cellStyle name="Normal 2 2 2 2 2 3 2 5" xfId="19245"/>
    <cellStyle name="Normal 2 2 2 2 2 3 2 6" xfId="26212"/>
    <cellStyle name="Normal 2 2 2 2 2 3 2 7" xfId="33180"/>
    <cellStyle name="Normal 2 2 2 2 2 3 3" xfId="9454"/>
    <cellStyle name="Normal 2 2 2 2 2 3 3 2" xfId="16492"/>
    <cellStyle name="Normal 2 2 2 2 2 3 3 3" xfId="23459"/>
    <cellStyle name="Normal 2 2 2 2 2 3 3 4" xfId="30426"/>
    <cellStyle name="Normal 2 2 2 2 2 3 3 5" xfId="37395"/>
    <cellStyle name="Normal 2 2 2 2 2 3 4" xfId="14172"/>
    <cellStyle name="Normal 2 2 2 2 2 3 4 2" xfId="21139"/>
    <cellStyle name="Normal 2 2 2 2 2 3 4 3" xfId="28106"/>
    <cellStyle name="Normal 2 2 2 2 2 3 4 4" xfId="35075"/>
    <cellStyle name="Normal 2 2 2 2 2 3 5" xfId="11850"/>
    <cellStyle name="Normal 2 2 2 2 2 3 6" xfId="18817"/>
    <cellStyle name="Normal 2 2 2 2 2 3 7" xfId="25784"/>
    <cellStyle name="Normal 2 2 2 2 2 3 8" xfId="32752"/>
    <cellStyle name="Normal 2 2 2 2 2 4" xfId="5050"/>
    <cellStyle name="Normal 2 2 2 2 2 5" xfId="7979"/>
    <cellStyle name="Normal 2 2 2 2 3" xfId="1618"/>
    <cellStyle name="Normal 2 2 2 2 3 10" xfId="7112"/>
    <cellStyle name="Normal 2 2 2 2 3 10 2" xfId="15596"/>
    <cellStyle name="Normal 2 2 2 2 3 10 2 2" xfId="22563"/>
    <cellStyle name="Normal 2 2 2 2 3 10 2 3" xfId="29530"/>
    <cellStyle name="Normal 2 2 2 2 3 10 2 4" xfId="36499"/>
    <cellStyle name="Normal 2 2 2 2 3 10 3" xfId="13274"/>
    <cellStyle name="Normal 2 2 2 2 3 10 4" xfId="20241"/>
    <cellStyle name="Normal 2 2 2 2 3 10 5" xfId="27208"/>
    <cellStyle name="Normal 2 2 2 2 3 10 6" xfId="34177"/>
    <cellStyle name="Normal 2 2 2 2 3 11" xfId="7982"/>
    <cellStyle name="Normal 2 2 2 2 3 11 2" xfId="15768"/>
    <cellStyle name="Normal 2 2 2 2 3 11 2 2" xfId="22735"/>
    <cellStyle name="Normal 2 2 2 2 3 11 2 3" xfId="29702"/>
    <cellStyle name="Normal 2 2 2 2 3 11 2 4" xfId="36671"/>
    <cellStyle name="Normal 2 2 2 2 3 11 3" xfId="11124"/>
    <cellStyle name="Normal 2 2 2 2 3 11 4" xfId="18091"/>
    <cellStyle name="Normal 2 2 2 2 3 11 5" xfId="25058"/>
    <cellStyle name="Normal 2 2 2 2 3 11 6" xfId="32026"/>
    <cellStyle name="Normal 2 2 2 2 3 12" xfId="13446"/>
    <cellStyle name="Normal 2 2 2 2 3 12 2" xfId="20413"/>
    <cellStyle name="Normal 2 2 2 2 3 12 3" xfId="27380"/>
    <cellStyle name="Normal 2 2 2 2 3 12 4" xfId="34349"/>
    <cellStyle name="Normal 2 2 2 2 3 13" xfId="10952"/>
    <cellStyle name="Normal 2 2 2 2 3 14" xfId="17918"/>
    <cellStyle name="Normal 2 2 2 2 3 15" xfId="24886"/>
    <cellStyle name="Normal 2 2 2 2 3 16" xfId="31854"/>
    <cellStyle name="Normal 2 2 2 2 3 2" xfId="1619"/>
    <cellStyle name="Normal 2 2 2 2 3 2 10" xfId="13447"/>
    <cellStyle name="Normal 2 2 2 2 3 2 10 2" xfId="20414"/>
    <cellStyle name="Normal 2 2 2 2 3 2 10 3" xfId="27381"/>
    <cellStyle name="Normal 2 2 2 2 3 2 10 4" xfId="34350"/>
    <cellStyle name="Normal 2 2 2 2 3 2 11" xfId="10953"/>
    <cellStyle name="Normal 2 2 2 2 3 2 12" xfId="17919"/>
    <cellStyle name="Normal 2 2 2 2 3 2 13" xfId="24887"/>
    <cellStyle name="Normal 2 2 2 2 3 2 14" xfId="31855"/>
    <cellStyle name="Normal 2 2 2 2 3 2 2" xfId="3252"/>
    <cellStyle name="Normal 2 2 2 2 3 2 2 2" xfId="3845"/>
    <cellStyle name="Normal 2 2 2 2 3 2 2 2 2" xfId="5066"/>
    <cellStyle name="Normal 2 2 2 2 3 2 2 2 2 2" xfId="9926"/>
    <cellStyle name="Normal 2 2 2 2 3 2 2 2 2 2 2" xfId="16924"/>
    <cellStyle name="Normal 2 2 2 2 3 2 2 2 2 2 3" xfId="23891"/>
    <cellStyle name="Normal 2 2 2 2 3 2 2 2 2 2 4" xfId="30858"/>
    <cellStyle name="Normal 2 2 2 2 3 2 2 2 2 2 5" xfId="37827"/>
    <cellStyle name="Normal 2 2 2 2 3 2 2 2 2 3" xfId="14604"/>
    <cellStyle name="Normal 2 2 2 2 3 2 2 2 2 3 2" xfId="21571"/>
    <cellStyle name="Normal 2 2 2 2 3 2 2 2 2 3 3" xfId="28538"/>
    <cellStyle name="Normal 2 2 2 2 3 2 2 2 2 3 4" xfId="35507"/>
    <cellStyle name="Normal 2 2 2 2 3 2 2 2 2 4" xfId="12282"/>
    <cellStyle name="Normal 2 2 2 2 3 2 2 2 2 5" xfId="19249"/>
    <cellStyle name="Normal 2 2 2 2 3 2 2 2 2 6" xfId="26216"/>
    <cellStyle name="Normal 2 2 2 2 3 2 2 2 2 7" xfId="33184"/>
    <cellStyle name="Normal 2 2 2 2 3 2 2 2 3" xfId="9451"/>
    <cellStyle name="Normal 2 2 2 2 3 2 2 2 3 2" xfId="16489"/>
    <cellStyle name="Normal 2 2 2 2 3 2 2 2 3 3" xfId="23456"/>
    <cellStyle name="Normal 2 2 2 2 3 2 2 2 3 4" xfId="30423"/>
    <cellStyle name="Normal 2 2 2 2 3 2 2 2 3 5" xfId="37392"/>
    <cellStyle name="Normal 2 2 2 2 3 2 2 2 4" xfId="14169"/>
    <cellStyle name="Normal 2 2 2 2 3 2 2 2 4 2" xfId="21136"/>
    <cellStyle name="Normal 2 2 2 2 3 2 2 2 4 3" xfId="28103"/>
    <cellStyle name="Normal 2 2 2 2 3 2 2 2 4 4" xfId="35072"/>
    <cellStyle name="Normal 2 2 2 2 3 2 2 2 5" xfId="11847"/>
    <cellStyle name="Normal 2 2 2 2 3 2 2 2 6" xfId="18814"/>
    <cellStyle name="Normal 2 2 2 2 3 2 2 2 7" xfId="25781"/>
    <cellStyle name="Normal 2 2 2 2 3 2 2 2 8" xfId="32749"/>
    <cellStyle name="Normal 2 2 2 2 3 2 2 3" xfId="5065"/>
    <cellStyle name="Normal 2 2 2 2 3 2 2 3 2" xfId="9925"/>
    <cellStyle name="Normal 2 2 2 2 3 2 2 3 2 2" xfId="16923"/>
    <cellStyle name="Normal 2 2 2 2 3 2 2 3 2 3" xfId="23890"/>
    <cellStyle name="Normal 2 2 2 2 3 2 2 3 2 4" xfId="30857"/>
    <cellStyle name="Normal 2 2 2 2 3 2 2 3 2 5" xfId="37826"/>
    <cellStyle name="Normal 2 2 2 2 3 2 2 3 3" xfId="14603"/>
    <cellStyle name="Normal 2 2 2 2 3 2 2 3 3 2" xfId="21570"/>
    <cellStyle name="Normal 2 2 2 2 3 2 2 3 3 3" xfId="28537"/>
    <cellStyle name="Normal 2 2 2 2 3 2 2 3 3 4" xfId="35506"/>
    <cellStyle name="Normal 2 2 2 2 3 2 2 3 4" xfId="12281"/>
    <cellStyle name="Normal 2 2 2 2 3 2 2 3 5" xfId="19248"/>
    <cellStyle name="Normal 2 2 2 2 3 2 2 3 6" xfId="26215"/>
    <cellStyle name="Normal 2 2 2 2 3 2 2 3 7" xfId="33183"/>
    <cellStyle name="Normal 2 2 2 2 3 2 2 4" xfId="8886"/>
    <cellStyle name="Normal 2 2 2 2 3 2 2 4 2" xfId="15938"/>
    <cellStyle name="Normal 2 2 2 2 3 2 2 4 3" xfId="22905"/>
    <cellStyle name="Normal 2 2 2 2 3 2 2 4 4" xfId="29872"/>
    <cellStyle name="Normal 2 2 2 2 3 2 2 4 5" xfId="36841"/>
    <cellStyle name="Normal 2 2 2 2 3 2 2 5" xfId="13616"/>
    <cellStyle name="Normal 2 2 2 2 3 2 2 5 2" xfId="20583"/>
    <cellStyle name="Normal 2 2 2 2 3 2 2 5 3" xfId="27550"/>
    <cellStyle name="Normal 2 2 2 2 3 2 2 5 4" xfId="34519"/>
    <cellStyle name="Normal 2 2 2 2 3 2 2 6" xfId="11294"/>
    <cellStyle name="Normal 2 2 2 2 3 2 2 7" xfId="18261"/>
    <cellStyle name="Normal 2 2 2 2 3 2 2 8" xfId="25228"/>
    <cellStyle name="Normal 2 2 2 2 3 2 2 9" xfId="32196"/>
    <cellStyle name="Normal 2 2 2 2 3 2 3" xfId="3454"/>
    <cellStyle name="Normal 2 2 2 2 3 2 3 2" xfId="5067"/>
    <cellStyle name="Normal 2 2 2 2 3 2 3 2 2" xfId="9927"/>
    <cellStyle name="Normal 2 2 2 2 3 2 3 2 2 2" xfId="16925"/>
    <cellStyle name="Normal 2 2 2 2 3 2 3 2 2 3" xfId="23892"/>
    <cellStyle name="Normal 2 2 2 2 3 2 3 2 2 4" xfId="30859"/>
    <cellStyle name="Normal 2 2 2 2 3 2 3 2 2 5" xfId="37828"/>
    <cellStyle name="Normal 2 2 2 2 3 2 3 2 3" xfId="14605"/>
    <cellStyle name="Normal 2 2 2 2 3 2 3 2 3 2" xfId="21572"/>
    <cellStyle name="Normal 2 2 2 2 3 2 3 2 3 3" xfId="28539"/>
    <cellStyle name="Normal 2 2 2 2 3 2 3 2 3 4" xfId="35508"/>
    <cellStyle name="Normal 2 2 2 2 3 2 3 2 4" xfId="12283"/>
    <cellStyle name="Normal 2 2 2 2 3 2 3 2 5" xfId="19250"/>
    <cellStyle name="Normal 2 2 2 2 3 2 3 2 6" xfId="26217"/>
    <cellStyle name="Normal 2 2 2 2 3 2 3 2 7" xfId="33185"/>
    <cellStyle name="Normal 2 2 2 2 3 2 3 3" xfId="9066"/>
    <cellStyle name="Normal 2 2 2 2 3 2 3 3 2" xfId="16105"/>
    <cellStyle name="Normal 2 2 2 2 3 2 3 3 3" xfId="23072"/>
    <cellStyle name="Normal 2 2 2 2 3 2 3 3 4" xfId="30039"/>
    <cellStyle name="Normal 2 2 2 2 3 2 3 3 5" xfId="37008"/>
    <cellStyle name="Normal 2 2 2 2 3 2 3 4" xfId="13785"/>
    <cellStyle name="Normal 2 2 2 2 3 2 3 4 2" xfId="20752"/>
    <cellStyle name="Normal 2 2 2 2 3 2 3 4 3" xfId="27719"/>
    <cellStyle name="Normal 2 2 2 2 3 2 3 4 4" xfId="34688"/>
    <cellStyle name="Normal 2 2 2 2 3 2 3 5" xfId="11463"/>
    <cellStyle name="Normal 2 2 2 2 3 2 3 6" xfId="18430"/>
    <cellStyle name="Normal 2 2 2 2 3 2 3 7" xfId="25397"/>
    <cellStyle name="Normal 2 2 2 2 3 2 3 8" xfId="32365"/>
    <cellStyle name="Normal 2 2 2 2 3 2 4" xfId="3629"/>
    <cellStyle name="Normal 2 2 2 2 3 2 4 2" xfId="5068"/>
    <cellStyle name="Normal 2 2 2 2 3 2 4 2 2" xfId="9928"/>
    <cellStyle name="Normal 2 2 2 2 3 2 4 2 2 2" xfId="16926"/>
    <cellStyle name="Normal 2 2 2 2 3 2 4 2 2 3" xfId="23893"/>
    <cellStyle name="Normal 2 2 2 2 3 2 4 2 2 4" xfId="30860"/>
    <cellStyle name="Normal 2 2 2 2 3 2 4 2 2 5" xfId="37829"/>
    <cellStyle name="Normal 2 2 2 2 3 2 4 2 3" xfId="14606"/>
    <cellStyle name="Normal 2 2 2 2 3 2 4 2 3 2" xfId="21573"/>
    <cellStyle name="Normal 2 2 2 2 3 2 4 2 3 3" xfId="28540"/>
    <cellStyle name="Normal 2 2 2 2 3 2 4 2 3 4" xfId="35509"/>
    <cellStyle name="Normal 2 2 2 2 3 2 4 2 4" xfId="12284"/>
    <cellStyle name="Normal 2 2 2 2 3 2 4 2 5" xfId="19251"/>
    <cellStyle name="Normal 2 2 2 2 3 2 4 2 6" xfId="26218"/>
    <cellStyle name="Normal 2 2 2 2 3 2 4 2 7" xfId="33186"/>
    <cellStyle name="Normal 2 2 2 2 3 2 4 3" xfId="9237"/>
    <cellStyle name="Normal 2 2 2 2 3 2 4 3 2" xfId="16276"/>
    <cellStyle name="Normal 2 2 2 2 3 2 4 3 3" xfId="23243"/>
    <cellStyle name="Normal 2 2 2 2 3 2 4 3 4" xfId="30210"/>
    <cellStyle name="Normal 2 2 2 2 3 2 4 3 5" xfId="37179"/>
    <cellStyle name="Normal 2 2 2 2 3 2 4 4" xfId="13956"/>
    <cellStyle name="Normal 2 2 2 2 3 2 4 4 2" xfId="20923"/>
    <cellStyle name="Normal 2 2 2 2 3 2 4 4 3" xfId="27890"/>
    <cellStyle name="Normal 2 2 2 2 3 2 4 4 4" xfId="34859"/>
    <cellStyle name="Normal 2 2 2 2 3 2 4 5" xfId="11634"/>
    <cellStyle name="Normal 2 2 2 2 3 2 4 6" xfId="18601"/>
    <cellStyle name="Normal 2 2 2 2 3 2 4 7" xfId="25568"/>
    <cellStyle name="Normal 2 2 2 2 3 2 4 8" xfId="32536"/>
    <cellStyle name="Normal 2 2 2 2 3 2 5" xfId="3906"/>
    <cellStyle name="Normal 2 2 2 2 3 2 5 2" xfId="5069"/>
    <cellStyle name="Normal 2 2 2 2 3 2 5 2 2" xfId="9929"/>
    <cellStyle name="Normal 2 2 2 2 3 2 5 2 2 2" xfId="16927"/>
    <cellStyle name="Normal 2 2 2 2 3 2 5 2 2 3" xfId="23894"/>
    <cellStyle name="Normal 2 2 2 2 3 2 5 2 2 4" xfId="30861"/>
    <cellStyle name="Normal 2 2 2 2 3 2 5 2 2 5" xfId="37830"/>
    <cellStyle name="Normal 2 2 2 2 3 2 5 2 3" xfId="14607"/>
    <cellStyle name="Normal 2 2 2 2 3 2 5 2 3 2" xfId="21574"/>
    <cellStyle name="Normal 2 2 2 2 3 2 5 2 3 3" xfId="28541"/>
    <cellStyle name="Normal 2 2 2 2 3 2 5 2 3 4" xfId="35510"/>
    <cellStyle name="Normal 2 2 2 2 3 2 5 2 4" xfId="12285"/>
    <cellStyle name="Normal 2 2 2 2 3 2 5 2 5" xfId="19252"/>
    <cellStyle name="Normal 2 2 2 2 3 2 5 2 6" xfId="26219"/>
    <cellStyle name="Normal 2 2 2 2 3 2 5 2 7" xfId="33187"/>
    <cellStyle name="Normal 2 2 2 2 3 2 5 3" xfId="9512"/>
    <cellStyle name="Normal 2 2 2 2 3 2 5 3 2" xfId="16548"/>
    <cellStyle name="Normal 2 2 2 2 3 2 5 3 3" xfId="23515"/>
    <cellStyle name="Normal 2 2 2 2 3 2 5 3 4" xfId="30482"/>
    <cellStyle name="Normal 2 2 2 2 3 2 5 3 5" xfId="37451"/>
    <cellStyle name="Normal 2 2 2 2 3 2 5 4" xfId="14228"/>
    <cellStyle name="Normal 2 2 2 2 3 2 5 4 2" xfId="21195"/>
    <cellStyle name="Normal 2 2 2 2 3 2 5 4 3" xfId="28162"/>
    <cellStyle name="Normal 2 2 2 2 3 2 5 4 4" xfId="35131"/>
    <cellStyle name="Normal 2 2 2 2 3 2 5 5" xfId="11906"/>
    <cellStyle name="Normal 2 2 2 2 3 2 5 6" xfId="18873"/>
    <cellStyle name="Normal 2 2 2 2 3 2 5 7" xfId="25840"/>
    <cellStyle name="Normal 2 2 2 2 3 2 5 8" xfId="32808"/>
    <cellStyle name="Normal 2 2 2 2 3 2 6" xfId="5064"/>
    <cellStyle name="Normal 2 2 2 2 3 2 6 2" xfId="9924"/>
    <cellStyle name="Normal 2 2 2 2 3 2 6 2 2" xfId="16922"/>
    <cellStyle name="Normal 2 2 2 2 3 2 6 2 3" xfId="23889"/>
    <cellStyle name="Normal 2 2 2 2 3 2 6 2 4" xfId="30856"/>
    <cellStyle name="Normal 2 2 2 2 3 2 6 2 5" xfId="37825"/>
    <cellStyle name="Normal 2 2 2 2 3 2 6 3" xfId="14602"/>
    <cellStyle name="Normal 2 2 2 2 3 2 6 3 2" xfId="21569"/>
    <cellStyle name="Normal 2 2 2 2 3 2 6 3 3" xfId="28536"/>
    <cellStyle name="Normal 2 2 2 2 3 2 6 3 4" xfId="35505"/>
    <cellStyle name="Normal 2 2 2 2 3 2 6 4" xfId="12280"/>
    <cellStyle name="Normal 2 2 2 2 3 2 6 5" xfId="19247"/>
    <cellStyle name="Normal 2 2 2 2 3 2 6 6" xfId="26214"/>
    <cellStyle name="Normal 2 2 2 2 3 2 6 7" xfId="33182"/>
    <cellStyle name="Normal 2 2 2 2 3 2 7" xfId="6800"/>
    <cellStyle name="Normal 2 2 2 2 3 2 7 2" xfId="10770"/>
    <cellStyle name="Normal 2 2 2 2 3 2 7 2 2" xfId="17744"/>
    <cellStyle name="Normal 2 2 2 2 3 2 7 2 3" xfId="24711"/>
    <cellStyle name="Normal 2 2 2 2 3 2 7 2 4" xfId="31678"/>
    <cellStyle name="Normal 2 2 2 2 3 2 7 2 5" xfId="38647"/>
    <cellStyle name="Normal 2 2 2 2 3 2 7 3" xfId="15424"/>
    <cellStyle name="Normal 2 2 2 2 3 2 7 3 2" xfId="22391"/>
    <cellStyle name="Normal 2 2 2 2 3 2 7 3 3" xfId="29358"/>
    <cellStyle name="Normal 2 2 2 2 3 2 7 3 4" xfId="36327"/>
    <cellStyle name="Normal 2 2 2 2 3 2 7 4" xfId="13102"/>
    <cellStyle name="Normal 2 2 2 2 3 2 7 5" xfId="20069"/>
    <cellStyle name="Normal 2 2 2 2 3 2 7 6" xfId="27036"/>
    <cellStyle name="Normal 2 2 2 2 3 2 7 7" xfId="34005"/>
    <cellStyle name="Normal 2 2 2 2 3 2 8" xfId="7113"/>
    <cellStyle name="Normal 2 2 2 2 3 2 8 2" xfId="15597"/>
    <cellStyle name="Normal 2 2 2 2 3 2 8 2 2" xfId="22564"/>
    <cellStyle name="Normal 2 2 2 2 3 2 8 2 3" xfId="29531"/>
    <cellStyle name="Normal 2 2 2 2 3 2 8 2 4" xfId="36500"/>
    <cellStyle name="Normal 2 2 2 2 3 2 8 3" xfId="13275"/>
    <cellStyle name="Normal 2 2 2 2 3 2 8 4" xfId="20242"/>
    <cellStyle name="Normal 2 2 2 2 3 2 8 5" xfId="27209"/>
    <cellStyle name="Normal 2 2 2 2 3 2 8 6" xfId="34178"/>
    <cellStyle name="Normal 2 2 2 2 3 2 9" xfId="7983"/>
    <cellStyle name="Normal 2 2 2 2 3 2 9 2" xfId="15769"/>
    <cellStyle name="Normal 2 2 2 2 3 2 9 2 2" xfId="22736"/>
    <cellStyle name="Normal 2 2 2 2 3 2 9 2 3" xfId="29703"/>
    <cellStyle name="Normal 2 2 2 2 3 2 9 2 4" xfId="36672"/>
    <cellStyle name="Normal 2 2 2 2 3 2 9 3" xfId="11125"/>
    <cellStyle name="Normal 2 2 2 2 3 2 9 4" xfId="18092"/>
    <cellStyle name="Normal 2 2 2 2 3 2 9 5" xfId="25059"/>
    <cellStyle name="Normal 2 2 2 2 3 2 9 6" xfId="32027"/>
    <cellStyle name="Normal 2 2 2 2 3 3" xfId="1620"/>
    <cellStyle name="Normal 2 2 2 2 3 3 10" xfId="13448"/>
    <cellStyle name="Normal 2 2 2 2 3 3 10 2" xfId="20415"/>
    <cellStyle name="Normal 2 2 2 2 3 3 10 3" xfId="27382"/>
    <cellStyle name="Normal 2 2 2 2 3 3 10 4" xfId="34351"/>
    <cellStyle name="Normal 2 2 2 2 3 3 11" xfId="10954"/>
    <cellStyle name="Normal 2 2 2 2 3 3 12" xfId="17920"/>
    <cellStyle name="Normal 2 2 2 2 3 3 13" xfId="24888"/>
    <cellStyle name="Normal 2 2 2 2 3 3 14" xfId="31856"/>
    <cellStyle name="Normal 2 2 2 2 3 3 2" xfId="3253"/>
    <cellStyle name="Normal 2 2 2 2 3 3 2 2" xfId="5071"/>
    <cellStyle name="Normal 2 2 2 2 3 3 2 2 2" xfId="9931"/>
    <cellStyle name="Normal 2 2 2 2 3 3 2 2 2 2" xfId="16929"/>
    <cellStyle name="Normal 2 2 2 2 3 3 2 2 2 3" xfId="23896"/>
    <cellStyle name="Normal 2 2 2 2 3 3 2 2 2 4" xfId="30863"/>
    <cellStyle name="Normal 2 2 2 2 3 3 2 2 2 5" xfId="37832"/>
    <cellStyle name="Normal 2 2 2 2 3 3 2 2 3" xfId="14609"/>
    <cellStyle name="Normal 2 2 2 2 3 3 2 2 3 2" xfId="21576"/>
    <cellStyle name="Normal 2 2 2 2 3 3 2 2 3 3" xfId="28543"/>
    <cellStyle name="Normal 2 2 2 2 3 3 2 2 3 4" xfId="35512"/>
    <cellStyle name="Normal 2 2 2 2 3 3 2 2 4" xfId="12287"/>
    <cellStyle name="Normal 2 2 2 2 3 3 2 2 5" xfId="19254"/>
    <cellStyle name="Normal 2 2 2 2 3 3 2 2 6" xfId="26221"/>
    <cellStyle name="Normal 2 2 2 2 3 3 2 2 7" xfId="33189"/>
    <cellStyle name="Normal 2 2 2 2 3 3 2 3" xfId="8887"/>
    <cellStyle name="Normal 2 2 2 2 3 3 2 3 2" xfId="15939"/>
    <cellStyle name="Normal 2 2 2 2 3 3 2 3 3" xfId="22906"/>
    <cellStyle name="Normal 2 2 2 2 3 3 2 3 4" xfId="29873"/>
    <cellStyle name="Normal 2 2 2 2 3 3 2 3 5" xfId="36842"/>
    <cellStyle name="Normal 2 2 2 2 3 3 2 4" xfId="13617"/>
    <cellStyle name="Normal 2 2 2 2 3 3 2 4 2" xfId="20584"/>
    <cellStyle name="Normal 2 2 2 2 3 3 2 4 3" xfId="27551"/>
    <cellStyle name="Normal 2 2 2 2 3 3 2 4 4" xfId="34520"/>
    <cellStyle name="Normal 2 2 2 2 3 3 2 5" xfId="11295"/>
    <cellStyle name="Normal 2 2 2 2 3 3 2 6" xfId="18262"/>
    <cellStyle name="Normal 2 2 2 2 3 3 2 7" xfId="25229"/>
    <cellStyle name="Normal 2 2 2 2 3 3 2 8" xfId="32197"/>
    <cellStyle name="Normal 2 2 2 2 3 3 3" xfId="3455"/>
    <cellStyle name="Normal 2 2 2 2 3 3 3 2" xfId="5072"/>
    <cellStyle name="Normal 2 2 2 2 3 3 3 2 2" xfId="9932"/>
    <cellStyle name="Normal 2 2 2 2 3 3 3 2 2 2" xfId="16930"/>
    <cellStyle name="Normal 2 2 2 2 3 3 3 2 2 3" xfId="23897"/>
    <cellStyle name="Normal 2 2 2 2 3 3 3 2 2 4" xfId="30864"/>
    <cellStyle name="Normal 2 2 2 2 3 3 3 2 2 5" xfId="37833"/>
    <cellStyle name="Normal 2 2 2 2 3 3 3 2 3" xfId="14610"/>
    <cellStyle name="Normal 2 2 2 2 3 3 3 2 3 2" xfId="21577"/>
    <cellStyle name="Normal 2 2 2 2 3 3 3 2 3 3" xfId="28544"/>
    <cellStyle name="Normal 2 2 2 2 3 3 3 2 3 4" xfId="35513"/>
    <cellStyle name="Normal 2 2 2 2 3 3 3 2 4" xfId="12288"/>
    <cellStyle name="Normal 2 2 2 2 3 3 3 2 5" xfId="19255"/>
    <cellStyle name="Normal 2 2 2 2 3 3 3 2 6" xfId="26222"/>
    <cellStyle name="Normal 2 2 2 2 3 3 3 2 7" xfId="33190"/>
    <cellStyle name="Normal 2 2 2 2 3 3 3 3" xfId="9067"/>
    <cellStyle name="Normal 2 2 2 2 3 3 3 3 2" xfId="16106"/>
    <cellStyle name="Normal 2 2 2 2 3 3 3 3 3" xfId="23073"/>
    <cellStyle name="Normal 2 2 2 2 3 3 3 3 4" xfId="30040"/>
    <cellStyle name="Normal 2 2 2 2 3 3 3 3 5" xfId="37009"/>
    <cellStyle name="Normal 2 2 2 2 3 3 3 4" xfId="13786"/>
    <cellStyle name="Normal 2 2 2 2 3 3 3 4 2" xfId="20753"/>
    <cellStyle name="Normal 2 2 2 2 3 3 3 4 3" xfId="27720"/>
    <cellStyle name="Normal 2 2 2 2 3 3 3 4 4" xfId="34689"/>
    <cellStyle name="Normal 2 2 2 2 3 3 3 5" xfId="11464"/>
    <cellStyle name="Normal 2 2 2 2 3 3 3 6" xfId="18431"/>
    <cellStyle name="Normal 2 2 2 2 3 3 3 7" xfId="25398"/>
    <cellStyle name="Normal 2 2 2 2 3 3 3 8" xfId="32366"/>
    <cellStyle name="Normal 2 2 2 2 3 3 4" xfId="3630"/>
    <cellStyle name="Normal 2 2 2 2 3 3 4 2" xfId="5073"/>
    <cellStyle name="Normal 2 2 2 2 3 3 4 2 2" xfId="9933"/>
    <cellStyle name="Normal 2 2 2 2 3 3 4 2 2 2" xfId="16931"/>
    <cellStyle name="Normal 2 2 2 2 3 3 4 2 2 3" xfId="23898"/>
    <cellStyle name="Normal 2 2 2 2 3 3 4 2 2 4" xfId="30865"/>
    <cellStyle name="Normal 2 2 2 2 3 3 4 2 2 5" xfId="37834"/>
    <cellStyle name="Normal 2 2 2 2 3 3 4 2 3" xfId="14611"/>
    <cellStyle name="Normal 2 2 2 2 3 3 4 2 3 2" xfId="21578"/>
    <cellStyle name="Normal 2 2 2 2 3 3 4 2 3 3" xfId="28545"/>
    <cellStyle name="Normal 2 2 2 2 3 3 4 2 3 4" xfId="35514"/>
    <cellStyle name="Normal 2 2 2 2 3 3 4 2 4" xfId="12289"/>
    <cellStyle name="Normal 2 2 2 2 3 3 4 2 5" xfId="19256"/>
    <cellStyle name="Normal 2 2 2 2 3 3 4 2 6" xfId="26223"/>
    <cellStyle name="Normal 2 2 2 2 3 3 4 2 7" xfId="33191"/>
    <cellStyle name="Normal 2 2 2 2 3 3 4 3" xfId="9238"/>
    <cellStyle name="Normal 2 2 2 2 3 3 4 3 2" xfId="16277"/>
    <cellStyle name="Normal 2 2 2 2 3 3 4 3 3" xfId="23244"/>
    <cellStyle name="Normal 2 2 2 2 3 3 4 3 4" xfId="30211"/>
    <cellStyle name="Normal 2 2 2 2 3 3 4 3 5" xfId="37180"/>
    <cellStyle name="Normal 2 2 2 2 3 3 4 4" xfId="13957"/>
    <cellStyle name="Normal 2 2 2 2 3 3 4 4 2" xfId="20924"/>
    <cellStyle name="Normal 2 2 2 2 3 3 4 4 3" xfId="27891"/>
    <cellStyle name="Normal 2 2 2 2 3 3 4 4 4" xfId="34860"/>
    <cellStyle name="Normal 2 2 2 2 3 3 4 5" xfId="11635"/>
    <cellStyle name="Normal 2 2 2 2 3 3 4 6" xfId="18602"/>
    <cellStyle name="Normal 2 2 2 2 3 3 4 7" xfId="25569"/>
    <cellStyle name="Normal 2 2 2 2 3 3 4 8" xfId="32537"/>
    <cellStyle name="Normal 2 2 2 2 3 3 5" xfId="3907"/>
    <cellStyle name="Normal 2 2 2 2 3 3 5 2" xfId="5074"/>
    <cellStyle name="Normal 2 2 2 2 3 3 5 2 2" xfId="9934"/>
    <cellStyle name="Normal 2 2 2 2 3 3 5 2 2 2" xfId="16932"/>
    <cellStyle name="Normal 2 2 2 2 3 3 5 2 2 3" xfId="23899"/>
    <cellStyle name="Normal 2 2 2 2 3 3 5 2 2 4" xfId="30866"/>
    <cellStyle name="Normal 2 2 2 2 3 3 5 2 2 5" xfId="37835"/>
    <cellStyle name="Normal 2 2 2 2 3 3 5 2 3" xfId="14612"/>
    <cellStyle name="Normal 2 2 2 2 3 3 5 2 3 2" xfId="21579"/>
    <cellStyle name="Normal 2 2 2 2 3 3 5 2 3 3" xfId="28546"/>
    <cellStyle name="Normal 2 2 2 2 3 3 5 2 3 4" xfId="35515"/>
    <cellStyle name="Normal 2 2 2 2 3 3 5 2 4" xfId="12290"/>
    <cellStyle name="Normal 2 2 2 2 3 3 5 2 5" xfId="19257"/>
    <cellStyle name="Normal 2 2 2 2 3 3 5 2 6" xfId="26224"/>
    <cellStyle name="Normal 2 2 2 2 3 3 5 2 7" xfId="33192"/>
    <cellStyle name="Normal 2 2 2 2 3 3 5 3" xfId="9513"/>
    <cellStyle name="Normal 2 2 2 2 3 3 5 3 2" xfId="16549"/>
    <cellStyle name="Normal 2 2 2 2 3 3 5 3 3" xfId="23516"/>
    <cellStyle name="Normal 2 2 2 2 3 3 5 3 4" xfId="30483"/>
    <cellStyle name="Normal 2 2 2 2 3 3 5 3 5" xfId="37452"/>
    <cellStyle name="Normal 2 2 2 2 3 3 5 4" xfId="14229"/>
    <cellStyle name="Normal 2 2 2 2 3 3 5 4 2" xfId="21196"/>
    <cellStyle name="Normal 2 2 2 2 3 3 5 4 3" xfId="28163"/>
    <cellStyle name="Normal 2 2 2 2 3 3 5 4 4" xfId="35132"/>
    <cellStyle name="Normal 2 2 2 2 3 3 5 5" xfId="11907"/>
    <cellStyle name="Normal 2 2 2 2 3 3 5 6" xfId="18874"/>
    <cellStyle name="Normal 2 2 2 2 3 3 5 7" xfId="25841"/>
    <cellStyle name="Normal 2 2 2 2 3 3 5 8" xfId="32809"/>
    <cellStyle name="Normal 2 2 2 2 3 3 6" xfId="5070"/>
    <cellStyle name="Normal 2 2 2 2 3 3 6 2" xfId="9930"/>
    <cellStyle name="Normal 2 2 2 2 3 3 6 2 2" xfId="16928"/>
    <cellStyle name="Normal 2 2 2 2 3 3 6 2 3" xfId="23895"/>
    <cellStyle name="Normal 2 2 2 2 3 3 6 2 4" xfId="30862"/>
    <cellStyle name="Normal 2 2 2 2 3 3 6 2 5" xfId="37831"/>
    <cellStyle name="Normal 2 2 2 2 3 3 6 3" xfId="14608"/>
    <cellStyle name="Normal 2 2 2 2 3 3 6 3 2" xfId="21575"/>
    <cellStyle name="Normal 2 2 2 2 3 3 6 3 3" xfId="28542"/>
    <cellStyle name="Normal 2 2 2 2 3 3 6 3 4" xfId="35511"/>
    <cellStyle name="Normal 2 2 2 2 3 3 6 4" xfId="12286"/>
    <cellStyle name="Normal 2 2 2 2 3 3 6 5" xfId="19253"/>
    <cellStyle name="Normal 2 2 2 2 3 3 6 6" xfId="26220"/>
    <cellStyle name="Normal 2 2 2 2 3 3 6 7" xfId="33188"/>
    <cellStyle name="Normal 2 2 2 2 3 3 7" xfId="6801"/>
    <cellStyle name="Normal 2 2 2 2 3 3 7 2" xfId="10771"/>
    <cellStyle name="Normal 2 2 2 2 3 3 7 2 2" xfId="17745"/>
    <cellStyle name="Normal 2 2 2 2 3 3 7 2 3" xfId="24712"/>
    <cellStyle name="Normal 2 2 2 2 3 3 7 2 4" xfId="31679"/>
    <cellStyle name="Normal 2 2 2 2 3 3 7 2 5" xfId="38648"/>
    <cellStyle name="Normal 2 2 2 2 3 3 7 3" xfId="15425"/>
    <cellStyle name="Normal 2 2 2 2 3 3 7 3 2" xfId="22392"/>
    <cellStyle name="Normal 2 2 2 2 3 3 7 3 3" xfId="29359"/>
    <cellStyle name="Normal 2 2 2 2 3 3 7 3 4" xfId="36328"/>
    <cellStyle name="Normal 2 2 2 2 3 3 7 4" xfId="13103"/>
    <cellStyle name="Normal 2 2 2 2 3 3 7 5" xfId="20070"/>
    <cellStyle name="Normal 2 2 2 2 3 3 7 6" xfId="27037"/>
    <cellStyle name="Normal 2 2 2 2 3 3 7 7" xfId="34006"/>
    <cellStyle name="Normal 2 2 2 2 3 3 8" xfId="7114"/>
    <cellStyle name="Normal 2 2 2 2 3 3 8 2" xfId="15598"/>
    <cellStyle name="Normal 2 2 2 2 3 3 8 2 2" xfId="22565"/>
    <cellStyle name="Normal 2 2 2 2 3 3 8 2 3" xfId="29532"/>
    <cellStyle name="Normal 2 2 2 2 3 3 8 2 4" xfId="36501"/>
    <cellStyle name="Normal 2 2 2 2 3 3 8 3" xfId="13276"/>
    <cellStyle name="Normal 2 2 2 2 3 3 8 4" xfId="20243"/>
    <cellStyle name="Normal 2 2 2 2 3 3 8 5" xfId="27210"/>
    <cellStyle name="Normal 2 2 2 2 3 3 8 6" xfId="34179"/>
    <cellStyle name="Normal 2 2 2 2 3 3 9" xfId="7984"/>
    <cellStyle name="Normal 2 2 2 2 3 3 9 2" xfId="15770"/>
    <cellStyle name="Normal 2 2 2 2 3 3 9 2 2" xfId="22737"/>
    <cellStyle name="Normal 2 2 2 2 3 3 9 2 3" xfId="29704"/>
    <cellStyle name="Normal 2 2 2 2 3 3 9 2 4" xfId="36673"/>
    <cellStyle name="Normal 2 2 2 2 3 3 9 3" xfId="11126"/>
    <cellStyle name="Normal 2 2 2 2 3 3 9 4" xfId="18093"/>
    <cellStyle name="Normal 2 2 2 2 3 3 9 5" xfId="25060"/>
    <cellStyle name="Normal 2 2 2 2 3 3 9 6" xfId="32028"/>
    <cellStyle name="Normal 2 2 2 2 3 4" xfId="3251"/>
    <cellStyle name="Normal 2 2 2 2 3 4 2" xfId="3846"/>
    <cellStyle name="Normal 2 2 2 2 3 4 2 2" xfId="5076"/>
    <cellStyle name="Normal 2 2 2 2 3 4 2 2 2" xfId="9936"/>
    <cellStyle name="Normal 2 2 2 2 3 4 2 2 2 2" xfId="16934"/>
    <cellStyle name="Normal 2 2 2 2 3 4 2 2 2 3" xfId="23901"/>
    <cellStyle name="Normal 2 2 2 2 3 4 2 2 2 4" xfId="30868"/>
    <cellStyle name="Normal 2 2 2 2 3 4 2 2 2 5" xfId="37837"/>
    <cellStyle name="Normal 2 2 2 2 3 4 2 2 3" xfId="14614"/>
    <cellStyle name="Normal 2 2 2 2 3 4 2 2 3 2" xfId="21581"/>
    <cellStyle name="Normal 2 2 2 2 3 4 2 2 3 3" xfId="28548"/>
    <cellStyle name="Normal 2 2 2 2 3 4 2 2 3 4" xfId="35517"/>
    <cellStyle name="Normal 2 2 2 2 3 4 2 2 4" xfId="12292"/>
    <cellStyle name="Normal 2 2 2 2 3 4 2 2 5" xfId="19259"/>
    <cellStyle name="Normal 2 2 2 2 3 4 2 2 6" xfId="26226"/>
    <cellStyle name="Normal 2 2 2 2 3 4 2 2 7" xfId="33194"/>
    <cellStyle name="Normal 2 2 2 2 3 4 2 3" xfId="9452"/>
    <cellStyle name="Normal 2 2 2 2 3 4 2 3 2" xfId="16490"/>
    <cellStyle name="Normal 2 2 2 2 3 4 2 3 3" xfId="23457"/>
    <cellStyle name="Normal 2 2 2 2 3 4 2 3 4" xfId="30424"/>
    <cellStyle name="Normal 2 2 2 2 3 4 2 3 5" xfId="37393"/>
    <cellStyle name="Normal 2 2 2 2 3 4 2 4" xfId="14170"/>
    <cellStyle name="Normal 2 2 2 2 3 4 2 4 2" xfId="21137"/>
    <cellStyle name="Normal 2 2 2 2 3 4 2 4 3" xfId="28104"/>
    <cellStyle name="Normal 2 2 2 2 3 4 2 4 4" xfId="35073"/>
    <cellStyle name="Normal 2 2 2 2 3 4 2 5" xfId="11848"/>
    <cellStyle name="Normal 2 2 2 2 3 4 2 6" xfId="18815"/>
    <cellStyle name="Normal 2 2 2 2 3 4 2 7" xfId="25782"/>
    <cellStyle name="Normal 2 2 2 2 3 4 2 8" xfId="32750"/>
    <cellStyle name="Normal 2 2 2 2 3 4 3" xfId="5075"/>
    <cellStyle name="Normal 2 2 2 2 3 4 3 2" xfId="9935"/>
    <cellStyle name="Normal 2 2 2 2 3 4 3 2 2" xfId="16933"/>
    <cellStyle name="Normal 2 2 2 2 3 4 3 2 3" xfId="23900"/>
    <cellStyle name="Normal 2 2 2 2 3 4 3 2 4" xfId="30867"/>
    <cellStyle name="Normal 2 2 2 2 3 4 3 2 5" xfId="37836"/>
    <cellStyle name="Normal 2 2 2 2 3 4 3 3" xfId="14613"/>
    <cellStyle name="Normal 2 2 2 2 3 4 3 3 2" xfId="21580"/>
    <cellStyle name="Normal 2 2 2 2 3 4 3 3 3" xfId="28547"/>
    <cellStyle name="Normal 2 2 2 2 3 4 3 3 4" xfId="35516"/>
    <cellStyle name="Normal 2 2 2 2 3 4 3 4" xfId="12291"/>
    <cellStyle name="Normal 2 2 2 2 3 4 3 5" xfId="19258"/>
    <cellStyle name="Normal 2 2 2 2 3 4 3 6" xfId="26225"/>
    <cellStyle name="Normal 2 2 2 2 3 4 3 7" xfId="33193"/>
    <cellStyle name="Normal 2 2 2 2 3 4 4" xfId="8885"/>
    <cellStyle name="Normal 2 2 2 2 3 4 4 2" xfId="15937"/>
    <cellStyle name="Normal 2 2 2 2 3 4 4 3" xfId="22904"/>
    <cellStyle name="Normal 2 2 2 2 3 4 4 4" xfId="29871"/>
    <cellStyle name="Normal 2 2 2 2 3 4 4 5" xfId="36840"/>
    <cellStyle name="Normal 2 2 2 2 3 4 5" xfId="13615"/>
    <cellStyle name="Normal 2 2 2 2 3 4 5 2" xfId="20582"/>
    <cellStyle name="Normal 2 2 2 2 3 4 5 3" xfId="27549"/>
    <cellStyle name="Normal 2 2 2 2 3 4 5 4" xfId="34518"/>
    <cellStyle name="Normal 2 2 2 2 3 4 6" xfId="11293"/>
    <cellStyle name="Normal 2 2 2 2 3 4 7" xfId="18260"/>
    <cellStyle name="Normal 2 2 2 2 3 4 8" xfId="25227"/>
    <cellStyle name="Normal 2 2 2 2 3 4 9" xfId="32195"/>
    <cellStyle name="Normal 2 2 2 2 3 5" xfId="3453"/>
    <cellStyle name="Normal 2 2 2 2 3 5 2" xfId="5077"/>
    <cellStyle name="Normal 2 2 2 2 3 5 2 2" xfId="9937"/>
    <cellStyle name="Normal 2 2 2 2 3 5 2 2 2" xfId="16935"/>
    <cellStyle name="Normal 2 2 2 2 3 5 2 2 3" xfId="23902"/>
    <cellStyle name="Normal 2 2 2 2 3 5 2 2 4" xfId="30869"/>
    <cellStyle name="Normal 2 2 2 2 3 5 2 2 5" xfId="37838"/>
    <cellStyle name="Normal 2 2 2 2 3 5 2 3" xfId="14615"/>
    <cellStyle name="Normal 2 2 2 2 3 5 2 3 2" xfId="21582"/>
    <cellStyle name="Normal 2 2 2 2 3 5 2 3 3" xfId="28549"/>
    <cellStyle name="Normal 2 2 2 2 3 5 2 3 4" xfId="35518"/>
    <cellStyle name="Normal 2 2 2 2 3 5 2 4" xfId="12293"/>
    <cellStyle name="Normal 2 2 2 2 3 5 2 5" xfId="19260"/>
    <cellStyle name="Normal 2 2 2 2 3 5 2 6" xfId="26227"/>
    <cellStyle name="Normal 2 2 2 2 3 5 2 7" xfId="33195"/>
    <cellStyle name="Normal 2 2 2 2 3 5 3" xfId="9065"/>
    <cellStyle name="Normal 2 2 2 2 3 5 3 2" xfId="16104"/>
    <cellStyle name="Normal 2 2 2 2 3 5 3 3" xfId="23071"/>
    <cellStyle name="Normal 2 2 2 2 3 5 3 4" xfId="30038"/>
    <cellStyle name="Normal 2 2 2 2 3 5 3 5" xfId="37007"/>
    <cellStyle name="Normal 2 2 2 2 3 5 4" xfId="13784"/>
    <cellStyle name="Normal 2 2 2 2 3 5 4 2" xfId="20751"/>
    <cellStyle name="Normal 2 2 2 2 3 5 4 3" xfId="27718"/>
    <cellStyle name="Normal 2 2 2 2 3 5 4 4" xfId="34687"/>
    <cellStyle name="Normal 2 2 2 2 3 5 5" xfId="11462"/>
    <cellStyle name="Normal 2 2 2 2 3 5 6" xfId="18429"/>
    <cellStyle name="Normal 2 2 2 2 3 5 7" xfId="25396"/>
    <cellStyle name="Normal 2 2 2 2 3 5 8" xfId="32364"/>
    <cellStyle name="Normal 2 2 2 2 3 6" xfId="3628"/>
    <cellStyle name="Normal 2 2 2 2 3 6 2" xfId="5078"/>
    <cellStyle name="Normal 2 2 2 2 3 6 2 2" xfId="9938"/>
    <cellStyle name="Normal 2 2 2 2 3 6 2 2 2" xfId="16936"/>
    <cellStyle name="Normal 2 2 2 2 3 6 2 2 3" xfId="23903"/>
    <cellStyle name="Normal 2 2 2 2 3 6 2 2 4" xfId="30870"/>
    <cellStyle name="Normal 2 2 2 2 3 6 2 2 5" xfId="37839"/>
    <cellStyle name="Normal 2 2 2 2 3 6 2 3" xfId="14616"/>
    <cellStyle name="Normal 2 2 2 2 3 6 2 3 2" xfId="21583"/>
    <cellStyle name="Normal 2 2 2 2 3 6 2 3 3" xfId="28550"/>
    <cellStyle name="Normal 2 2 2 2 3 6 2 3 4" xfId="35519"/>
    <cellStyle name="Normal 2 2 2 2 3 6 2 4" xfId="12294"/>
    <cellStyle name="Normal 2 2 2 2 3 6 2 5" xfId="19261"/>
    <cellStyle name="Normal 2 2 2 2 3 6 2 6" xfId="26228"/>
    <cellStyle name="Normal 2 2 2 2 3 6 2 7" xfId="33196"/>
    <cellStyle name="Normal 2 2 2 2 3 6 3" xfId="9236"/>
    <cellStyle name="Normal 2 2 2 2 3 6 3 2" xfId="16275"/>
    <cellStyle name="Normal 2 2 2 2 3 6 3 3" xfId="23242"/>
    <cellStyle name="Normal 2 2 2 2 3 6 3 4" xfId="30209"/>
    <cellStyle name="Normal 2 2 2 2 3 6 3 5" xfId="37178"/>
    <cellStyle name="Normal 2 2 2 2 3 6 4" xfId="13955"/>
    <cellStyle name="Normal 2 2 2 2 3 6 4 2" xfId="20922"/>
    <cellStyle name="Normal 2 2 2 2 3 6 4 3" xfId="27889"/>
    <cellStyle name="Normal 2 2 2 2 3 6 4 4" xfId="34858"/>
    <cellStyle name="Normal 2 2 2 2 3 6 5" xfId="11633"/>
    <cellStyle name="Normal 2 2 2 2 3 6 6" xfId="18600"/>
    <cellStyle name="Normal 2 2 2 2 3 6 7" xfId="25567"/>
    <cellStyle name="Normal 2 2 2 2 3 6 8" xfId="32535"/>
    <cellStyle name="Normal 2 2 2 2 3 7" xfId="3905"/>
    <cellStyle name="Normal 2 2 2 2 3 7 2" xfId="5079"/>
    <cellStyle name="Normal 2 2 2 2 3 7 2 2" xfId="9939"/>
    <cellStyle name="Normal 2 2 2 2 3 7 2 2 2" xfId="16937"/>
    <cellStyle name="Normal 2 2 2 2 3 7 2 2 3" xfId="23904"/>
    <cellStyle name="Normal 2 2 2 2 3 7 2 2 4" xfId="30871"/>
    <cellStyle name="Normal 2 2 2 2 3 7 2 2 5" xfId="37840"/>
    <cellStyle name="Normal 2 2 2 2 3 7 2 3" xfId="14617"/>
    <cellStyle name="Normal 2 2 2 2 3 7 2 3 2" xfId="21584"/>
    <cellStyle name="Normal 2 2 2 2 3 7 2 3 3" xfId="28551"/>
    <cellStyle name="Normal 2 2 2 2 3 7 2 3 4" xfId="35520"/>
    <cellStyle name="Normal 2 2 2 2 3 7 2 4" xfId="12295"/>
    <cellStyle name="Normal 2 2 2 2 3 7 2 5" xfId="19262"/>
    <cellStyle name="Normal 2 2 2 2 3 7 2 6" xfId="26229"/>
    <cellStyle name="Normal 2 2 2 2 3 7 2 7" xfId="33197"/>
    <cellStyle name="Normal 2 2 2 2 3 7 3" xfId="9511"/>
    <cellStyle name="Normal 2 2 2 2 3 7 3 2" xfId="16547"/>
    <cellStyle name="Normal 2 2 2 2 3 7 3 3" xfId="23514"/>
    <cellStyle name="Normal 2 2 2 2 3 7 3 4" xfId="30481"/>
    <cellStyle name="Normal 2 2 2 2 3 7 3 5" xfId="37450"/>
    <cellStyle name="Normal 2 2 2 2 3 7 4" xfId="14227"/>
    <cellStyle name="Normal 2 2 2 2 3 7 4 2" xfId="21194"/>
    <cellStyle name="Normal 2 2 2 2 3 7 4 3" xfId="28161"/>
    <cellStyle name="Normal 2 2 2 2 3 7 4 4" xfId="35130"/>
    <cellStyle name="Normal 2 2 2 2 3 7 5" xfId="11905"/>
    <cellStyle name="Normal 2 2 2 2 3 7 6" xfId="18872"/>
    <cellStyle name="Normal 2 2 2 2 3 7 7" xfId="25839"/>
    <cellStyle name="Normal 2 2 2 2 3 7 8" xfId="32807"/>
    <cellStyle name="Normal 2 2 2 2 3 8" xfId="5063"/>
    <cellStyle name="Normal 2 2 2 2 3 8 2" xfId="9923"/>
    <cellStyle name="Normal 2 2 2 2 3 8 2 2" xfId="16921"/>
    <cellStyle name="Normal 2 2 2 2 3 8 2 3" xfId="23888"/>
    <cellStyle name="Normal 2 2 2 2 3 8 2 4" xfId="30855"/>
    <cellStyle name="Normal 2 2 2 2 3 8 2 5" xfId="37824"/>
    <cellStyle name="Normal 2 2 2 2 3 8 3" xfId="14601"/>
    <cellStyle name="Normal 2 2 2 2 3 8 3 2" xfId="21568"/>
    <cellStyle name="Normal 2 2 2 2 3 8 3 3" xfId="28535"/>
    <cellStyle name="Normal 2 2 2 2 3 8 3 4" xfId="35504"/>
    <cellStyle name="Normal 2 2 2 2 3 8 4" xfId="12279"/>
    <cellStyle name="Normal 2 2 2 2 3 8 5" xfId="19246"/>
    <cellStyle name="Normal 2 2 2 2 3 8 6" xfId="26213"/>
    <cellStyle name="Normal 2 2 2 2 3 8 7" xfId="33181"/>
    <cellStyle name="Normal 2 2 2 2 3 9" xfId="6799"/>
    <cellStyle name="Normal 2 2 2 2 3 9 2" xfId="10769"/>
    <cellStyle name="Normal 2 2 2 2 3 9 2 2" xfId="17743"/>
    <cellStyle name="Normal 2 2 2 2 3 9 2 3" xfId="24710"/>
    <cellStyle name="Normal 2 2 2 2 3 9 2 4" xfId="31677"/>
    <cellStyle name="Normal 2 2 2 2 3 9 2 5" xfId="38646"/>
    <cellStyle name="Normal 2 2 2 2 3 9 3" xfId="15423"/>
    <cellStyle name="Normal 2 2 2 2 3 9 3 2" xfId="22390"/>
    <cellStyle name="Normal 2 2 2 2 3 9 3 3" xfId="29357"/>
    <cellStyle name="Normal 2 2 2 2 3 9 3 4" xfId="36326"/>
    <cellStyle name="Normal 2 2 2 2 3 9 4" xfId="13101"/>
    <cellStyle name="Normal 2 2 2 2 3 9 5" xfId="20068"/>
    <cellStyle name="Normal 2 2 2 2 3 9 6" xfId="27035"/>
    <cellStyle name="Normal 2 2 2 2 3 9 7" xfId="34004"/>
    <cellStyle name="Normal 2 2 2 2 4" xfId="1621"/>
    <cellStyle name="Normal 2 2 2 2 4 2" xfId="1622"/>
    <cellStyle name="Normal 2 2 2 2 4 2 2" xfId="3844"/>
    <cellStyle name="Normal 2 2 2 2 4 2 2 2" xfId="5082"/>
    <cellStyle name="Normal 2 2 2 2 4 2 2 2 2" xfId="9940"/>
    <cellStyle name="Normal 2 2 2 2 4 2 2 2 2 2" xfId="16938"/>
    <cellStyle name="Normal 2 2 2 2 4 2 2 2 2 3" xfId="23905"/>
    <cellStyle name="Normal 2 2 2 2 4 2 2 2 2 4" xfId="30872"/>
    <cellStyle name="Normal 2 2 2 2 4 2 2 2 2 5" xfId="37841"/>
    <cellStyle name="Normal 2 2 2 2 4 2 2 2 3" xfId="14618"/>
    <cellStyle name="Normal 2 2 2 2 4 2 2 2 3 2" xfId="21585"/>
    <cellStyle name="Normal 2 2 2 2 4 2 2 2 3 3" xfId="28552"/>
    <cellStyle name="Normal 2 2 2 2 4 2 2 2 3 4" xfId="35521"/>
    <cellStyle name="Normal 2 2 2 2 4 2 2 2 4" xfId="12296"/>
    <cellStyle name="Normal 2 2 2 2 4 2 2 2 5" xfId="19263"/>
    <cellStyle name="Normal 2 2 2 2 4 2 2 2 6" xfId="26230"/>
    <cellStyle name="Normal 2 2 2 2 4 2 2 2 7" xfId="33198"/>
    <cellStyle name="Normal 2 2 2 2 4 2 2 3" xfId="9450"/>
    <cellStyle name="Normal 2 2 2 2 4 2 2 3 2" xfId="16488"/>
    <cellStyle name="Normal 2 2 2 2 4 2 2 3 3" xfId="23455"/>
    <cellStyle name="Normal 2 2 2 2 4 2 2 3 4" xfId="30422"/>
    <cellStyle name="Normal 2 2 2 2 4 2 2 3 5" xfId="37391"/>
    <cellStyle name="Normal 2 2 2 2 4 2 2 4" xfId="14168"/>
    <cellStyle name="Normal 2 2 2 2 4 2 2 4 2" xfId="21135"/>
    <cellStyle name="Normal 2 2 2 2 4 2 2 4 3" xfId="28102"/>
    <cellStyle name="Normal 2 2 2 2 4 2 2 4 4" xfId="35071"/>
    <cellStyle name="Normal 2 2 2 2 4 2 2 5" xfId="11846"/>
    <cellStyle name="Normal 2 2 2 2 4 2 2 6" xfId="18813"/>
    <cellStyle name="Normal 2 2 2 2 4 2 2 7" xfId="25780"/>
    <cellStyle name="Normal 2 2 2 2 4 2 2 8" xfId="32748"/>
    <cellStyle name="Normal 2 2 2 2 4 2 3" xfId="5081"/>
    <cellStyle name="Normal 2 2 2 2 4 2 4" xfId="7986"/>
    <cellStyle name="Normal 2 2 2 2 4 3" xfId="1623"/>
    <cellStyle name="Normal 2 2 2 2 4 3 10" xfId="13449"/>
    <cellStyle name="Normal 2 2 2 2 4 3 10 2" xfId="20416"/>
    <cellStyle name="Normal 2 2 2 2 4 3 10 3" xfId="27383"/>
    <cellStyle name="Normal 2 2 2 2 4 3 10 4" xfId="34352"/>
    <cellStyle name="Normal 2 2 2 2 4 3 11" xfId="10955"/>
    <cellStyle name="Normal 2 2 2 2 4 3 12" xfId="17921"/>
    <cellStyle name="Normal 2 2 2 2 4 3 13" xfId="24889"/>
    <cellStyle name="Normal 2 2 2 2 4 3 14" xfId="31857"/>
    <cellStyle name="Normal 2 2 2 2 4 3 2" xfId="3254"/>
    <cellStyle name="Normal 2 2 2 2 4 3 2 2" xfId="5084"/>
    <cellStyle name="Normal 2 2 2 2 4 3 2 2 2" xfId="9942"/>
    <cellStyle name="Normal 2 2 2 2 4 3 2 2 2 2" xfId="16940"/>
    <cellStyle name="Normal 2 2 2 2 4 3 2 2 2 3" xfId="23907"/>
    <cellStyle name="Normal 2 2 2 2 4 3 2 2 2 4" xfId="30874"/>
    <cellStyle name="Normal 2 2 2 2 4 3 2 2 2 5" xfId="37843"/>
    <cellStyle name="Normal 2 2 2 2 4 3 2 2 3" xfId="14620"/>
    <cellStyle name="Normal 2 2 2 2 4 3 2 2 3 2" xfId="21587"/>
    <cellStyle name="Normal 2 2 2 2 4 3 2 2 3 3" xfId="28554"/>
    <cellStyle name="Normal 2 2 2 2 4 3 2 2 3 4" xfId="35523"/>
    <cellStyle name="Normal 2 2 2 2 4 3 2 2 4" xfId="12298"/>
    <cellStyle name="Normal 2 2 2 2 4 3 2 2 5" xfId="19265"/>
    <cellStyle name="Normal 2 2 2 2 4 3 2 2 6" xfId="26232"/>
    <cellStyle name="Normal 2 2 2 2 4 3 2 2 7" xfId="33200"/>
    <cellStyle name="Normal 2 2 2 2 4 3 2 3" xfId="8888"/>
    <cellStyle name="Normal 2 2 2 2 4 3 2 3 2" xfId="15940"/>
    <cellStyle name="Normal 2 2 2 2 4 3 2 3 3" xfId="22907"/>
    <cellStyle name="Normal 2 2 2 2 4 3 2 3 4" xfId="29874"/>
    <cellStyle name="Normal 2 2 2 2 4 3 2 3 5" xfId="36843"/>
    <cellStyle name="Normal 2 2 2 2 4 3 2 4" xfId="13618"/>
    <cellStyle name="Normal 2 2 2 2 4 3 2 4 2" xfId="20585"/>
    <cellStyle name="Normal 2 2 2 2 4 3 2 4 3" xfId="27552"/>
    <cellStyle name="Normal 2 2 2 2 4 3 2 4 4" xfId="34521"/>
    <cellStyle name="Normal 2 2 2 2 4 3 2 5" xfId="11296"/>
    <cellStyle name="Normal 2 2 2 2 4 3 2 6" xfId="18263"/>
    <cellStyle name="Normal 2 2 2 2 4 3 2 7" xfId="25230"/>
    <cellStyle name="Normal 2 2 2 2 4 3 2 8" xfId="32198"/>
    <cellStyle name="Normal 2 2 2 2 4 3 3" xfId="3456"/>
    <cellStyle name="Normal 2 2 2 2 4 3 3 2" xfId="5085"/>
    <cellStyle name="Normal 2 2 2 2 4 3 3 2 2" xfId="9943"/>
    <cellStyle name="Normal 2 2 2 2 4 3 3 2 2 2" xfId="16941"/>
    <cellStyle name="Normal 2 2 2 2 4 3 3 2 2 3" xfId="23908"/>
    <cellStyle name="Normal 2 2 2 2 4 3 3 2 2 4" xfId="30875"/>
    <cellStyle name="Normal 2 2 2 2 4 3 3 2 2 5" xfId="37844"/>
    <cellStyle name="Normal 2 2 2 2 4 3 3 2 3" xfId="14621"/>
    <cellStyle name="Normal 2 2 2 2 4 3 3 2 3 2" xfId="21588"/>
    <cellStyle name="Normal 2 2 2 2 4 3 3 2 3 3" xfId="28555"/>
    <cellStyle name="Normal 2 2 2 2 4 3 3 2 3 4" xfId="35524"/>
    <cellStyle name="Normal 2 2 2 2 4 3 3 2 4" xfId="12299"/>
    <cellStyle name="Normal 2 2 2 2 4 3 3 2 5" xfId="19266"/>
    <cellStyle name="Normal 2 2 2 2 4 3 3 2 6" xfId="26233"/>
    <cellStyle name="Normal 2 2 2 2 4 3 3 2 7" xfId="33201"/>
    <cellStyle name="Normal 2 2 2 2 4 3 3 3" xfId="9068"/>
    <cellStyle name="Normal 2 2 2 2 4 3 3 3 2" xfId="16107"/>
    <cellStyle name="Normal 2 2 2 2 4 3 3 3 3" xfId="23074"/>
    <cellStyle name="Normal 2 2 2 2 4 3 3 3 4" xfId="30041"/>
    <cellStyle name="Normal 2 2 2 2 4 3 3 3 5" xfId="37010"/>
    <cellStyle name="Normal 2 2 2 2 4 3 3 4" xfId="13787"/>
    <cellStyle name="Normal 2 2 2 2 4 3 3 4 2" xfId="20754"/>
    <cellStyle name="Normal 2 2 2 2 4 3 3 4 3" xfId="27721"/>
    <cellStyle name="Normal 2 2 2 2 4 3 3 4 4" xfId="34690"/>
    <cellStyle name="Normal 2 2 2 2 4 3 3 5" xfId="11465"/>
    <cellStyle name="Normal 2 2 2 2 4 3 3 6" xfId="18432"/>
    <cellStyle name="Normal 2 2 2 2 4 3 3 7" xfId="25399"/>
    <cellStyle name="Normal 2 2 2 2 4 3 3 8" xfId="32367"/>
    <cellStyle name="Normal 2 2 2 2 4 3 4" xfId="3631"/>
    <cellStyle name="Normal 2 2 2 2 4 3 4 2" xfId="5086"/>
    <cellStyle name="Normal 2 2 2 2 4 3 4 2 2" xfId="9944"/>
    <cellStyle name="Normal 2 2 2 2 4 3 4 2 2 2" xfId="16942"/>
    <cellStyle name="Normal 2 2 2 2 4 3 4 2 2 3" xfId="23909"/>
    <cellStyle name="Normal 2 2 2 2 4 3 4 2 2 4" xfId="30876"/>
    <cellStyle name="Normal 2 2 2 2 4 3 4 2 2 5" xfId="37845"/>
    <cellStyle name="Normal 2 2 2 2 4 3 4 2 3" xfId="14622"/>
    <cellStyle name="Normal 2 2 2 2 4 3 4 2 3 2" xfId="21589"/>
    <cellStyle name="Normal 2 2 2 2 4 3 4 2 3 3" xfId="28556"/>
    <cellStyle name="Normal 2 2 2 2 4 3 4 2 3 4" xfId="35525"/>
    <cellStyle name="Normal 2 2 2 2 4 3 4 2 4" xfId="12300"/>
    <cellStyle name="Normal 2 2 2 2 4 3 4 2 5" xfId="19267"/>
    <cellStyle name="Normal 2 2 2 2 4 3 4 2 6" xfId="26234"/>
    <cellStyle name="Normal 2 2 2 2 4 3 4 2 7" xfId="33202"/>
    <cellStyle name="Normal 2 2 2 2 4 3 4 3" xfId="9239"/>
    <cellStyle name="Normal 2 2 2 2 4 3 4 3 2" xfId="16278"/>
    <cellStyle name="Normal 2 2 2 2 4 3 4 3 3" xfId="23245"/>
    <cellStyle name="Normal 2 2 2 2 4 3 4 3 4" xfId="30212"/>
    <cellStyle name="Normal 2 2 2 2 4 3 4 3 5" xfId="37181"/>
    <cellStyle name="Normal 2 2 2 2 4 3 4 4" xfId="13958"/>
    <cellStyle name="Normal 2 2 2 2 4 3 4 4 2" xfId="20925"/>
    <cellStyle name="Normal 2 2 2 2 4 3 4 4 3" xfId="27892"/>
    <cellStyle name="Normal 2 2 2 2 4 3 4 4 4" xfId="34861"/>
    <cellStyle name="Normal 2 2 2 2 4 3 4 5" xfId="11636"/>
    <cellStyle name="Normal 2 2 2 2 4 3 4 6" xfId="18603"/>
    <cellStyle name="Normal 2 2 2 2 4 3 4 7" xfId="25570"/>
    <cellStyle name="Normal 2 2 2 2 4 3 4 8" xfId="32538"/>
    <cellStyle name="Normal 2 2 2 2 4 3 5" xfId="3908"/>
    <cellStyle name="Normal 2 2 2 2 4 3 5 2" xfId="5087"/>
    <cellStyle name="Normal 2 2 2 2 4 3 5 2 2" xfId="9945"/>
    <cellStyle name="Normal 2 2 2 2 4 3 5 2 2 2" xfId="16943"/>
    <cellStyle name="Normal 2 2 2 2 4 3 5 2 2 3" xfId="23910"/>
    <cellStyle name="Normal 2 2 2 2 4 3 5 2 2 4" xfId="30877"/>
    <cellStyle name="Normal 2 2 2 2 4 3 5 2 2 5" xfId="37846"/>
    <cellStyle name="Normal 2 2 2 2 4 3 5 2 3" xfId="14623"/>
    <cellStyle name="Normal 2 2 2 2 4 3 5 2 3 2" xfId="21590"/>
    <cellStyle name="Normal 2 2 2 2 4 3 5 2 3 3" xfId="28557"/>
    <cellStyle name="Normal 2 2 2 2 4 3 5 2 3 4" xfId="35526"/>
    <cellStyle name="Normal 2 2 2 2 4 3 5 2 4" xfId="12301"/>
    <cellStyle name="Normal 2 2 2 2 4 3 5 2 5" xfId="19268"/>
    <cellStyle name="Normal 2 2 2 2 4 3 5 2 6" xfId="26235"/>
    <cellStyle name="Normal 2 2 2 2 4 3 5 2 7" xfId="33203"/>
    <cellStyle name="Normal 2 2 2 2 4 3 5 3" xfId="9514"/>
    <cellStyle name="Normal 2 2 2 2 4 3 5 3 2" xfId="16550"/>
    <cellStyle name="Normal 2 2 2 2 4 3 5 3 3" xfId="23517"/>
    <cellStyle name="Normal 2 2 2 2 4 3 5 3 4" xfId="30484"/>
    <cellStyle name="Normal 2 2 2 2 4 3 5 3 5" xfId="37453"/>
    <cellStyle name="Normal 2 2 2 2 4 3 5 4" xfId="14230"/>
    <cellStyle name="Normal 2 2 2 2 4 3 5 4 2" xfId="21197"/>
    <cellStyle name="Normal 2 2 2 2 4 3 5 4 3" xfId="28164"/>
    <cellStyle name="Normal 2 2 2 2 4 3 5 4 4" xfId="35133"/>
    <cellStyle name="Normal 2 2 2 2 4 3 5 5" xfId="11908"/>
    <cellStyle name="Normal 2 2 2 2 4 3 5 6" xfId="18875"/>
    <cellStyle name="Normal 2 2 2 2 4 3 5 7" xfId="25842"/>
    <cellStyle name="Normal 2 2 2 2 4 3 5 8" xfId="32810"/>
    <cellStyle name="Normal 2 2 2 2 4 3 6" xfId="5083"/>
    <cellStyle name="Normal 2 2 2 2 4 3 6 2" xfId="9941"/>
    <cellStyle name="Normal 2 2 2 2 4 3 6 2 2" xfId="16939"/>
    <cellStyle name="Normal 2 2 2 2 4 3 6 2 3" xfId="23906"/>
    <cellStyle name="Normal 2 2 2 2 4 3 6 2 4" xfId="30873"/>
    <cellStyle name="Normal 2 2 2 2 4 3 6 2 5" xfId="37842"/>
    <cellStyle name="Normal 2 2 2 2 4 3 6 3" xfId="14619"/>
    <cellStyle name="Normal 2 2 2 2 4 3 6 3 2" xfId="21586"/>
    <cellStyle name="Normal 2 2 2 2 4 3 6 3 3" xfId="28553"/>
    <cellStyle name="Normal 2 2 2 2 4 3 6 3 4" xfId="35522"/>
    <cellStyle name="Normal 2 2 2 2 4 3 6 4" xfId="12297"/>
    <cellStyle name="Normal 2 2 2 2 4 3 6 5" xfId="19264"/>
    <cellStyle name="Normal 2 2 2 2 4 3 6 6" xfId="26231"/>
    <cellStyle name="Normal 2 2 2 2 4 3 6 7" xfId="33199"/>
    <cellStyle name="Normal 2 2 2 2 4 3 7" xfId="6802"/>
    <cellStyle name="Normal 2 2 2 2 4 3 7 2" xfId="10772"/>
    <cellStyle name="Normal 2 2 2 2 4 3 7 2 2" xfId="17746"/>
    <cellStyle name="Normal 2 2 2 2 4 3 7 2 3" xfId="24713"/>
    <cellStyle name="Normal 2 2 2 2 4 3 7 2 4" xfId="31680"/>
    <cellStyle name="Normal 2 2 2 2 4 3 7 2 5" xfId="38649"/>
    <cellStyle name="Normal 2 2 2 2 4 3 7 3" xfId="15426"/>
    <cellStyle name="Normal 2 2 2 2 4 3 7 3 2" xfId="22393"/>
    <cellStyle name="Normal 2 2 2 2 4 3 7 3 3" xfId="29360"/>
    <cellStyle name="Normal 2 2 2 2 4 3 7 3 4" xfId="36329"/>
    <cellStyle name="Normal 2 2 2 2 4 3 7 4" xfId="13104"/>
    <cellStyle name="Normal 2 2 2 2 4 3 7 5" xfId="20071"/>
    <cellStyle name="Normal 2 2 2 2 4 3 7 6" xfId="27038"/>
    <cellStyle name="Normal 2 2 2 2 4 3 7 7" xfId="34007"/>
    <cellStyle name="Normal 2 2 2 2 4 3 8" xfId="7115"/>
    <cellStyle name="Normal 2 2 2 2 4 3 8 2" xfId="15599"/>
    <cellStyle name="Normal 2 2 2 2 4 3 8 2 2" xfId="22566"/>
    <cellStyle name="Normal 2 2 2 2 4 3 8 2 3" xfId="29533"/>
    <cellStyle name="Normal 2 2 2 2 4 3 8 2 4" xfId="36502"/>
    <cellStyle name="Normal 2 2 2 2 4 3 8 3" xfId="13277"/>
    <cellStyle name="Normal 2 2 2 2 4 3 8 4" xfId="20244"/>
    <cellStyle name="Normal 2 2 2 2 4 3 8 5" xfId="27211"/>
    <cellStyle name="Normal 2 2 2 2 4 3 8 6" xfId="34180"/>
    <cellStyle name="Normal 2 2 2 2 4 3 9" xfId="7987"/>
    <cellStyle name="Normal 2 2 2 2 4 3 9 2" xfId="15771"/>
    <cellStyle name="Normal 2 2 2 2 4 3 9 2 2" xfId="22738"/>
    <cellStyle name="Normal 2 2 2 2 4 3 9 2 3" xfId="29705"/>
    <cellStyle name="Normal 2 2 2 2 4 3 9 2 4" xfId="36674"/>
    <cellStyle name="Normal 2 2 2 2 4 3 9 3" xfId="11127"/>
    <cellStyle name="Normal 2 2 2 2 4 3 9 4" xfId="18094"/>
    <cellStyle name="Normal 2 2 2 2 4 3 9 5" xfId="25061"/>
    <cellStyle name="Normal 2 2 2 2 4 3 9 6" xfId="32029"/>
    <cellStyle name="Normal 2 2 2 2 4 4" xfId="5080"/>
    <cellStyle name="Normal 2 2 2 2 4 5" xfId="7985"/>
    <cellStyle name="Normal 2 2 2 2 5" xfId="3843"/>
    <cellStyle name="Normal 2 2 2 2 5 2" xfId="5088"/>
    <cellStyle name="Normal 2 2 2 2 5 2 2" xfId="9946"/>
    <cellStyle name="Normal 2 2 2 2 5 2 2 2" xfId="16944"/>
    <cellStyle name="Normal 2 2 2 2 5 2 2 3" xfId="23911"/>
    <cellStyle name="Normal 2 2 2 2 5 2 2 4" xfId="30878"/>
    <cellStyle name="Normal 2 2 2 2 5 2 2 5" xfId="37847"/>
    <cellStyle name="Normal 2 2 2 2 5 2 3" xfId="14624"/>
    <cellStyle name="Normal 2 2 2 2 5 2 3 2" xfId="21591"/>
    <cellStyle name="Normal 2 2 2 2 5 2 3 3" xfId="28558"/>
    <cellStyle name="Normal 2 2 2 2 5 2 3 4" xfId="35527"/>
    <cellStyle name="Normal 2 2 2 2 5 2 4" xfId="12302"/>
    <cellStyle name="Normal 2 2 2 2 5 2 5" xfId="19269"/>
    <cellStyle name="Normal 2 2 2 2 5 2 6" xfId="26236"/>
    <cellStyle name="Normal 2 2 2 2 5 2 7" xfId="33204"/>
    <cellStyle name="Normal 2 2 2 2 5 3" xfId="9449"/>
    <cellStyle name="Normal 2 2 2 2 5 3 2" xfId="16487"/>
    <cellStyle name="Normal 2 2 2 2 5 3 3" xfId="23454"/>
    <cellStyle name="Normal 2 2 2 2 5 3 4" xfId="30421"/>
    <cellStyle name="Normal 2 2 2 2 5 3 5" xfId="37390"/>
    <cellStyle name="Normal 2 2 2 2 5 4" xfId="14167"/>
    <cellStyle name="Normal 2 2 2 2 5 4 2" xfId="21134"/>
    <cellStyle name="Normal 2 2 2 2 5 4 3" xfId="28101"/>
    <cellStyle name="Normal 2 2 2 2 5 4 4" xfId="35070"/>
    <cellStyle name="Normal 2 2 2 2 5 5" xfId="11845"/>
    <cellStyle name="Normal 2 2 2 2 5 6" xfId="18812"/>
    <cellStyle name="Normal 2 2 2 2 5 7" xfId="25779"/>
    <cellStyle name="Normal 2 2 2 2 5 8" xfId="32747"/>
    <cellStyle name="Normal 2 2 2 2 6" xfId="3849"/>
    <cellStyle name="Normal 2 2 2 2 6 2" xfId="5089"/>
    <cellStyle name="Normal 2 2 2 2 6 2 2" xfId="9947"/>
    <cellStyle name="Normal 2 2 2 2 6 2 2 2" xfId="16945"/>
    <cellStyle name="Normal 2 2 2 2 6 2 2 3" xfId="23912"/>
    <cellStyle name="Normal 2 2 2 2 6 2 2 4" xfId="30879"/>
    <cellStyle name="Normal 2 2 2 2 6 2 2 5" xfId="37848"/>
    <cellStyle name="Normal 2 2 2 2 6 2 3" xfId="14625"/>
    <cellStyle name="Normal 2 2 2 2 6 2 3 2" xfId="21592"/>
    <cellStyle name="Normal 2 2 2 2 6 2 3 3" xfId="28559"/>
    <cellStyle name="Normal 2 2 2 2 6 2 3 4" xfId="35528"/>
    <cellStyle name="Normal 2 2 2 2 6 2 4" xfId="12303"/>
    <cellStyle name="Normal 2 2 2 2 6 2 5" xfId="19270"/>
    <cellStyle name="Normal 2 2 2 2 6 2 6" xfId="26237"/>
    <cellStyle name="Normal 2 2 2 2 6 2 7" xfId="33205"/>
    <cellStyle name="Normal 2 2 2 2 6 3" xfId="9455"/>
    <cellStyle name="Normal 2 2 2 2 6 3 2" xfId="16493"/>
    <cellStyle name="Normal 2 2 2 2 6 3 3" xfId="23460"/>
    <cellStyle name="Normal 2 2 2 2 6 3 4" xfId="30427"/>
    <cellStyle name="Normal 2 2 2 2 6 3 5" xfId="37396"/>
    <cellStyle name="Normal 2 2 2 2 6 4" xfId="14173"/>
    <cellStyle name="Normal 2 2 2 2 6 4 2" xfId="21140"/>
    <cellStyle name="Normal 2 2 2 2 6 4 3" xfId="28107"/>
    <cellStyle name="Normal 2 2 2 2 6 4 4" xfId="35076"/>
    <cellStyle name="Normal 2 2 2 2 6 5" xfId="11851"/>
    <cellStyle name="Normal 2 2 2 2 6 6" xfId="18818"/>
    <cellStyle name="Normal 2 2 2 2 6 7" xfId="25785"/>
    <cellStyle name="Normal 2 2 2 2 6 8" xfId="32753"/>
    <cellStyle name="Normal 2 2 2 2 7" xfId="4104"/>
    <cellStyle name="Normal 2 2 2 2 8" xfId="7978"/>
    <cellStyle name="Normal 2 2 2 3" xfId="1624"/>
    <cellStyle name="Normal 2 2 2 3 10" xfId="7988"/>
    <cellStyle name="Normal 2 2 2 3 10 2" xfId="15772"/>
    <cellStyle name="Normal 2 2 2 3 10 2 2" xfId="22739"/>
    <cellStyle name="Normal 2 2 2 3 10 2 3" xfId="29706"/>
    <cellStyle name="Normal 2 2 2 3 10 2 4" xfId="36675"/>
    <cellStyle name="Normal 2 2 2 3 10 3" xfId="11128"/>
    <cellStyle name="Normal 2 2 2 3 10 4" xfId="18095"/>
    <cellStyle name="Normal 2 2 2 3 10 5" xfId="25062"/>
    <cellStyle name="Normal 2 2 2 3 10 6" xfId="32030"/>
    <cellStyle name="Normal 2 2 2 3 11" xfId="13450"/>
    <cellStyle name="Normal 2 2 2 3 11 2" xfId="20417"/>
    <cellStyle name="Normal 2 2 2 3 11 3" xfId="27384"/>
    <cellStyle name="Normal 2 2 2 3 11 4" xfId="34353"/>
    <cellStyle name="Normal 2 2 2 3 12" xfId="10956"/>
    <cellStyle name="Normal 2 2 2 3 13" xfId="17922"/>
    <cellStyle name="Normal 2 2 2 3 14" xfId="24890"/>
    <cellStyle name="Normal 2 2 2 3 15" xfId="31858"/>
    <cellStyle name="Normal 2 2 2 3 2" xfId="1625"/>
    <cellStyle name="Normal 2 2 2 3 2 2" xfId="3841"/>
    <cellStyle name="Normal 2 2 2 3 2 2 2" xfId="5092"/>
    <cellStyle name="Normal 2 2 2 3 2 2 2 2" xfId="9948"/>
    <cellStyle name="Normal 2 2 2 3 2 2 2 2 2" xfId="16946"/>
    <cellStyle name="Normal 2 2 2 3 2 2 2 2 3" xfId="23913"/>
    <cellStyle name="Normal 2 2 2 3 2 2 2 2 4" xfId="30880"/>
    <cellStyle name="Normal 2 2 2 3 2 2 2 2 5" xfId="37849"/>
    <cellStyle name="Normal 2 2 2 3 2 2 2 3" xfId="14626"/>
    <cellStyle name="Normal 2 2 2 3 2 2 2 3 2" xfId="21593"/>
    <cellStyle name="Normal 2 2 2 3 2 2 2 3 3" xfId="28560"/>
    <cellStyle name="Normal 2 2 2 3 2 2 2 3 4" xfId="35529"/>
    <cellStyle name="Normal 2 2 2 3 2 2 2 4" xfId="12304"/>
    <cellStyle name="Normal 2 2 2 3 2 2 2 5" xfId="19271"/>
    <cellStyle name="Normal 2 2 2 3 2 2 2 6" xfId="26238"/>
    <cellStyle name="Normal 2 2 2 3 2 2 2 7" xfId="33206"/>
    <cellStyle name="Normal 2 2 2 3 2 2 3" xfId="9447"/>
    <cellStyle name="Normal 2 2 2 3 2 2 3 2" xfId="16485"/>
    <cellStyle name="Normal 2 2 2 3 2 2 3 3" xfId="23452"/>
    <cellStyle name="Normal 2 2 2 3 2 2 3 4" xfId="30419"/>
    <cellStyle name="Normal 2 2 2 3 2 2 3 5" xfId="37388"/>
    <cellStyle name="Normal 2 2 2 3 2 2 4" xfId="14165"/>
    <cellStyle name="Normal 2 2 2 3 2 2 4 2" xfId="21132"/>
    <cellStyle name="Normal 2 2 2 3 2 2 4 3" xfId="28099"/>
    <cellStyle name="Normal 2 2 2 3 2 2 4 4" xfId="35068"/>
    <cellStyle name="Normal 2 2 2 3 2 2 5" xfId="11843"/>
    <cellStyle name="Normal 2 2 2 3 2 2 6" xfId="18810"/>
    <cellStyle name="Normal 2 2 2 3 2 2 7" xfId="25777"/>
    <cellStyle name="Normal 2 2 2 3 2 2 8" xfId="32745"/>
    <cellStyle name="Normal 2 2 2 3 2 3" xfId="5091"/>
    <cellStyle name="Normal 2 2 2 3 2 4" xfId="7989"/>
    <cellStyle name="Normal 2 2 2 3 3" xfId="1626"/>
    <cellStyle name="Normal 2 2 2 3 3 10" xfId="7990"/>
    <cellStyle name="Normal 2 2 2 3 3 10 2" xfId="15773"/>
    <cellStyle name="Normal 2 2 2 3 3 10 2 2" xfId="22740"/>
    <cellStyle name="Normal 2 2 2 3 3 10 2 3" xfId="29707"/>
    <cellStyle name="Normal 2 2 2 3 3 10 2 4" xfId="36676"/>
    <cellStyle name="Normal 2 2 2 3 3 10 3" xfId="11129"/>
    <cellStyle name="Normal 2 2 2 3 3 10 4" xfId="18096"/>
    <cellStyle name="Normal 2 2 2 3 3 10 5" xfId="25063"/>
    <cellStyle name="Normal 2 2 2 3 3 10 6" xfId="32031"/>
    <cellStyle name="Normal 2 2 2 3 3 11" xfId="13451"/>
    <cellStyle name="Normal 2 2 2 3 3 11 2" xfId="20418"/>
    <cellStyle name="Normal 2 2 2 3 3 11 3" xfId="27385"/>
    <cellStyle name="Normal 2 2 2 3 3 11 4" xfId="34354"/>
    <cellStyle name="Normal 2 2 2 3 3 12" xfId="10957"/>
    <cellStyle name="Normal 2 2 2 3 3 13" xfId="17923"/>
    <cellStyle name="Normal 2 2 2 3 3 14" xfId="24891"/>
    <cellStyle name="Normal 2 2 2 3 3 15" xfId="31859"/>
    <cellStyle name="Normal 2 2 2 3 3 2" xfId="1627"/>
    <cellStyle name="Normal 2 2 2 3 3 2 10" xfId="13452"/>
    <cellStyle name="Normal 2 2 2 3 3 2 10 2" xfId="20419"/>
    <cellStyle name="Normal 2 2 2 3 3 2 10 3" xfId="27386"/>
    <cellStyle name="Normal 2 2 2 3 3 2 10 4" xfId="34355"/>
    <cellStyle name="Normal 2 2 2 3 3 2 11" xfId="10958"/>
    <cellStyle name="Normal 2 2 2 3 3 2 12" xfId="17924"/>
    <cellStyle name="Normal 2 2 2 3 3 2 13" xfId="24892"/>
    <cellStyle name="Normal 2 2 2 3 3 2 14" xfId="31860"/>
    <cellStyle name="Normal 2 2 2 3 3 2 2" xfId="3256"/>
    <cellStyle name="Normal 2 2 2 3 3 2 2 2" xfId="5095"/>
    <cellStyle name="Normal 2 2 2 3 3 2 2 2 2" xfId="9951"/>
    <cellStyle name="Normal 2 2 2 3 3 2 2 2 2 2" xfId="16949"/>
    <cellStyle name="Normal 2 2 2 3 3 2 2 2 2 3" xfId="23916"/>
    <cellStyle name="Normal 2 2 2 3 3 2 2 2 2 4" xfId="30883"/>
    <cellStyle name="Normal 2 2 2 3 3 2 2 2 2 5" xfId="37852"/>
    <cellStyle name="Normal 2 2 2 3 3 2 2 2 3" xfId="14629"/>
    <cellStyle name="Normal 2 2 2 3 3 2 2 2 3 2" xfId="21596"/>
    <cellStyle name="Normal 2 2 2 3 3 2 2 2 3 3" xfId="28563"/>
    <cellStyle name="Normal 2 2 2 3 3 2 2 2 3 4" xfId="35532"/>
    <cellStyle name="Normal 2 2 2 3 3 2 2 2 4" xfId="12307"/>
    <cellStyle name="Normal 2 2 2 3 3 2 2 2 5" xfId="19274"/>
    <cellStyle name="Normal 2 2 2 3 3 2 2 2 6" xfId="26241"/>
    <cellStyle name="Normal 2 2 2 3 3 2 2 2 7" xfId="33209"/>
    <cellStyle name="Normal 2 2 2 3 3 2 2 3" xfId="8890"/>
    <cellStyle name="Normal 2 2 2 3 3 2 2 3 2" xfId="15942"/>
    <cellStyle name="Normal 2 2 2 3 3 2 2 3 3" xfId="22909"/>
    <cellStyle name="Normal 2 2 2 3 3 2 2 3 4" xfId="29876"/>
    <cellStyle name="Normal 2 2 2 3 3 2 2 3 5" xfId="36845"/>
    <cellStyle name="Normal 2 2 2 3 3 2 2 4" xfId="13620"/>
    <cellStyle name="Normal 2 2 2 3 3 2 2 4 2" xfId="20587"/>
    <cellStyle name="Normal 2 2 2 3 3 2 2 4 3" xfId="27554"/>
    <cellStyle name="Normal 2 2 2 3 3 2 2 4 4" xfId="34523"/>
    <cellStyle name="Normal 2 2 2 3 3 2 2 5" xfId="11298"/>
    <cellStyle name="Normal 2 2 2 3 3 2 2 6" xfId="18265"/>
    <cellStyle name="Normal 2 2 2 3 3 2 2 7" xfId="25232"/>
    <cellStyle name="Normal 2 2 2 3 3 2 2 8" xfId="32200"/>
    <cellStyle name="Normal 2 2 2 3 3 2 3" xfId="3458"/>
    <cellStyle name="Normal 2 2 2 3 3 2 3 2" xfId="5096"/>
    <cellStyle name="Normal 2 2 2 3 3 2 3 2 2" xfId="9952"/>
    <cellStyle name="Normal 2 2 2 3 3 2 3 2 2 2" xfId="16950"/>
    <cellStyle name="Normal 2 2 2 3 3 2 3 2 2 3" xfId="23917"/>
    <cellStyle name="Normal 2 2 2 3 3 2 3 2 2 4" xfId="30884"/>
    <cellStyle name="Normal 2 2 2 3 3 2 3 2 2 5" xfId="37853"/>
    <cellStyle name="Normal 2 2 2 3 3 2 3 2 3" xfId="14630"/>
    <cellStyle name="Normal 2 2 2 3 3 2 3 2 3 2" xfId="21597"/>
    <cellStyle name="Normal 2 2 2 3 3 2 3 2 3 3" xfId="28564"/>
    <cellStyle name="Normal 2 2 2 3 3 2 3 2 3 4" xfId="35533"/>
    <cellStyle name="Normal 2 2 2 3 3 2 3 2 4" xfId="12308"/>
    <cellStyle name="Normal 2 2 2 3 3 2 3 2 5" xfId="19275"/>
    <cellStyle name="Normal 2 2 2 3 3 2 3 2 6" xfId="26242"/>
    <cellStyle name="Normal 2 2 2 3 3 2 3 2 7" xfId="33210"/>
    <cellStyle name="Normal 2 2 2 3 3 2 3 3" xfId="9070"/>
    <cellStyle name="Normal 2 2 2 3 3 2 3 3 2" xfId="16109"/>
    <cellStyle name="Normal 2 2 2 3 3 2 3 3 3" xfId="23076"/>
    <cellStyle name="Normal 2 2 2 3 3 2 3 3 4" xfId="30043"/>
    <cellStyle name="Normal 2 2 2 3 3 2 3 3 5" xfId="37012"/>
    <cellStyle name="Normal 2 2 2 3 3 2 3 4" xfId="13789"/>
    <cellStyle name="Normal 2 2 2 3 3 2 3 4 2" xfId="20756"/>
    <cellStyle name="Normal 2 2 2 3 3 2 3 4 3" xfId="27723"/>
    <cellStyle name="Normal 2 2 2 3 3 2 3 4 4" xfId="34692"/>
    <cellStyle name="Normal 2 2 2 3 3 2 3 5" xfId="11467"/>
    <cellStyle name="Normal 2 2 2 3 3 2 3 6" xfId="18434"/>
    <cellStyle name="Normal 2 2 2 3 3 2 3 7" xfId="25401"/>
    <cellStyle name="Normal 2 2 2 3 3 2 3 8" xfId="32369"/>
    <cellStyle name="Normal 2 2 2 3 3 2 4" xfId="3633"/>
    <cellStyle name="Normal 2 2 2 3 3 2 4 2" xfId="5097"/>
    <cellStyle name="Normal 2 2 2 3 3 2 4 2 2" xfId="9953"/>
    <cellStyle name="Normal 2 2 2 3 3 2 4 2 2 2" xfId="16951"/>
    <cellStyle name="Normal 2 2 2 3 3 2 4 2 2 3" xfId="23918"/>
    <cellStyle name="Normal 2 2 2 3 3 2 4 2 2 4" xfId="30885"/>
    <cellStyle name="Normal 2 2 2 3 3 2 4 2 2 5" xfId="37854"/>
    <cellStyle name="Normal 2 2 2 3 3 2 4 2 3" xfId="14631"/>
    <cellStyle name="Normal 2 2 2 3 3 2 4 2 3 2" xfId="21598"/>
    <cellStyle name="Normal 2 2 2 3 3 2 4 2 3 3" xfId="28565"/>
    <cellStyle name="Normal 2 2 2 3 3 2 4 2 3 4" xfId="35534"/>
    <cellStyle name="Normal 2 2 2 3 3 2 4 2 4" xfId="12309"/>
    <cellStyle name="Normal 2 2 2 3 3 2 4 2 5" xfId="19276"/>
    <cellStyle name="Normal 2 2 2 3 3 2 4 2 6" xfId="26243"/>
    <cellStyle name="Normal 2 2 2 3 3 2 4 2 7" xfId="33211"/>
    <cellStyle name="Normal 2 2 2 3 3 2 4 3" xfId="9241"/>
    <cellStyle name="Normal 2 2 2 3 3 2 4 3 2" xfId="16280"/>
    <cellStyle name="Normal 2 2 2 3 3 2 4 3 3" xfId="23247"/>
    <cellStyle name="Normal 2 2 2 3 3 2 4 3 4" xfId="30214"/>
    <cellStyle name="Normal 2 2 2 3 3 2 4 3 5" xfId="37183"/>
    <cellStyle name="Normal 2 2 2 3 3 2 4 4" xfId="13960"/>
    <cellStyle name="Normal 2 2 2 3 3 2 4 4 2" xfId="20927"/>
    <cellStyle name="Normal 2 2 2 3 3 2 4 4 3" xfId="27894"/>
    <cellStyle name="Normal 2 2 2 3 3 2 4 4 4" xfId="34863"/>
    <cellStyle name="Normal 2 2 2 3 3 2 4 5" xfId="11638"/>
    <cellStyle name="Normal 2 2 2 3 3 2 4 6" xfId="18605"/>
    <cellStyle name="Normal 2 2 2 3 3 2 4 7" xfId="25572"/>
    <cellStyle name="Normal 2 2 2 3 3 2 4 8" xfId="32540"/>
    <cellStyle name="Normal 2 2 2 3 3 2 5" xfId="3910"/>
    <cellStyle name="Normal 2 2 2 3 3 2 5 2" xfId="5098"/>
    <cellStyle name="Normal 2 2 2 3 3 2 5 2 2" xfId="9954"/>
    <cellStyle name="Normal 2 2 2 3 3 2 5 2 2 2" xfId="16952"/>
    <cellStyle name="Normal 2 2 2 3 3 2 5 2 2 3" xfId="23919"/>
    <cellStyle name="Normal 2 2 2 3 3 2 5 2 2 4" xfId="30886"/>
    <cellStyle name="Normal 2 2 2 3 3 2 5 2 2 5" xfId="37855"/>
    <cellStyle name="Normal 2 2 2 3 3 2 5 2 3" xfId="14632"/>
    <cellStyle name="Normal 2 2 2 3 3 2 5 2 3 2" xfId="21599"/>
    <cellStyle name="Normal 2 2 2 3 3 2 5 2 3 3" xfId="28566"/>
    <cellStyle name="Normal 2 2 2 3 3 2 5 2 3 4" xfId="35535"/>
    <cellStyle name="Normal 2 2 2 3 3 2 5 2 4" xfId="12310"/>
    <cellStyle name="Normal 2 2 2 3 3 2 5 2 5" xfId="19277"/>
    <cellStyle name="Normal 2 2 2 3 3 2 5 2 6" xfId="26244"/>
    <cellStyle name="Normal 2 2 2 3 3 2 5 2 7" xfId="33212"/>
    <cellStyle name="Normal 2 2 2 3 3 2 5 3" xfId="9516"/>
    <cellStyle name="Normal 2 2 2 3 3 2 5 3 2" xfId="16552"/>
    <cellStyle name="Normal 2 2 2 3 3 2 5 3 3" xfId="23519"/>
    <cellStyle name="Normal 2 2 2 3 3 2 5 3 4" xfId="30486"/>
    <cellStyle name="Normal 2 2 2 3 3 2 5 3 5" xfId="37455"/>
    <cellStyle name="Normal 2 2 2 3 3 2 5 4" xfId="14232"/>
    <cellStyle name="Normal 2 2 2 3 3 2 5 4 2" xfId="21199"/>
    <cellStyle name="Normal 2 2 2 3 3 2 5 4 3" xfId="28166"/>
    <cellStyle name="Normal 2 2 2 3 3 2 5 4 4" xfId="35135"/>
    <cellStyle name="Normal 2 2 2 3 3 2 5 5" xfId="11910"/>
    <cellStyle name="Normal 2 2 2 3 3 2 5 6" xfId="18877"/>
    <cellStyle name="Normal 2 2 2 3 3 2 5 7" xfId="25844"/>
    <cellStyle name="Normal 2 2 2 3 3 2 5 8" xfId="32812"/>
    <cellStyle name="Normal 2 2 2 3 3 2 6" xfId="5094"/>
    <cellStyle name="Normal 2 2 2 3 3 2 6 2" xfId="9950"/>
    <cellStyle name="Normal 2 2 2 3 3 2 6 2 2" xfId="16948"/>
    <cellStyle name="Normal 2 2 2 3 3 2 6 2 3" xfId="23915"/>
    <cellStyle name="Normal 2 2 2 3 3 2 6 2 4" xfId="30882"/>
    <cellStyle name="Normal 2 2 2 3 3 2 6 2 5" xfId="37851"/>
    <cellStyle name="Normal 2 2 2 3 3 2 6 3" xfId="14628"/>
    <cellStyle name="Normal 2 2 2 3 3 2 6 3 2" xfId="21595"/>
    <cellStyle name="Normal 2 2 2 3 3 2 6 3 3" xfId="28562"/>
    <cellStyle name="Normal 2 2 2 3 3 2 6 3 4" xfId="35531"/>
    <cellStyle name="Normal 2 2 2 3 3 2 6 4" xfId="12306"/>
    <cellStyle name="Normal 2 2 2 3 3 2 6 5" xfId="19273"/>
    <cellStyle name="Normal 2 2 2 3 3 2 6 6" xfId="26240"/>
    <cellStyle name="Normal 2 2 2 3 3 2 6 7" xfId="33208"/>
    <cellStyle name="Normal 2 2 2 3 3 2 7" xfId="6805"/>
    <cellStyle name="Normal 2 2 2 3 3 2 7 2" xfId="10775"/>
    <cellStyle name="Normal 2 2 2 3 3 2 7 2 2" xfId="17749"/>
    <cellStyle name="Normal 2 2 2 3 3 2 7 2 3" xfId="24716"/>
    <cellStyle name="Normal 2 2 2 3 3 2 7 2 4" xfId="31683"/>
    <cellStyle name="Normal 2 2 2 3 3 2 7 2 5" xfId="38652"/>
    <cellStyle name="Normal 2 2 2 3 3 2 7 3" xfId="15429"/>
    <cellStyle name="Normal 2 2 2 3 3 2 7 3 2" xfId="22396"/>
    <cellStyle name="Normal 2 2 2 3 3 2 7 3 3" xfId="29363"/>
    <cellStyle name="Normal 2 2 2 3 3 2 7 3 4" xfId="36332"/>
    <cellStyle name="Normal 2 2 2 3 3 2 7 4" xfId="13107"/>
    <cellStyle name="Normal 2 2 2 3 3 2 7 5" xfId="20074"/>
    <cellStyle name="Normal 2 2 2 3 3 2 7 6" xfId="27041"/>
    <cellStyle name="Normal 2 2 2 3 3 2 7 7" xfId="34010"/>
    <cellStyle name="Normal 2 2 2 3 3 2 8" xfId="7118"/>
    <cellStyle name="Normal 2 2 2 3 3 2 8 2" xfId="15602"/>
    <cellStyle name="Normal 2 2 2 3 3 2 8 2 2" xfId="22569"/>
    <cellStyle name="Normal 2 2 2 3 3 2 8 2 3" xfId="29536"/>
    <cellStyle name="Normal 2 2 2 3 3 2 8 2 4" xfId="36505"/>
    <cellStyle name="Normal 2 2 2 3 3 2 8 3" xfId="13280"/>
    <cellStyle name="Normal 2 2 2 3 3 2 8 4" xfId="20247"/>
    <cellStyle name="Normal 2 2 2 3 3 2 8 5" xfId="27214"/>
    <cellStyle name="Normal 2 2 2 3 3 2 8 6" xfId="34183"/>
    <cellStyle name="Normal 2 2 2 3 3 2 9" xfId="7991"/>
    <cellStyle name="Normal 2 2 2 3 3 2 9 2" xfId="15774"/>
    <cellStyle name="Normal 2 2 2 3 3 2 9 2 2" xfId="22741"/>
    <cellStyle name="Normal 2 2 2 3 3 2 9 2 3" xfId="29708"/>
    <cellStyle name="Normal 2 2 2 3 3 2 9 2 4" xfId="36677"/>
    <cellStyle name="Normal 2 2 2 3 3 2 9 3" xfId="11130"/>
    <cellStyle name="Normal 2 2 2 3 3 2 9 4" xfId="18097"/>
    <cellStyle name="Normal 2 2 2 3 3 2 9 5" xfId="25064"/>
    <cellStyle name="Normal 2 2 2 3 3 2 9 6" xfId="32032"/>
    <cellStyle name="Normal 2 2 2 3 3 3" xfId="3255"/>
    <cellStyle name="Normal 2 2 2 3 3 3 2" xfId="5099"/>
    <cellStyle name="Normal 2 2 2 3 3 3 2 2" xfId="9955"/>
    <cellStyle name="Normal 2 2 2 3 3 3 2 2 2" xfId="16953"/>
    <cellStyle name="Normal 2 2 2 3 3 3 2 2 3" xfId="23920"/>
    <cellStyle name="Normal 2 2 2 3 3 3 2 2 4" xfId="30887"/>
    <cellStyle name="Normal 2 2 2 3 3 3 2 2 5" xfId="37856"/>
    <cellStyle name="Normal 2 2 2 3 3 3 2 3" xfId="14633"/>
    <cellStyle name="Normal 2 2 2 3 3 3 2 3 2" xfId="21600"/>
    <cellStyle name="Normal 2 2 2 3 3 3 2 3 3" xfId="28567"/>
    <cellStyle name="Normal 2 2 2 3 3 3 2 3 4" xfId="35536"/>
    <cellStyle name="Normal 2 2 2 3 3 3 2 4" xfId="12311"/>
    <cellStyle name="Normal 2 2 2 3 3 3 2 5" xfId="19278"/>
    <cellStyle name="Normal 2 2 2 3 3 3 2 6" xfId="26245"/>
    <cellStyle name="Normal 2 2 2 3 3 3 2 7" xfId="33213"/>
    <cellStyle name="Normal 2 2 2 3 3 3 3" xfId="8889"/>
    <cellStyle name="Normal 2 2 2 3 3 3 3 2" xfId="15941"/>
    <cellStyle name="Normal 2 2 2 3 3 3 3 3" xfId="22908"/>
    <cellStyle name="Normal 2 2 2 3 3 3 3 4" xfId="29875"/>
    <cellStyle name="Normal 2 2 2 3 3 3 3 5" xfId="36844"/>
    <cellStyle name="Normal 2 2 2 3 3 3 4" xfId="13619"/>
    <cellStyle name="Normal 2 2 2 3 3 3 4 2" xfId="20586"/>
    <cellStyle name="Normal 2 2 2 3 3 3 4 3" xfId="27553"/>
    <cellStyle name="Normal 2 2 2 3 3 3 4 4" xfId="34522"/>
    <cellStyle name="Normal 2 2 2 3 3 3 5" xfId="11297"/>
    <cellStyle name="Normal 2 2 2 3 3 3 6" xfId="18264"/>
    <cellStyle name="Normal 2 2 2 3 3 3 7" xfId="25231"/>
    <cellStyle name="Normal 2 2 2 3 3 3 8" xfId="32199"/>
    <cellStyle name="Normal 2 2 2 3 3 4" xfId="3457"/>
    <cellStyle name="Normal 2 2 2 3 3 4 2" xfId="5100"/>
    <cellStyle name="Normal 2 2 2 3 3 4 2 2" xfId="9956"/>
    <cellStyle name="Normal 2 2 2 3 3 4 2 2 2" xfId="16954"/>
    <cellStyle name="Normal 2 2 2 3 3 4 2 2 3" xfId="23921"/>
    <cellStyle name="Normal 2 2 2 3 3 4 2 2 4" xfId="30888"/>
    <cellStyle name="Normal 2 2 2 3 3 4 2 2 5" xfId="37857"/>
    <cellStyle name="Normal 2 2 2 3 3 4 2 3" xfId="14634"/>
    <cellStyle name="Normal 2 2 2 3 3 4 2 3 2" xfId="21601"/>
    <cellStyle name="Normal 2 2 2 3 3 4 2 3 3" xfId="28568"/>
    <cellStyle name="Normal 2 2 2 3 3 4 2 3 4" xfId="35537"/>
    <cellStyle name="Normal 2 2 2 3 3 4 2 4" xfId="12312"/>
    <cellStyle name="Normal 2 2 2 3 3 4 2 5" xfId="19279"/>
    <cellStyle name="Normal 2 2 2 3 3 4 2 6" xfId="26246"/>
    <cellStyle name="Normal 2 2 2 3 3 4 2 7" xfId="33214"/>
    <cellStyle name="Normal 2 2 2 3 3 4 3" xfId="9069"/>
    <cellStyle name="Normal 2 2 2 3 3 4 3 2" xfId="16108"/>
    <cellStyle name="Normal 2 2 2 3 3 4 3 3" xfId="23075"/>
    <cellStyle name="Normal 2 2 2 3 3 4 3 4" xfId="30042"/>
    <cellStyle name="Normal 2 2 2 3 3 4 3 5" xfId="37011"/>
    <cellStyle name="Normal 2 2 2 3 3 4 4" xfId="13788"/>
    <cellStyle name="Normal 2 2 2 3 3 4 4 2" xfId="20755"/>
    <cellStyle name="Normal 2 2 2 3 3 4 4 3" xfId="27722"/>
    <cellStyle name="Normal 2 2 2 3 3 4 4 4" xfId="34691"/>
    <cellStyle name="Normal 2 2 2 3 3 4 5" xfId="11466"/>
    <cellStyle name="Normal 2 2 2 3 3 4 6" xfId="18433"/>
    <cellStyle name="Normal 2 2 2 3 3 4 7" xfId="25400"/>
    <cellStyle name="Normal 2 2 2 3 3 4 8" xfId="32368"/>
    <cellStyle name="Normal 2 2 2 3 3 5" xfId="3632"/>
    <cellStyle name="Normal 2 2 2 3 3 5 2" xfId="5101"/>
    <cellStyle name="Normal 2 2 2 3 3 5 2 2" xfId="9957"/>
    <cellStyle name="Normal 2 2 2 3 3 5 2 2 2" xfId="16955"/>
    <cellStyle name="Normal 2 2 2 3 3 5 2 2 3" xfId="23922"/>
    <cellStyle name="Normal 2 2 2 3 3 5 2 2 4" xfId="30889"/>
    <cellStyle name="Normal 2 2 2 3 3 5 2 2 5" xfId="37858"/>
    <cellStyle name="Normal 2 2 2 3 3 5 2 3" xfId="14635"/>
    <cellStyle name="Normal 2 2 2 3 3 5 2 3 2" xfId="21602"/>
    <cellStyle name="Normal 2 2 2 3 3 5 2 3 3" xfId="28569"/>
    <cellStyle name="Normal 2 2 2 3 3 5 2 3 4" xfId="35538"/>
    <cellStyle name="Normal 2 2 2 3 3 5 2 4" xfId="12313"/>
    <cellStyle name="Normal 2 2 2 3 3 5 2 5" xfId="19280"/>
    <cellStyle name="Normal 2 2 2 3 3 5 2 6" xfId="26247"/>
    <cellStyle name="Normal 2 2 2 3 3 5 2 7" xfId="33215"/>
    <cellStyle name="Normal 2 2 2 3 3 5 3" xfId="9240"/>
    <cellStyle name="Normal 2 2 2 3 3 5 3 2" xfId="16279"/>
    <cellStyle name="Normal 2 2 2 3 3 5 3 3" xfId="23246"/>
    <cellStyle name="Normal 2 2 2 3 3 5 3 4" xfId="30213"/>
    <cellStyle name="Normal 2 2 2 3 3 5 3 5" xfId="37182"/>
    <cellStyle name="Normal 2 2 2 3 3 5 4" xfId="13959"/>
    <cellStyle name="Normal 2 2 2 3 3 5 4 2" xfId="20926"/>
    <cellStyle name="Normal 2 2 2 3 3 5 4 3" xfId="27893"/>
    <cellStyle name="Normal 2 2 2 3 3 5 4 4" xfId="34862"/>
    <cellStyle name="Normal 2 2 2 3 3 5 5" xfId="11637"/>
    <cellStyle name="Normal 2 2 2 3 3 5 6" xfId="18604"/>
    <cellStyle name="Normal 2 2 2 3 3 5 7" xfId="25571"/>
    <cellStyle name="Normal 2 2 2 3 3 5 8" xfId="32539"/>
    <cellStyle name="Normal 2 2 2 3 3 6" xfId="3909"/>
    <cellStyle name="Normal 2 2 2 3 3 6 2" xfId="5102"/>
    <cellStyle name="Normal 2 2 2 3 3 6 2 2" xfId="9958"/>
    <cellStyle name="Normal 2 2 2 3 3 6 2 2 2" xfId="16956"/>
    <cellStyle name="Normal 2 2 2 3 3 6 2 2 3" xfId="23923"/>
    <cellStyle name="Normal 2 2 2 3 3 6 2 2 4" xfId="30890"/>
    <cellStyle name="Normal 2 2 2 3 3 6 2 2 5" xfId="37859"/>
    <cellStyle name="Normal 2 2 2 3 3 6 2 3" xfId="14636"/>
    <cellStyle name="Normal 2 2 2 3 3 6 2 3 2" xfId="21603"/>
    <cellStyle name="Normal 2 2 2 3 3 6 2 3 3" xfId="28570"/>
    <cellStyle name="Normal 2 2 2 3 3 6 2 3 4" xfId="35539"/>
    <cellStyle name="Normal 2 2 2 3 3 6 2 4" xfId="12314"/>
    <cellStyle name="Normal 2 2 2 3 3 6 2 5" xfId="19281"/>
    <cellStyle name="Normal 2 2 2 3 3 6 2 6" xfId="26248"/>
    <cellStyle name="Normal 2 2 2 3 3 6 2 7" xfId="33216"/>
    <cellStyle name="Normal 2 2 2 3 3 6 3" xfId="9515"/>
    <cellStyle name="Normal 2 2 2 3 3 6 3 2" xfId="16551"/>
    <cellStyle name="Normal 2 2 2 3 3 6 3 3" xfId="23518"/>
    <cellStyle name="Normal 2 2 2 3 3 6 3 4" xfId="30485"/>
    <cellStyle name="Normal 2 2 2 3 3 6 3 5" xfId="37454"/>
    <cellStyle name="Normal 2 2 2 3 3 6 4" xfId="14231"/>
    <cellStyle name="Normal 2 2 2 3 3 6 4 2" xfId="21198"/>
    <cellStyle name="Normal 2 2 2 3 3 6 4 3" xfId="28165"/>
    <cellStyle name="Normal 2 2 2 3 3 6 4 4" xfId="35134"/>
    <cellStyle name="Normal 2 2 2 3 3 6 5" xfId="11909"/>
    <cellStyle name="Normal 2 2 2 3 3 6 6" xfId="18876"/>
    <cellStyle name="Normal 2 2 2 3 3 6 7" xfId="25843"/>
    <cellStyle name="Normal 2 2 2 3 3 6 8" xfId="32811"/>
    <cellStyle name="Normal 2 2 2 3 3 7" xfId="5093"/>
    <cellStyle name="Normal 2 2 2 3 3 7 2" xfId="9949"/>
    <cellStyle name="Normal 2 2 2 3 3 7 2 2" xfId="16947"/>
    <cellStyle name="Normal 2 2 2 3 3 7 2 3" xfId="23914"/>
    <cellStyle name="Normal 2 2 2 3 3 7 2 4" xfId="30881"/>
    <cellStyle name="Normal 2 2 2 3 3 7 2 5" xfId="37850"/>
    <cellStyle name="Normal 2 2 2 3 3 7 3" xfId="14627"/>
    <cellStyle name="Normal 2 2 2 3 3 7 3 2" xfId="21594"/>
    <cellStyle name="Normal 2 2 2 3 3 7 3 3" xfId="28561"/>
    <cellStyle name="Normal 2 2 2 3 3 7 3 4" xfId="35530"/>
    <cellStyle name="Normal 2 2 2 3 3 7 4" xfId="12305"/>
    <cellStyle name="Normal 2 2 2 3 3 7 5" xfId="19272"/>
    <cellStyle name="Normal 2 2 2 3 3 7 6" xfId="26239"/>
    <cellStyle name="Normal 2 2 2 3 3 7 7" xfId="33207"/>
    <cellStyle name="Normal 2 2 2 3 3 8" xfId="6804"/>
    <cellStyle name="Normal 2 2 2 3 3 8 2" xfId="10774"/>
    <cellStyle name="Normal 2 2 2 3 3 8 2 2" xfId="17748"/>
    <cellStyle name="Normal 2 2 2 3 3 8 2 3" xfId="24715"/>
    <cellStyle name="Normal 2 2 2 3 3 8 2 4" xfId="31682"/>
    <cellStyle name="Normal 2 2 2 3 3 8 2 5" xfId="38651"/>
    <cellStyle name="Normal 2 2 2 3 3 8 3" xfId="15428"/>
    <cellStyle name="Normal 2 2 2 3 3 8 3 2" xfId="22395"/>
    <cellStyle name="Normal 2 2 2 3 3 8 3 3" xfId="29362"/>
    <cellStyle name="Normal 2 2 2 3 3 8 3 4" xfId="36331"/>
    <cellStyle name="Normal 2 2 2 3 3 8 4" xfId="13106"/>
    <cellStyle name="Normal 2 2 2 3 3 8 5" xfId="20073"/>
    <cellStyle name="Normal 2 2 2 3 3 8 6" xfId="27040"/>
    <cellStyle name="Normal 2 2 2 3 3 8 7" xfId="34009"/>
    <cellStyle name="Normal 2 2 2 3 3 9" xfId="7117"/>
    <cellStyle name="Normal 2 2 2 3 3 9 2" xfId="15601"/>
    <cellStyle name="Normal 2 2 2 3 3 9 2 2" xfId="22568"/>
    <cellStyle name="Normal 2 2 2 3 3 9 2 3" xfId="29535"/>
    <cellStyle name="Normal 2 2 2 3 3 9 2 4" xfId="36504"/>
    <cellStyle name="Normal 2 2 2 3 3 9 3" xfId="13279"/>
    <cellStyle name="Normal 2 2 2 3 3 9 4" xfId="20246"/>
    <cellStyle name="Normal 2 2 2 3 3 9 5" xfId="27213"/>
    <cellStyle name="Normal 2 2 2 3 3 9 6" xfId="34182"/>
    <cellStyle name="Normal 2 2 2 3 4" xfId="1628"/>
    <cellStyle name="Normal 2 2 2 3 4 10" xfId="13453"/>
    <cellStyle name="Normal 2 2 2 3 4 10 2" xfId="20420"/>
    <cellStyle name="Normal 2 2 2 3 4 10 3" xfId="27387"/>
    <cellStyle name="Normal 2 2 2 3 4 10 4" xfId="34356"/>
    <cellStyle name="Normal 2 2 2 3 4 11" xfId="10959"/>
    <cellStyle name="Normal 2 2 2 3 4 12" xfId="17925"/>
    <cellStyle name="Normal 2 2 2 3 4 13" xfId="24893"/>
    <cellStyle name="Normal 2 2 2 3 4 14" xfId="31861"/>
    <cellStyle name="Normal 2 2 2 3 4 2" xfId="3257"/>
    <cellStyle name="Normal 2 2 2 3 4 2 2" xfId="5104"/>
    <cellStyle name="Normal 2 2 2 3 4 2 2 2" xfId="9960"/>
    <cellStyle name="Normal 2 2 2 3 4 2 2 2 2" xfId="16958"/>
    <cellStyle name="Normal 2 2 2 3 4 2 2 2 3" xfId="23925"/>
    <cellStyle name="Normal 2 2 2 3 4 2 2 2 4" xfId="30892"/>
    <cellStyle name="Normal 2 2 2 3 4 2 2 2 5" xfId="37861"/>
    <cellStyle name="Normal 2 2 2 3 4 2 2 3" xfId="14638"/>
    <cellStyle name="Normal 2 2 2 3 4 2 2 3 2" xfId="21605"/>
    <cellStyle name="Normal 2 2 2 3 4 2 2 3 3" xfId="28572"/>
    <cellStyle name="Normal 2 2 2 3 4 2 2 3 4" xfId="35541"/>
    <cellStyle name="Normal 2 2 2 3 4 2 2 4" xfId="12316"/>
    <cellStyle name="Normal 2 2 2 3 4 2 2 5" xfId="19283"/>
    <cellStyle name="Normal 2 2 2 3 4 2 2 6" xfId="26250"/>
    <cellStyle name="Normal 2 2 2 3 4 2 2 7" xfId="33218"/>
    <cellStyle name="Normal 2 2 2 3 4 2 3" xfId="8891"/>
    <cellStyle name="Normal 2 2 2 3 4 2 3 2" xfId="15943"/>
    <cellStyle name="Normal 2 2 2 3 4 2 3 3" xfId="22910"/>
    <cellStyle name="Normal 2 2 2 3 4 2 3 4" xfId="29877"/>
    <cellStyle name="Normal 2 2 2 3 4 2 3 5" xfId="36846"/>
    <cellStyle name="Normal 2 2 2 3 4 2 4" xfId="13621"/>
    <cellStyle name="Normal 2 2 2 3 4 2 4 2" xfId="20588"/>
    <cellStyle name="Normal 2 2 2 3 4 2 4 3" xfId="27555"/>
    <cellStyle name="Normal 2 2 2 3 4 2 4 4" xfId="34524"/>
    <cellStyle name="Normal 2 2 2 3 4 2 5" xfId="11299"/>
    <cellStyle name="Normal 2 2 2 3 4 2 6" xfId="18266"/>
    <cellStyle name="Normal 2 2 2 3 4 2 7" xfId="25233"/>
    <cellStyle name="Normal 2 2 2 3 4 2 8" xfId="32201"/>
    <cellStyle name="Normal 2 2 2 3 4 3" xfId="3459"/>
    <cellStyle name="Normal 2 2 2 3 4 3 2" xfId="5105"/>
    <cellStyle name="Normal 2 2 2 3 4 3 2 2" xfId="9961"/>
    <cellStyle name="Normal 2 2 2 3 4 3 2 2 2" xfId="16959"/>
    <cellStyle name="Normal 2 2 2 3 4 3 2 2 3" xfId="23926"/>
    <cellStyle name="Normal 2 2 2 3 4 3 2 2 4" xfId="30893"/>
    <cellStyle name="Normal 2 2 2 3 4 3 2 2 5" xfId="37862"/>
    <cellStyle name="Normal 2 2 2 3 4 3 2 3" xfId="14639"/>
    <cellStyle name="Normal 2 2 2 3 4 3 2 3 2" xfId="21606"/>
    <cellStyle name="Normal 2 2 2 3 4 3 2 3 3" xfId="28573"/>
    <cellStyle name="Normal 2 2 2 3 4 3 2 3 4" xfId="35542"/>
    <cellStyle name="Normal 2 2 2 3 4 3 2 4" xfId="12317"/>
    <cellStyle name="Normal 2 2 2 3 4 3 2 5" xfId="19284"/>
    <cellStyle name="Normal 2 2 2 3 4 3 2 6" xfId="26251"/>
    <cellStyle name="Normal 2 2 2 3 4 3 2 7" xfId="33219"/>
    <cellStyle name="Normal 2 2 2 3 4 3 3" xfId="9071"/>
    <cellStyle name="Normal 2 2 2 3 4 3 3 2" xfId="16110"/>
    <cellStyle name="Normal 2 2 2 3 4 3 3 3" xfId="23077"/>
    <cellStyle name="Normal 2 2 2 3 4 3 3 4" xfId="30044"/>
    <cellStyle name="Normal 2 2 2 3 4 3 3 5" xfId="37013"/>
    <cellStyle name="Normal 2 2 2 3 4 3 4" xfId="13790"/>
    <cellStyle name="Normal 2 2 2 3 4 3 4 2" xfId="20757"/>
    <cellStyle name="Normal 2 2 2 3 4 3 4 3" xfId="27724"/>
    <cellStyle name="Normal 2 2 2 3 4 3 4 4" xfId="34693"/>
    <cellStyle name="Normal 2 2 2 3 4 3 5" xfId="11468"/>
    <cellStyle name="Normal 2 2 2 3 4 3 6" xfId="18435"/>
    <cellStyle name="Normal 2 2 2 3 4 3 7" xfId="25402"/>
    <cellStyle name="Normal 2 2 2 3 4 3 8" xfId="32370"/>
    <cellStyle name="Normal 2 2 2 3 4 4" xfId="3634"/>
    <cellStyle name="Normal 2 2 2 3 4 4 2" xfId="5106"/>
    <cellStyle name="Normal 2 2 2 3 4 4 2 2" xfId="9962"/>
    <cellStyle name="Normal 2 2 2 3 4 4 2 2 2" xfId="16960"/>
    <cellStyle name="Normal 2 2 2 3 4 4 2 2 3" xfId="23927"/>
    <cellStyle name="Normal 2 2 2 3 4 4 2 2 4" xfId="30894"/>
    <cellStyle name="Normal 2 2 2 3 4 4 2 2 5" xfId="37863"/>
    <cellStyle name="Normal 2 2 2 3 4 4 2 3" xfId="14640"/>
    <cellStyle name="Normal 2 2 2 3 4 4 2 3 2" xfId="21607"/>
    <cellStyle name="Normal 2 2 2 3 4 4 2 3 3" xfId="28574"/>
    <cellStyle name="Normal 2 2 2 3 4 4 2 3 4" xfId="35543"/>
    <cellStyle name="Normal 2 2 2 3 4 4 2 4" xfId="12318"/>
    <cellStyle name="Normal 2 2 2 3 4 4 2 5" xfId="19285"/>
    <cellStyle name="Normal 2 2 2 3 4 4 2 6" xfId="26252"/>
    <cellStyle name="Normal 2 2 2 3 4 4 2 7" xfId="33220"/>
    <cellStyle name="Normal 2 2 2 3 4 4 3" xfId="9242"/>
    <cellStyle name="Normal 2 2 2 3 4 4 3 2" xfId="16281"/>
    <cellStyle name="Normal 2 2 2 3 4 4 3 3" xfId="23248"/>
    <cellStyle name="Normal 2 2 2 3 4 4 3 4" xfId="30215"/>
    <cellStyle name="Normal 2 2 2 3 4 4 3 5" xfId="37184"/>
    <cellStyle name="Normal 2 2 2 3 4 4 4" xfId="13961"/>
    <cellStyle name="Normal 2 2 2 3 4 4 4 2" xfId="20928"/>
    <cellStyle name="Normal 2 2 2 3 4 4 4 3" xfId="27895"/>
    <cellStyle name="Normal 2 2 2 3 4 4 4 4" xfId="34864"/>
    <cellStyle name="Normal 2 2 2 3 4 4 5" xfId="11639"/>
    <cellStyle name="Normal 2 2 2 3 4 4 6" xfId="18606"/>
    <cellStyle name="Normal 2 2 2 3 4 4 7" xfId="25573"/>
    <cellStyle name="Normal 2 2 2 3 4 4 8" xfId="32541"/>
    <cellStyle name="Normal 2 2 2 3 4 5" xfId="3911"/>
    <cellStyle name="Normal 2 2 2 3 4 5 2" xfId="5107"/>
    <cellStyle name="Normal 2 2 2 3 4 5 2 2" xfId="9963"/>
    <cellStyle name="Normal 2 2 2 3 4 5 2 2 2" xfId="16961"/>
    <cellStyle name="Normal 2 2 2 3 4 5 2 2 3" xfId="23928"/>
    <cellStyle name="Normal 2 2 2 3 4 5 2 2 4" xfId="30895"/>
    <cellStyle name="Normal 2 2 2 3 4 5 2 2 5" xfId="37864"/>
    <cellStyle name="Normal 2 2 2 3 4 5 2 3" xfId="14641"/>
    <cellStyle name="Normal 2 2 2 3 4 5 2 3 2" xfId="21608"/>
    <cellStyle name="Normal 2 2 2 3 4 5 2 3 3" xfId="28575"/>
    <cellStyle name="Normal 2 2 2 3 4 5 2 3 4" xfId="35544"/>
    <cellStyle name="Normal 2 2 2 3 4 5 2 4" xfId="12319"/>
    <cellStyle name="Normal 2 2 2 3 4 5 2 5" xfId="19286"/>
    <cellStyle name="Normal 2 2 2 3 4 5 2 6" xfId="26253"/>
    <cellStyle name="Normal 2 2 2 3 4 5 2 7" xfId="33221"/>
    <cellStyle name="Normal 2 2 2 3 4 5 3" xfId="9517"/>
    <cellStyle name="Normal 2 2 2 3 4 5 3 2" xfId="16553"/>
    <cellStyle name="Normal 2 2 2 3 4 5 3 3" xfId="23520"/>
    <cellStyle name="Normal 2 2 2 3 4 5 3 4" xfId="30487"/>
    <cellStyle name="Normal 2 2 2 3 4 5 3 5" xfId="37456"/>
    <cellStyle name="Normal 2 2 2 3 4 5 4" xfId="14233"/>
    <cellStyle name="Normal 2 2 2 3 4 5 4 2" xfId="21200"/>
    <cellStyle name="Normal 2 2 2 3 4 5 4 3" xfId="28167"/>
    <cellStyle name="Normal 2 2 2 3 4 5 4 4" xfId="35136"/>
    <cellStyle name="Normal 2 2 2 3 4 5 5" xfId="11911"/>
    <cellStyle name="Normal 2 2 2 3 4 5 6" xfId="18878"/>
    <cellStyle name="Normal 2 2 2 3 4 5 7" xfId="25845"/>
    <cellStyle name="Normal 2 2 2 3 4 5 8" xfId="32813"/>
    <cellStyle name="Normal 2 2 2 3 4 6" xfId="5103"/>
    <cellStyle name="Normal 2 2 2 3 4 6 2" xfId="9959"/>
    <cellStyle name="Normal 2 2 2 3 4 6 2 2" xfId="16957"/>
    <cellStyle name="Normal 2 2 2 3 4 6 2 3" xfId="23924"/>
    <cellStyle name="Normal 2 2 2 3 4 6 2 4" xfId="30891"/>
    <cellStyle name="Normal 2 2 2 3 4 6 2 5" xfId="37860"/>
    <cellStyle name="Normal 2 2 2 3 4 6 3" xfId="14637"/>
    <cellStyle name="Normal 2 2 2 3 4 6 3 2" xfId="21604"/>
    <cellStyle name="Normal 2 2 2 3 4 6 3 3" xfId="28571"/>
    <cellStyle name="Normal 2 2 2 3 4 6 3 4" xfId="35540"/>
    <cellStyle name="Normal 2 2 2 3 4 6 4" xfId="12315"/>
    <cellStyle name="Normal 2 2 2 3 4 6 5" xfId="19282"/>
    <cellStyle name="Normal 2 2 2 3 4 6 6" xfId="26249"/>
    <cellStyle name="Normal 2 2 2 3 4 6 7" xfId="33217"/>
    <cellStyle name="Normal 2 2 2 3 4 7" xfId="6806"/>
    <cellStyle name="Normal 2 2 2 3 4 7 2" xfId="10776"/>
    <cellStyle name="Normal 2 2 2 3 4 7 2 2" xfId="17750"/>
    <cellStyle name="Normal 2 2 2 3 4 7 2 3" xfId="24717"/>
    <cellStyle name="Normal 2 2 2 3 4 7 2 4" xfId="31684"/>
    <cellStyle name="Normal 2 2 2 3 4 7 2 5" xfId="38653"/>
    <cellStyle name="Normal 2 2 2 3 4 7 3" xfId="15430"/>
    <cellStyle name="Normal 2 2 2 3 4 7 3 2" xfId="22397"/>
    <cellStyle name="Normal 2 2 2 3 4 7 3 3" xfId="29364"/>
    <cellStyle name="Normal 2 2 2 3 4 7 3 4" xfId="36333"/>
    <cellStyle name="Normal 2 2 2 3 4 7 4" xfId="13108"/>
    <cellStyle name="Normal 2 2 2 3 4 7 5" xfId="20075"/>
    <cellStyle name="Normal 2 2 2 3 4 7 6" xfId="27042"/>
    <cellStyle name="Normal 2 2 2 3 4 7 7" xfId="34011"/>
    <cellStyle name="Normal 2 2 2 3 4 8" xfId="7119"/>
    <cellStyle name="Normal 2 2 2 3 4 8 2" xfId="15603"/>
    <cellStyle name="Normal 2 2 2 3 4 8 2 2" xfId="22570"/>
    <cellStyle name="Normal 2 2 2 3 4 8 2 3" xfId="29537"/>
    <cellStyle name="Normal 2 2 2 3 4 8 2 4" xfId="36506"/>
    <cellStyle name="Normal 2 2 2 3 4 8 3" xfId="13281"/>
    <cellStyle name="Normal 2 2 2 3 4 8 4" xfId="20248"/>
    <cellStyle name="Normal 2 2 2 3 4 8 5" xfId="27215"/>
    <cellStyle name="Normal 2 2 2 3 4 8 6" xfId="34184"/>
    <cellStyle name="Normal 2 2 2 3 4 9" xfId="7992"/>
    <cellStyle name="Normal 2 2 2 3 4 9 2" xfId="15775"/>
    <cellStyle name="Normal 2 2 2 3 4 9 2 2" xfId="22742"/>
    <cellStyle name="Normal 2 2 2 3 4 9 2 3" xfId="29709"/>
    <cellStyle name="Normal 2 2 2 3 4 9 2 4" xfId="36678"/>
    <cellStyle name="Normal 2 2 2 3 4 9 3" xfId="11131"/>
    <cellStyle name="Normal 2 2 2 3 4 9 4" xfId="18098"/>
    <cellStyle name="Normal 2 2 2 3 4 9 5" xfId="25065"/>
    <cellStyle name="Normal 2 2 2 3 4 9 6" xfId="32033"/>
    <cellStyle name="Normal 2 2 2 3 5" xfId="1629"/>
    <cellStyle name="Normal 2 2 2 3 5 10" xfId="13454"/>
    <cellStyle name="Normal 2 2 2 3 5 10 2" xfId="20421"/>
    <cellStyle name="Normal 2 2 2 3 5 10 3" xfId="27388"/>
    <cellStyle name="Normal 2 2 2 3 5 10 4" xfId="34357"/>
    <cellStyle name="Normal 2 2 2 3 5 11" xfId="10960"/>
    <cellStyle name="Normal 2 2 2 3 5 12" xfId="17926"/>
    <cellStyle name="Normal 2 2 2 3 5 13" xfId="24894"/>
    <cellStyle name="Normal 2 2 2 3 5 14" xfId="31862"/>
    <cellStyle name="Normal 2 2 2 3 5 2" xfId="3258"/>
    <cellStyle name="Normal 2 2 2 3 5 2 2" xfId="5109"/>
    <cellStyle name="Normal 2 2 2 3 5 2 2 2" xfId="9965"/>
    <cellStyle name="Normal 2 2 2 3 5 2 2 2 2" xfId="16963"/>
    <cellStyle name="Normal 2 2 2 3 5 2 2 2 3" xfId="23930"/>
    <cellStyle name="Normal 2 2 2 3 5 2 2 2 4" xfId="30897"/>
    <cellStyle name="Normal 2 2 2 3 5 2 2 2 5" xfId="37866"/>
    <cellStyle name="Normal 2 2 2 3 5 2 2 3" xfId="14643"/>
    <cellStyle name="Normal 2 2 2 3 5 2 2 3 2" xfId="21610"/>
    <cellStyle name="Normal 2 2 2 3 5 2 2 3 3" xfId="28577"/>
    <cellStyle name="Normal 2 2 2 3 5 2 2 3 4" xfId="35546"/>
    <cellStyle name="Normal 2 2 2 3 5 2 2 4" xfId="12321"/>
    <cellStyle name="Normal 2 2 2 3 5 2 2 5" xfId="19288"/>
    <cellStyle name="Normal 2 2 2 3 5 2 2 6" xfId="26255"/>
    <cellStyle name="Normal 2 2 2 3 5 2 2 7" xfId="33223"/>
    <cellStyle name="Normal 2 2 2 3 5 2 3" xfId="8892"/>
    <cellStyle name="Normal 2 2 2 3 5 2 3 2" xfId="15944"/>
    <cellStyle name="Normal 2 2 2 3 5 2 3 3" xfId="22911"/>
    <cellStyle name="Normal 2 2 2 3 5 2 3 4" xfId="29878"/>
    <cellStyle name="Normal 2 2 2 3 5 2 3 5" xfId="36847"/>
    <cellStyle name="Normal 2 2 2 3 5 2 4" xfId="13622"/>
    <cellStyle name="Normal 2 2 2 3 5 2 4 2" xfId="20589"/>
    <cellStyle name="Normal 2 2 2 3 5 2 4 3" xfId="27556"/>
    <cellStyle name="Normal 2 2 2 3 5 2 4 4" xfId="34525"/>
    <cellStyle name="Normal 2 2 2 3 5 2 5" xfId="11300"/>
    <cellStyle name="Normal 2 2 2 3 5 2 6" xfId="18267"/>
    <cellStyle name="Normal 2 2 2 3 5 2 7" xfId="25234"/>
    <cellStyle name="Normal 2 2 2 3 5 2 8" xfId="32202"/>
    <cellStyle name="Normal 2 2 2 3 5 3" xfId="3460"/>
    <cellStyle name="Normal 2 2 2 3 5 3 2" xfId="5110"/>
    <cellStyle name="Normal 2 2 2 3 5 3 2 2" xfId="9966"/>
    <cellStyle name="Normal 2 2 2 3 5 3 2 2 2" xfId="16964"/>
    <cellStyle name="Normal 2 2 2 3 5 3 2 2 3" xfId="23931"/>
    <cellStyle name="Normal 2 2 2 3 5 3 2 2 4" xfId="30898"/>
    <cellStyle name="Normal 2 2 2 3 5 3 2 2 5" xfId="37867"/>
    <cellStyle name="Normal 2 2 2 3 5 3 2 3" xfId="14644"/>
    <cellStyle name="Normal 2 2 2 3 5 3 2 3 2" xfId="21611"/>
    <cellStyle name="Normal 2 2 2 3 5 3 2 3 3" xfId="28578"/>
    <cellStyle name="Normal 2 2 2 3 5 3 2 3 4" xfId="35547"/>
    <cellStyle name="Normal 2 2 2 3 5 3 2 4" xfId="12322"/>
    <cellStyle name="Normal 2 2 2 3 5 3 2 5" xfId="19289"/>
    <cellStyle name="Normal 2 2 2 3 5 3 2 6" xfId="26256"/>
    <cellStyle name="Normal 2 2 2 3 5 3 2 7" xfId="33224"/>
    <cellStyle name="Normal 2 2 2 3 5 3 3" xfId="9072"/>
    <cellStyle name="Normal 2 2 2 3 5 3 3 2" xfId="16111"/>
    <cellStyle name="Normal 2 2 2 3 5 3 3 3" xfId="23078"/>
    <cellStyle name="Normal 2 2 2 3 5 3 3 4" xfId="30045"/>
    <cellStyle name="Normal 2 2 2 3 5 3 3 5" xfId="37014"/>
    <cellStyle name="Normal 2 2 2 3 5 3 4" xfId="13791"/>
    <cellStyle name="Normal 2 2 2 3 5 3 4 2" xfId="20758"/>
    <cellStyle name="Normal 2 2 2 3 5 3 4 3" xfId="27725"/>
    <cellStyle name="Normal 2 2 2 3 5 3 4 4" xfId="34694"/>
    <cellStyle name="Normal 2 2 2 3 5 3 5" xfId="11469"/>
    <cellStyle name="Normal 2 2 2 3 5 3 6" xfId="18436"/>
    <cellStyle name="Normal 2 2 2 3 5 3 7" xfId="25403"/>
    <cellStyle name="Normal 2 2 2 3 5 3 8" xfId="32371"/>
    <cellStyle name="Normal 2 2 2 3 5 4" xfId="3635"/>
    <cellStyle name="Normal 2 2 2 3 5 4 2" xfId="5111"/>
    <cellStyle name="Normal 2 2 2 3 5 4 2 2" xfId="9967"/>
    <cellStyle name="Normal 2 2 2 3 5 4 2 2 2" xfId="16965"/>
    <cellStyle name="Normal 2 2 2 3 5 4 2 2 3" xfId="23932"/>
    <cellStyle name="Normal 2 2 2 3 5 4 2 2 4" xfId="30899"/>
    <cellStyle name="Normal 2 2 2 3 5 4 2 2 5" xfId="37868"/>
    <cellStyle name="Normal 2 2 2 3 5 4 2 3" xfId="14645"/>
    <cellStyle name="Normal 2 2 2 3 5 4 2 3 2" xfId="21612"/>
    <cellStyle name="Normal 2 2 2 3 5 4 2 3 3" xfId="28579"/>
    <cellStyle name="Normal 2 2 2 3 5 4 2 3 4" xfId="35548"/>
    <cellStyle name="Normal 2 2 2 3 5 4 2 4" xfId="12323"/>
    <cellStyle name="Normal 2 2 2 3 5 4 2 5" xfId="19290"/>
    <cellStyle name="Normal 2 2 2 3 5 4 2 6" xfId="26257"/>
    <cellStyle name="Normal 2 2 2 3 5 4 2 7" xfId="33225"/>
    <cellStyle name="Normal 2 2 2 3 5 4 3" xfId="9243"/>
    <cellStyle name="Normal 2 2 2 3 5 4 3 2" xfId="16282"/>
    <cellStyle name="Normal 2 2 2 3 5 4 3 3" xfId="23249"/>
    <cellStyle name="Normal 2 2 2 3 5 4 3 4" xfId="30216"/>
    <cellStyle name="Normal 2 2 2 3 5 4 3 5" xfId="37185"/>
    <cellStyle name="Normal 2 2 2 3 5 4 4" xfId="13962"/>
    <cellStyle name="Normal 2 2 2 3 5 4 4 2" xfId="20929"/>
    <cellStyle name="Normal 2 2 2 3 5 4 4 3" xfId="27896"/>
    <cellStyle name="Normal 2 2 2 3 5 4 4 4" xfId="34865"/>
    <cellStyle name="Normal 2 2 2 3 5 4 5" xfId="11640"/>
    <cellStyle name="Normal 2 2 2 3 5 4 6" xfId="18607"/>
    <cellStyle name="Normal 2 2 2 3 5 4 7" xfId="25574"/>
    <cellStyle name="Normal 2 2 2 3 5 4 8" xfId="32542"/>
    <cellStyle name="Normal 2 2 2 3 5 5" xfId="3912"/>
    <cellStyle name="Normal 2 2 2 3 5 5 2" xfId="5112"/>
    <cellStyle name="Normal 2 2 2 3 5 5 2 2" xfId="9968"/>
    <cellStyle name="Normal 2 2 2 3 5 5 2 2 2" xfId="16966"/>
    <cellStyle name="Normal 2 2 2 3 5 5 2 2 3" xfId="23933"/>
    <cellStyle name="Normal 2 2 2 3 5 5 2 2 4" xfId="30900"/>
    <cellStyle name="Normal 2 2 2 3 5 5 2 2 5" xfId="37869"/>
    <cellStyle name="Normal 2 2 2 3 5 5 2 3" xfId="14646"/>
    <cellStyle name="Normal 2 2 2 3 5 5 2 3 2" xfId="21613"/>
    <cellStyle name="Normal 2 2 2 3 5 5 2 3 3" xfId="28580"/>
    <cellStyle name="Normal 2 2 2 3 5 5 2 3 4" xfId="35549"/>
    <cellStyle name="Normal 2 2 2 3 5 5 2 4" xfId="12324"/>
    <cellStyle name="Normal 2 2 2 3 5 5 2 5" xfId="19291"/>
    <cellStyle name="Normal 2 2 2 3 5 5 2 6" xfId="26258"/>
    <cellStyle name="Normal 2 2 2 3 5 5 2 7" xfId="33226"/>
    <cellStyle name="Normal 2 2 2 3 5 5 3" xfId="9518"/>
    <cellStyle name="Normal 2 2 2 3 5 5 3 2" xfId="16554"/>
    <cellStyle name="Normal 2 2 2 3 5 5 3 3" xfId="23521"/>
    <cellStyle name="Normal 2 2 2 3 5 5 3 4" xfId="30488"/>
    <cellStyle name="Normal 2 2 2 3 5 5 3 5" xfId="37457"/>
    <cellStyle name="Normal 2 2 2 3 5 5 4" xfId="14234"/>
    <cellStyle name="Normal 2 2 2 3 5 5 4 2" xfId="21201"/>
    <cellStyle name="Normal 2 2 2 3 5 5 4 3" xfId="28168"/>
    <cellStyle name="Normal 2 2 2 3 5 5 4 4" xfId="35137"/>
    <cellStyle name="Normal 2 2 2 3 5 5 5" xfId="11912"/>
    <cellStyle name="Normal 2 2 2 3 5 5 6" xfId="18879"/>
    <cellStyle name="Normal 2 2 2 3 5 5 7" xfId="25846"/>
    <cellStyle name="Normal 2 2 2 3 5 5 8" xfId="32814"/>
    <cellStyle name="Normal 2 2 2 3 5 6" xfId="5108"/>
    <cellStyle name="Normal 2 2 2 3 5 6 2" xfId="9964"/>
    <cellStyle name="Normal 2 2 2 3 5 6 2 2" xfId="16962"/>
    <cellStyle name="Normal 2 2 2 3 5 6 2 3" xfId="23929"/>
    <cellStyle name="Normal 2 2 2 3 5 6 2 4" xfId="30896"/>
    <cellStyle name="Normal 2 2 2 3 5 6 2 5" xfId="37865"/>
    <cellStyle name="Normal 2 2 2 3 5 6 3" xfId="14642"/>
    <cellStyle name="Normal 2 2 2 3 5 6 3 2" xfId="21609"/>
    <cellStyle name="Normal 2 2 2 3 5 6 3 3" xfId="28576"/>
    <cellStyle name="Normal 2 2 2 3 5 6 3 4" xfId="35545"/>
    <cellStyle name="Normal 2 2 2 3 5 6 4" xfId="12320"/>
    <cellStyle name="Normal 2 2 2 3 5 6 5" xfId="19287"/>
    <cellStyle name="Normal 2 2 2 3 5 6 6" xfId="26254"/>
    <cellStyle name="Normal 2 2 2 3 5 6 7" xfId="33222"/>
    <cellStyle name="Normal 2 2 2 3 5 7" xfId="6807"/>
    <cellStyle name="Normal 2 2 2 3 5 7 2" xfId="10777"/>
    <cellStyle name="Normal 2 2 2 3 5 7 2 2" xfId="17751"/>
    <cellStyle name="Normal 2 2 2 3 5 7 2 3" xfId="24718"/>
    <cellStyle name="Normal 2 2 2 3 5 7 2 4" xfId="31685"/>
    <cellStyle name="Normal 2 2 2 3 5 7 2 5" xfId="38654"/>
    <cellStyle name="Normal 2 2 2 3 5 7 3" xfId="15431"/>
    <cellStyle name="Normal 2 2 2 3 5 7 3 2" xfId="22398"/>
    <cellStyle name="Normal 2 2 2 3 5 7 3 3" xfId="29365"/>
    <cellStyle name="Normal 2 2 2 3 5 7 3 4" xfId="36334"/>
    <cellStyle name="Normal 2 2 2 3 5 7 4" xfId="13109"/>
    <cellStyle name="Normal 2 2 2 3 5 7 5" xfId="20076"/>
    <cellStyle name="Normal 2 2 2 3 5 7 6" xfId="27043"/>
    <cellStyle name="Normal 2 2 2 3 5 7 7" xfId="34012"/>
    <cellStyle name="Normal 2 2 2 3 5 8" xfId="7120"/>
    <cellStyle name="Normal 2 2 2 3 5 8 2" xfId="15604"/>
    <cellStyle name="Normal 2 2 2 3 5 8 2 2" xfId="22571"/>
    <cellStyle name="Normal 2 2 2 3 5 8 2 3" xfId="29538"/>
    <cellStyle name="Normal 2 2 2 3 5 8 2 4" xfId="36507"/>
    <cellStyle name="Normal 2 2 2 3 5 8 3" xfId="13282"/>
    <cellStyle name="Normal 2 2 2 3 5 8 4" xfId="20249"/>
    <cellStyle name="Normal 2 2 2 3 5 8 5" xfId="27216"/>
    <cellStyle name="Normal 2 2 2 3 5 8 6" xfId="34185"/>
    <cellStyle name="Normal 2 2 2 3 5 9" xfId="7993"/>
    <cellStyle name="Normal 2 2 2 3 5 9 2" xfId="15776"/>
    <cellStyle name="Normal 2 2 2 3 5 9 2 2" xfId="22743"/>
    <cellStyle name="Normal 2 2 2 3 5 9 2 3" xfId="29710"/>
    <cellStyle name="Normal 2 2 2 3 5 9 2 4" xfId="36679"/>
    <cellStyle name="Normal 2 2 2 3 5 9 3" xfId="11132"/>
    <cellStyle name="Normal 2 2 2 3 5 9 4" xfId="18099"/>
    <cellStyle name="Normal 2 2 2 3 5 9 5" xfId="25066"/>
    <cellStyle name="Normal 2 2 2 3 5 9 6" xfId="32034"/>
    <cellStyle name="Normal 2 2 2 3 6" xfId="3842"/>
    <cellStyle name="Normal 2 2 2 3 6 2" xfId="5113"/>
    <cellStyle name="Normal 2 2 2 3 6 2 2" xfId="9969"/>
    <cellStyle name="Normal 2 2 2 3 6 2 2 2" xfId="16967"/>
    <cellStyle name="Normal 2 2 2 3 6 2 2 3" xfId="23934"/>
    <cellStyle name="Normal 2 2 2 3 6 2 2 4" xfId="30901"/>
    <cellStyle name="Normal 2 2 2 3 6 2 2 5" xfId="37870"/>
    <cellStyle name="Normal 2 2 2 3 6 2 3" xfId="14647"/>
    <cellStyle name="Normal 2 2 2 3 6 2 3 2" xfId="21614"/>
    <cellStyle name="Normal 2 2 2 3 6 2 3 3" xfId="28581"/>
    <cellStyle name="Normal 2 2 2 3 6 2 3 4" xfId="35550"/>
    <cellStyle name="Normal 2 2 2 3 6 2 4" xfId="12325"/>
    <cellStyle name="Normal 2 2 2 3 6 2 5" xfId="19292"/>
    <cellStyle name="Normal 2 2 2 3 6 2 6" xfId="26259"/>
    <cellStyle name="Normal 2 2 2 3 6 2 7" xfId="33227"/>
    <cellStyle name="Normal 2 2 2 3 6 3" xfId="9448"/>
    <cellStyle name="Normal 2 2 2 3 6 3 2" xfId="16486"/>
    <cellStyle name="Normal 2 2 2 3 6 3 3" xfId="23453"/>
    <cellStyle name="Normal 2 2 2 3 6 3 4" xfId="30420"/>
    <cellStyle name="Normal 2 2 2 3 6 3 5" xfId="37389"/>
    <cellStyle name="Normal 2 2 2 3 6 4" xfId="14166"/>
    <cellStyle name="Normal 2 2 2 3 6 4 2" xfId="21133"/>
    <cellStyle name="Normal 2 2 2 3 6 4 3" xfId="28100"/>
    <cellStyle name="Normal 2 2 2 3 6 4 4" xfId="35069"/>
    <cellStyle name="Normal 2 2 2 3 6 5" xfId="11844"/>
    <cellStyle name="Normal 2 2 2 3 6 6" xfId="18811"/>
    <cellStyle name="Normal 2 2 2 3 6 7" xfId="25778"/>
    <cellStyle name="Normal 2 2 2 3 6 8" xfId="32746"/>
    <cellStyle name="Normal 2 2 2 3 7" xfId="5090"/>
    <cellStyle name="Normal 2 2 2 3 8" xfId="6803"/>
    <cellStyle name="Normal 2 2 2 3 8 2" xfId="10773"/>
    <cellStyle name="Normal 2 2 2 3 8 2 2" xfId="17747"/>
    <cellStyle name="Normal 2 2 2 3 8 2 3" xfId="24714"/>
    <cellStyle name="Normal 2 2 2 3 8 2 4" xfId="31681"/>
    <cellStyle name="Normal 2 2 2 3 8 2 5" xfId="38650"/>
    <cellStyle name="Normal 2 2 2 3 8 3" xfId="15427"/>
    <cellStyle name="Normal 2 2 2 3 8 3 2" xfId="22394"/>
    <cellStyle name="Normal 2 2 2 3 8 3 3" xfId="29361"/>
    <cellStyle name="Normal 2 2 2 3 8 3 4" xfId="36330"/>
    <cellStyle name="Normal 2 2 2 3 8 4" xfId="13105"/>
    <cellStyle name="Normal 2 2 2 3 8 5" xfId="20072"/>
    <cellStyle name="Normal 2 2 2 3 8 6" xfId="27039"/>
    <cellStyle name="Normal 2 2 2 3 8 7" xfId="34008"/>
    <cellStyle name="Normal 2 2 2 3 9" xfId="7116"/>
    <cellStyle name="Normal 2 2 2 3 9 2" xfId="15600"/>
    <cellStyle name="Normal 2 2 2 3 9 2 2" xfId="22567"/>
    <cellStyle name="Normal 2 2 2 3 9 2 3" xfId="29534"/>
    <cellStyle name="Normal 2 2 2 3 9 2 4" xfId="36503"/>
    <cellStyle name="Normal 2 2 2 3 9 3" xfId="13278"/>
    <cellStyle name="Normal 2 2 2 3 9 4" xfId="20245"/>
    <cellStyle name="Normal 2 2 2 3 9 5" xfId="27212"/>
    <cellStyle name="Normal 2 2 2 3 9 6" xfId="34181"/>
    <cellStyle name="Normal 2 2 2 4" xfId="1630"/>
    <cellStyle name="Normal 2 2 2 4 2" xfId="1631"/>
    <cellStyle name="Normal 2 2 2 4 2 10" xfId="7995"/>
    <cellStyle name="Normal 2 2 2 4 2 10 2" xfId="15777"/>
    <cellStyle name="Normal 2 2 2 4 2 10 2 2" xfId="22744"/>
    <cellStyle name="Normal 2 2 2 4 2 10 2 3" xfId="29711"/>
    <cellStyle name="Normal 2 2 2 4 2 10 2 4" xfId="36680"/>
    <cellStyle name="Normal 2 2 2 4 2 10 3" xfId="11133"/>
    <cellStyle name="Normal 2 2 2 4 2 10 4" xfId="18100"/>
    <cellStyle name="Normal 2 2 2 4 2 10 5" xfId="25067"/>
    <cellStyle name="Normal 2 2 2 4 2 10 6" xfId="32035"/>
    <cellStyle name="Normal 2 2 2 4 2 11" xfId="13455"/>
    <cellStyle name="Normal 2 2 2 4 2 11 2" xfId="20422"/>
    <cellStyle name="Normal 2 2 2 4 2 11 3" xfId="27389"/>
    <cellStyle name="Normal 2 2 2 4 2 11 4" xfId="34358"/>
    <cellStyle name="Normal 2 2 2 4 2 12" xfId="10961"/>
    <cellStyle name="Normal 2 2 2 4 2 13" xfId="17927"/>
    <cellStyle name="Normal 2 2 2 4 2 14" xfId="24895"/>
    <cellStyle name="Normal 2 2 2 4 2 15" xfId="31863"/>
    <cellStyle name="Normal 2 2 2 4 2 2" xfId="1632"/>
    <cellStyle name="Normal 2 2 2 4 2 2 10" xfId="13456"/>
    <cellStyle name="Normal 2 2 2 4 2 2 10 2" xfId="20423"/>
    <cellStyle name="Normal 2 2 2 4 2 2 10 3" xfId="27390"/>
    <cellStyle name="Normal 2 2 2 4 2 2 10 4" xfId="34359"/>
    <cellStyle name="Normal 2 2 2 4 2 2 11" xfId="10962"/>
    <cellStyle name="Normal 2 2 2 4 2 2 12" xfId="17928"/>
    <cellStyle name="Normal 2 2 2 4 2 2 13" xfId="24896"/>
    <cellStyle name="Normal 2 2 2 4 2 2 14" xfId="31864"/>
    <cellStyle name="Normal 2 2 2 4 2 2 2" xfId="3260"/>
    <cellStyle name="Normal 2 2 2 4 2 2 2 2" xfId="5117"/>
    <cellStyle name="Normal 2 2 2 4 2 2 2 2 2" xfId="9972"/>
    <cellStyle name="Normal 2 2 2 4 2 2 2 2 2 2" xfId="16970"/>
    <cellStyle name="Normal 2 2 2 4 2 2 2 2 2 3" xfId="23937"/>
    <cellStyle name="Normal 2 2 2 4 2 2 2 2 2 4" xfId="30904"/>
    <cellStyle name="Normal 2 2 2 4 2 2 2 2 2 5" xfId="37873"/>
    <cellStyle name="Normal 2 2 2 4 2 2 2 2 3" xfId="14650"/>
    <cellStyle name="Normal 2 2 2 4 2 2 2 2 3 2" xfId="21617"/>
    <cellStyle name="Normal 2 2 2 4 2 2 2 2 3 3" xfId="28584"/>
    <cellStyle name="Normal 2 2 2 4 2 2 2 2 3 4" xfId="35553"/>
    <cellStyle name="Normal 2 2 2 4 2 2 2 2 4" xfId="12328"/>
    <cellStyle name="Normal 2 2 2 4 2 2 2 2 5" xfId="19295"/>
    <cellStyle name="Normal 2 2 2 4 2 2 2 2 6" xfId="26262"/>
    <cellStyle name="Normal 2 2 2 4 2 2 2 2 7" xfId="33230"/>
    <cellStyle name="Normal 2 2 2 4 2 2 2 3" xfId="8894"/>
    <cellStyle name="Normal 2 2 2 4 2 2 2 3 2" xfId="15946"/>
    <cellStyle name="Normal 2 2 2 4 2 2 2 3 3" xfId="22913"/>
    <cellStyle name="Normal 2 2 2 4 2 2 2 3 4" xfId="29880"/>
    <cellStyle name="Normal 2 2 2 4 2 2 2 3 5" xfId="36849"/>
    <cellStyle name="Normal 2 2 2 4 2 2 2 4" xfId="13624"/>
    <cellStyle name="Normal 2 2 2 4 2 2 2 4 2" xfId="20591"/>
    <cellStyle name="Normal 2 2 2 4 2 2 2 4 3" xfId="27558"/>
    <cellStyle name="Normal 2 2 2 4 2 2 2 4 4" xfId="34527"/>
    <cellStyle name="Normal 2 2 2 4 2 2 2 5" xfId="11302"/>
    <cellStyle name="Normal 2 2 2 4 2 2 2 6" xfId="18269"/>
    <cellStyle name="Normal 2 2 2 4 2 2 2 7" xfId="25236"/>
    <cellStyle name="Normal 2 2 2 4 2 2 2 8" xfId="32204"/>
    <cellStyle name="Normal 2 2 2 4 2 2 3" xfId="3462"/>
    <cellStyle name="Normal 2 2 2 4 2 2 3 2" xfId="5118"/>
    <cellStyle name="Normal 2 2 2 4 2 2 3 2 2" xfId="9973"/>
    <cellStyle name="Normal 2 2 2 4 2 2 3 2 2 2" xfId="16971"/>
    <cellStyle name="Normal 2 2 2 4 2 2 3 2 2 3" xfId="23938"/>
    <cellStyle name="Normal 2 2 2 4 2 2 3 2 2 4" xfId="30905"/>
    <cellStyle name="Normal 2 2 2 4 2 2 3 2 2 5" xfId="37874"/>
    <cellStyle name="Normal 2 2 2 4 2 2 3 2 3" xfId="14651"/>
    <cellStyle name="Normal 2 2 2 4 2 2 3 2 3 2" xfId="21618"/>
    <cellStyle name="Normal 2 2 2 4 2 2 3 2 3 3" xfId="28585"/>
    <cellStyle name="Normal 2 2 2 4 2 2 3 2 3 4" xfId="35554"/>
    <cellStyle name="Normal 2 2 2 4 2 2 3 2 4" xfId="12329"/>
    <cellStyle name="Normal 2 2 2 4 2 2 3 2 5" xfId="19296"/>
    <cellStyle name="Normal 2 2 2 4 2 2 3 2 6" xfId="26263"/>
    <cellStyle name="Normal 2 2 2 4 2 2 3 2 7" xfId="33231"/>
    <cellStyle name="Normal 2 2 2 4 2 2 3 3" xfId="9074"/>
    <cellStyle name="Normal 2 2 2 4 2 2 3 3 2" xfId="16113"/>
    <cellStyle name="Normal 2 2 2 4 2 2 3 3 3" xfId="23080"/>
    <cellStyle name="Normal 2 2 2 4 2 2 3 3 4" xfId="30047"/>
    <cellStyle name="Normal 2 2 2 4 2 2 3 3 5" xfId="37016"/>
    <cellStyle name="Normal 2 2 2 4 2 2 3 4" xfId="13793"/>
    <cellStyle name="Normal 2 2 2 4 2 2 3 4 2" xfId="20760"/>
    <cellStyle name="Normal 2 2 2 4 2 2 3 4 3" xfId="27727"/>
    <cellStyle name="Normal 2 2 2 4 2 2 3 4 4" xfId="34696"/>
    <cellStyle name="Normal 2 2 2 4 2 2 3 5" xfId="11471"/>
    <cellStyle name="Normal 2 2 2 4 2 2 3 6" xfId="18438"/>
    <cellStyle name="Normal 2 2 2 4 2 2 3 7" xfId="25405"/>
    <cellStyle name="Normal 2 2 2 4 2 2 3 8" xfId="32373"/>
    <cellStyle name="Normal 2 2 2 4 2 2 4" xfId="3637"/>
    <cellStyle name="Normal 2 2 2 4 2 2 4 2" xfId="5119"/>
    <cellStyle name="Normal 2 2 2 4 2 2 4 2 2" xfId="9974"/>
    <cellStyle name="Normal 2 2 2 4 2 2 4 2 2 2" xfId="16972"/>
    <cellStyle name="Normal 2 2 2 4 2 2 4 2 2 3" xfId="23939"/>
    <cellStyle name="Normal 2 2 2 4 2 2 4 2 2 4" xfId="30906"/>
    <cellStyle name="Normal 2 2 2 4 2 2 4 2 2 5" xfId="37875"/>
    <cellStyle name="Normal 2 2 2 4 2 2 4 2 3" xfId="14652"/>
    <cellStyle name="Normal 2 2 2 4 2 2 4 2 3 2" xfId="21619"/>
    <cellStyle name="Normal 2 2 2 4 2 2 4 2 3 3" xfId="28586"/>
    <cellStyle name="Normal 2 2 2 4 2 2 4 2 3 4" xfId="35555"/>
    <cellStyle name="Normal 2 2 2 4 2 2 4 2 4" xfId="12330"/>
    <cellStyle name="Normal 2 2 2 4 2 2 4 2 5" xfId="19297"/>
    <cellStyle name="Normal 2 2 2 4 2 2 4 2 6" xfId="26264"/>
    <cellStyle name="Normal 2 2 2 4 2 2 4 2 7" xfId="33232"/>
    <cellStyle name="Normal 2 2 2 4 2 2 4 3" xfId="9245"/>
    <cellStyle name="Normal 2 2 2 4 2 2 4 3 2" xfId="16284"/>
    <cellStyle name="Normal 2 2 2 4 2 2 4 3 3" xfId="23251"/>
    <cellStyle name="Normal 2 2 2 4 2 2 4 3 4" xfId="30218"/>
    <cellStyle name="Normal 2 2 2 4 2 2 4 3 5" xfId="37187"/>
    <cellStyle name="Normal 2 2 2 4 2 2 4 4" xfId="13964"/>
    <cellStyle name="Normal 2 2 2 4 2 2 4 4 2" xfId="20931"/>
    <cellStyle name="Normal 2 2 2 4 2 2 4 4 3" xfId="27898"/>
    <cellStyle name="Normal 2 2 2 4 2 2 4 4 4" xfId="34867"/>
    <cellStyle name="Normal 2 2 2 4 2 2 4 5" xfId="11642"/>
    <cellStyle name="Normal 2 2 2 4 2 2 4 6" xfId="18609"/>
    <cellStyle name="Normal 2 2 2 4 2 2 4 7" xfId="25576"/>
    <cellStyle name="Normal 2 2 2 4 2 2 4 8" xfId="32544"/>
    <cellStyle name="Normal 2 2 2 4 2 2 5" xfId="3914"/>
    <cellStyle name="Normal 2 2 2 4 2 2 5 2" xfId="5120"/>
    <cellStyle name="Normal 2 2 2 4 2 2 5 2 2" xfId="9975"/>
    <cellStyle name="Normal 2 2 2 4 2 2 5 2 2 2" xfId="16973"/>
    <cellStyle name="Normal 2 2 2 4 2 2 5 2 2 3" xfId="23940"/>
    <cellStyle name="Normal 2 2 2 4 2 2 5 2 2 4" xfId="30907"/>
    <cellStyle name="Normal 2 2 2 4 2 2 5 2 2 5" xfId="37876"/>
    <cellStyle name="Normal 2 2 2 4 2 2 5 2 3" xfId="14653"/>
    <cellStyle name="Normal 2 2 2 4 2 2 5 2 3 2" xfId="21620"/>
    <cellStyle name="Normal 2 2 2 4 2 2 5 2 3 3" xfId="28587"/>
    <cellStyle name="Normal 2 2 2 4 2 2 5 2 3 4" xfId="35556"/>
    <cellStyle name="Normal 2 2 2 4 2 2 5 2 4" xfId="12331"/>
    <cellStyle name="Normal 2 2 2 4 2 2 5 2 5" xfId="19298"/>
    <cellStyle name="Normal 2 2 2 4 2 2 5 2 6" xfId="26265"/>
    <cellStyle name="Normal 2 2 2 4 2 2 5 2 7" xfId="33233"/>
    <cellStyle name="Normal 2 2 2 4 2 2 5 3" xfId="9520"/>
    <cellStyle name="Normal 2 2 2 4 2 2 5 3 2" xfId="16556"/>
    <cellStyle name="Normal 2 2 2 4 2 2 5 3 3" xfId="23523"/>
    <cellStyle name="Normal 2 2 2 4 2 2 5 3 4" xfId="30490"/>
    <cellStyle name="Normal 2 2 2 4 2 2 5 3 5" xfId="37459"/>
    <cellStyle name="Normal 2 2 2 4 2 2 5 4" xfId="14236"/>
    <cellStyle name="Normal 2 2 2 4 2 2 5 4 2" xfId="21203"/>
    <cellStyle name="Normal 2 2 2 4 2 2 5 4 3" xfId="28170"/>
    <cellStyle name="Normal 2 2 2 4 2 2 5 4 4" xfId="35139"/>
    <cellStyle name="Normal 2 2 2 4 2 2 5 5" xfId="11914"/>
    <cellStyle name="Normal 2 2 2 4 2 2 5 6" xfId="18881"/>
    <cellStyle name="Normal 2 2 2 4 2 2 5 7" xfId="25848"/>
    <cellStyle name="Normal 2 2 2 4 2 2 5 8" xfId="32816"/>
    <cellStyle name="Normal 2 2 2 4 2 2 6" xfId="5116"/>
    <cellStyle name="Normal 2 2 2 4 2 2 6 2" xfId="9971"/>
    <cellStyle name="Normal 2 2 2 4 2 2 6 2 2" xfId="16969"/>
    <cellStyle name="Normal 2 2 2 4 2 2 6 2 3" xfId="23936"/>
    <cellStyle name="Normal 2 2 2 4 2 2 6 2 4" xfId="30903"/>
    <cellStyle name="Normal 2 2 2 4 2 2 6 2 5" xfId="37872"/>
    <cellStyle name="Normal 2 2 2 4 2 2 6 3" xfId="14649"/>
    <cellStyle name="Normal 2 2 2 4 2 2 6 3 2" xfId="21616"/>
    <cellStyle name="Normal 2 2 2 4 2 2 6 3 3" xfId="28583"/>
    <cellStyle name="Normal 2 2 2 4 2 2 6 3 4" xfId="35552"/>
    <cellStyle name="Normal 2 2 2 4 2 2 6 4" xfId="12327"/>
    <cellStyle name="Normal 2 2 2 4 2 2 6 5" xfId="19294"/>
    <cellStyle name="Normal 2 2 2 4 2 2 6 6" xfId="26261"/>
    <cellStyle name="Normal 2 2 2 4 2 2 6 7" xfId="33229"/>
    <cellStyle name="Normal 2 2 2 4 2 2 7" xfId="6809"/>
    <cellStyle name="Normal 2 2 2 4 2 2 7 2" xfId="10779"/>
    <cellStyle name="Normal 2 2 2 4 2 2 7 2 2" xfId="17753"/>
    <cellStyle name="Normal 2 2 2 4 2 2 7 2 3" xfId="24720"/>
    <cellStyle name="Normal 2 2 2 4 2 2 7 2 4" xfId="31687"/>
    <cellStyle name="Normal 2 2 2 4 2 2 7 2 5" xfId="38656"/>
    <cellStyle name="Normal 2 2 2 4 2 2 7 3" xfId="15433"/>
    <cellStyle name="Normal 2 2 2 4 2 2 7 3 2" xfId="22400"/>
    <cellStyle name="Normal 2 2 2 4 2 2 7 3 3" xfId="29367"/>
    <cellStyle name="Normal 2 2 2 4 2 2 7 3 4" xfId="36336"/>
    <cellStyle name="Normal 2 2 2 4 2 2 7 4" xfId="13111"/>
    <cellStyle name="Normal 2 2 2 4 2 2 7 5" xfId="20078"/>
    <cellStyle name="Normal 2 2 2 4 2 2 7 6" xfId="27045"/>
    <cellStyle name="Normal 2 2 2 4 2 2 7 7" xfId="34014"/>
    <cellStyle name="Normal 2 2 2 4 2 2 8" xfId="7122"/>
    <cellStyle name="Normal 2 2 2 4 2 2 8 2" xfId="15606"/>
    <cellStyle name="Normal 2 2 2 4 2 2 8 2 2" xfId="22573"/>
    <cellStyle name="Normal 2 2 2 4 2 2 8 2 3" xfId="29540"/>
    <cellStyle name="Normal 2 2 2 4 2 2 8 2 4" xfId="36509"/>
    <cellStyle name="Normal 2 2 2 4 2 2 8 3" xfId="13284"/>
    <cellStyle name="Normal 2 2 2 4 2 2 8 4" xfId="20251"/>
    <cellStyle name="Normal 2 2 2 4 2 2 8 5" xfId="27218"/>
    <cellStyle name="Normal 2 2 2 4 2 2 8 6" xfId="34187"/>
    <cellStyle name="Normal 2 2 2 4 2 2 9" xfId="7996"/>
    <cellStyle name="Normal 2 2 2 4 2 2 9 2" xfId="15778"/>
    <cellStyle name="Normal 2 2 2 4 2 2 9 2 2" xfId="22745"/>
    <cellStyle name="Normal 2 2 2 4 2 2 9 2 3" xfId="29712"/>
    <cellStyle name="Normal 2 2 2 4 2 2 9 2 4" xfId="36681"/>
    <cellStyle name="Normal 2 2 2 4 2 2 9 3" xfId="11134"/>
    <cellStyle name="Normal 2 2 2 4 2 2 9 4" xfId="18101"/>
    <cellStyle name="Normal 2 2 2 4 2 2 9 5" xfId="25068"/>
    <cellStyle name="Normal 2 2 2 4 2 2 9 6" xfId="32036"/>
    <cellStyle name="Normal 2 2 2 4 2 3" xfId="3259"/>
    <cellStyle name="Normal 2 2 2 4 2 3 2" xfId="3839"/>
    <cellStyle name="Normal 2 2 2 4 2 3 2 2" xfId="5122"/>
    <cellStyle name="Normal 2 2 2 4 2 3 2 2 2" xfId="9977"/>
    <cellStyle name="Normal 2 2 2 4 2 3 2 2 2 2" xfId="16975"/>
    <cellStyle name="Normal 2 2 2 4 2 3 2 2 2 3" xfId="23942"/>
    <cellStyle name="Normal 2 2 2 4 2 3 2 2 2 4" xfId="30909"/>
    <cellStyle name="Normal 2 2 2 4 2 3 2 2 2 5" xfId="37878"/>
    <cellStyle name="Normal 2 2 2 4 2 3 2 2 3" xfId="14655"/>
    <cellStyle name="Normal 2 2 2 4 2 3 2 2 3 2" xfId="21622"/>
    <cellStyle name="Normal 2 2 2 4 2 3 2 2 3 3" xfId="28589"/>
    <cellStyle name="Normal 2 2 2 4 2 3 2 2 3 4" xfId="35558"/>
    <cellStyle name="Normal 2 2 2 4 2 3 2 2 4" xfId="12333"/>
    <cellStyle name="Normal 2 2 2 4 2 3 2 2 5" xfId="19300"/>
    <cellStyle name="Normal 2 2 2 4 2 3 2 2 6" xfId="26267"/>
    <cellStyle name="Normal 2 2 2 4 2 3 2 2 7" xfId="33235"/>
    <cellStyle name="Normal 2 2 2 4 2 3 2 3" xfId="9445"/>
    <cellStyle name="Normal 2 2 2 4 2 3 2 3 2" xfId="16483"/>
    <cellStyle name="Normal 2 2 2 4 2 3 2 3 3" xfId="23450"/>
    <cellStyle name="Normal 2 2 2 4 2 3 2 3 4" xfId="30417"/>
    <cellStyle name="Normal 2 2 2 4 2 3 2 3 5" xfId="37386"/>
    <cellStyle name="Normal 2 2 2 4 2 3 2 4" xfId="14163"/>
    <cellStyle name="Normal 2 2 2 4 2 3 2 4 2" xfId="21130"/>
    <cellStyle name="Normal 2 2 2 4 2 3 2 4 3" xfId="28097"/>
    <cellStyle name="Normal 2 2 2 4 2 3 2 4 4" xfId="35066"/>
    <cellStyle name="Normal 2 2 2 4 2 3 2 5" xfId="11841"/>
    <cellStyle name="Normal 2 2 2 4 2 3 2 6" xfId="18808"/>
    <cellStyle name="Normal 2 2 2 4 2 3 2 7" xfId="25775"/>
    <cellStyle name="Normal 2 2 2 4 2 3 2 8" xfId="32743"/>
    <cellStyle name="Normal 2 2 2 4 2 3 3" xfId="5121"/>
    <cellStyle name="Normal 2 2 2 4 2 3 3 2" xfId="9976"/>
    <cellStyle name="Normal 2 2 2 4 2 3 3 2 2" xfId="16974"/>
    <cellStyle name="Normal 2 2 2 4 2 3 3 2 3" xfId="23941"/>
    <cellStyle name="Normal 2 2 2 4 2 3 3 2 4" xfId="30908"/>
    <cellStyle name="Normal 2 2 2 4 2 3 3 2 5" xfId="37877"/>
    <cellStyle name="Normal 2 2 2 4 2 3 3 3" xfId="14654"/>
    <cellStyle name="Normal 2 2 2 4 2 3 3 3 2" xfId="21621"/>
    <cellStyle name="Normal 2 2 2 4 2 3 3 3 3" xfId="28588"/>
    <cellStyle name="Normal 2 2 2 4 2 3 3 3 4" xfId="35557"/>
    <cellStyle name="Normal 2 2 2 4 2 3 3 4" xfId="12332"/>
    <cellStyle name="Normal 2 2 2 4 2 3 3 5" xfId="19299"/>
    <cellStyle name="Normal 2 2 2 4 2 3 3 6" xfId="26266"/>
    <cellStyle name="Normal 2 2 2 4 2 3 3 7" xfId="33234"/>
    <cellStyle name="Normal 2 2 2 4 2 3 4" xfId="8893"/>
    <cellStyle name="Normal 2 2 2 4 2 3 4 2" xfId="15945"/>
    <cellStyle name="Normal 2 2 2 4 2 3 4 3" xfId="22912"/>
    <cellStyle name="Normal 2 2 2 4 2 3 4 4" xfId="29879"/>
    <cellStyle name="Normal 2 2 2 4 2 3 4 5" xfId="36848"/>
    <cellStyle name="Normal 2 2 2 4 2 3 5" xfId="13623"/>
    <cellStyle name="Normal 2 2 2 4 2 3 5 2" xfId="20590"/>
    <cellStyle name="Normal 2 2 2 4 2 3 5 3" xfId="27557"/>
    <cellStyle name="Normal 2 2 2 4 2 3 5 4" xfId="34526"/>
    <cellStyle name="Normal 2 2 2 4 2 3 6" xfId="11301"/>
    <cellStyle name="Normal 2 2 2 4 2 3 7" xfId="18268"/>
    <cellStyle name="Normal 2 2 2 4 2 3 8" xfId="25235"/>
    <cellStyle name="Normal 2 2 2 4 2 3 9" xfId="32203"/>
    <cellStyle name="Normal 2 2 2 4 2 4" xfId="3461"/>
    <cellStyle name="Normal 2 2 2 4 2 4 2" xfId="5123"/>
    <cellStyle name="Normal 2 2 2 4 2 4 2 2" xfId="9978"/>
    <cellStyle name="Normal 2 2 2 4 2 4 2 2 2" xfId="16976"/>
    <cellStyle name="Normal 2 2 2 4 2 4 2 2 3" xfId="23943"/>
    <cellStyle name="Normal 2 2 2 4 2 4 2 2 4" xfId="30910"/>
    <cellStyle name="Normal 2 2 2 4 2 4 2 2 5" xfId="37879"/>
    <cellStyle name="Normal 2 2 2 4 2 4 2 3" xfId="14656"/>
    <cellStyle name="Normal 2 2 2 4 2 4 2 3 2" xfId="21623"/>
    <cellStyle name="Normal 2 2 2 4 2 4 2 3 3" xfId="28590"/>
    <cellStyle name="Normal 2 2 2 4 2 4 2 3 4" xfId="35559"/>
    <cellStyle name="Normal 2 2 2 4 2 4 2 4" xfId="12334"/>
    <cellStyle name="Normal 2 2 2 4 2 4 2 5" xfId="19301"/>
    <cellStyle name="Normal 2 2 2 4 2 4 2 6" xfId="26268"/>
    <cellStyle name="Normal 2 2 2 4 2 4 2 7" xfId="33236"/>
    <cellStyle name="Normal 2 2 2 4 2 4 3" xfId="9073"/>
    <cellStyle name="Normal 2 2 2 4 2 4 3 2" xfId="16112"/>
    <cellStyle name="Normal 2 2 2 4 2 4 3 3" xfId="23079"/>
    <cellStyle name="Normal 2 2 2 4 2 4 3 4" xfId="30046"/>
    <cellStyle name="Normal 2 2 2 4 2 4 3 5" xfId="37015"/>
    <cellStyle name="Normal 2 2 2 4 2 4 4" xfId="13792"/>
    <cellStyle name="Normal 2 2 2 4 2 4 4 2" xfId="20759"/>
    <cellStyle name="Normal 2 2 2 4 2 4 4 3" xfId="27726"/>
    <cellStyle name="Normal 2 2 2 4 2 4 4 4" xfId="34695"/>
    <cellStyle name="Normal 2 2 2 4 2 4 5" xfId="11470"/>
    <cellStyle name="Normal 2 2 2 4 2 4 6" xfId="18437"/>
    <cellStyle name="Normal 2 2 2 4 2 4 7" xfId="25404"/>
    <cellStyle name="Normal 2 2 2 4 2 4 8" xfId="32372"/>
    <cellStyle name="Normal 2 2 2 4 2 5" xfId="3636"/>
    <cellStyle name="Normal 2 2 2 4 2 5 2" xfId="5124"/>
    <cellStyle name="Normal 2 2 2 4 2 5 2 2" xfId="9979"/>
    <cellStyle name="Normal 2 2 2 4 2 5 2 2 2" xfId="16977"/>
    <cellStyle name="Normal 2 2 2 4 2 5 2 2 3" xfId="23944"/>
    <cellStyle name="Normal 2 2 2 4 2 5 2 2 4" xfId="30911"/>
    <cellStyle name="Normal 2 2 2 4 2 5 2 2 5" xfId="37880"/>
    <cellStyle name="Normal 2 2 2 4 2 5 2 3" xfId="14657"/>
    <cellStyle name="Normal 2 2 2 4 2 5 2 3 2" xfId="21624"/>
    <cellStyle name="Normal 2 2 2 4 2 5 2 3 3" xfId="28591"/>
    <cellStyle name="Normal 2 2 2 4 2 5 2 3 4" xfId="35560"/>
    <cellStyle name="Normal 2 2 2 4 2 5 2 4" xfId="12335"/>
    <cellStyle name="Normal 2 2 2 4 2 5 2 5" xfId="19302"/>
    <cellStyle name="Normal 2 2 2 4 2 5 2 6" xfId="26269"/>
    <cellStyle name="Normal 2 2 2 4 2 5 2 7" xfId="33237"/>
    <cellStyle name="Normal 2 2 2 4 2 5 3" xfId="9244"/>
    <cellStyle name="Normal 2 2 2 4 2 5 3 2" xfId="16283"/>
    <cellStyle name="Normal 2 2 2 4 2 5 3 3" xfId="23250"/>
    <cellStyle name="Normal 2 2 2 4 2 5 3 4" xfId="30217"/>
    <cellStyle name="Normal 2 2 2 4 2 5 3 5" xfId="37186"/>
    <cellStyle name="Normal 2 2 2 4 2 5 4" xfId="13963"/>
    <cellStyle name="Normal 2 2 2 4 2 5 4 2" xfId="20930"/>
    <cellStyle name="Normal 2 2 2 4 2 5 4 3" xfId="27897"/>
    <cellStyle name="Normal 2 2 2 4 2 5 4 4" xfId="34866"/>
    <cellStyle name="Normal 2 2 2 4 2 5 5" xfId="11641"/>
    <cellStyle name="Normal 2 2 2 4 2 5 6" xfId="18608"/>
    <cellStyle name="Normal 2 2 2 4 2 5 7" xfId="25575"/>
    <cellStyle name="Normal 2 2 2 4 2 5 8" xfId="32543"/>
    <cellStyle name="Normal 2 2 2 4 2 6" xfId="3913"/>
    <cellStyle name="Normal 2 2 2 4 2 6 2" xfId="5125"/>
    <cellStyle name="Normal 2 2 2 4 2 6 2 2" xfId="9980"/>
    <cellStyle name="Normal 2 2 2 4 2 6 2 2 2" xfId="16978"/>
    <cellStyle name="Normal 2 2 2 4 2 6 2 2 3" xfId="23945"/>
    <cellStyle name="Normal 2 2 2 4 2 6 2 2 4" xfId="30912"/>
    <cellStyle name="Normal 2 2 2 4 2 6 2 2 5" xfId="37881"/>
    <cellStyle name="Normal 2 2 2 4 2 6 2 3" xfId="14658"/>
    <cellStyle name="Normal 2 2 2 4 2 6 2 3 2" xfId="21625"/>
    <cellStyle name="Normal 2 2 2 4 2 6 2 3 3" xfId="28592"/>
    <cellStyle name="Normal 2 2 2 4 2 6 2 3 4" xfId="35561"/>
    <cellStyle name="Normal 2 2 2 4 2 6 2 4" xfId="12336"/>
    <cellStyle name="Normal 2 2 2 4 2 6 2 5" xfId="19303"/>
    <cellStyle name="Normal 2 2 2 4 2 6 2 6" xfId="26270"/>
    <cellStyle name="Normal 2 2 2 4 2 6 2 7" xfId="33238"/>
    <cellStyle name="Normal 2 2 2 4 2 6 3" xfId="9519"/>
    <cellStyle name="Normal 2 2 2 4 2 6 3 2" xfId="16555"/>
    <cellStyle name="Normal 2 2 2 4 2 6 3 3" xfId="23522"/>
    <cellStyle name="Normal 2 2 2 4 2 6 3 4" xfId="30489"/>
    <cellStyle name="Normal 2 2 2 4 2 6 3 5" xfId="37458"/>
    <cellStyle name="Normal 2 2 2 4 2 6 4" xfId="14235"/>
    <cellStyle name="Normal 2 2 2 4 2 6 4 2" xfId="21202"/>
    <cellStyle name="Normal 2 2 2 4 2 6 4 3" xfId="28169"/>
    <cellStyle name="Normal 2 2 2 4 2 6 4 4" xfId="35138"/>
    <cellStyle name="Normal 2 2 2 4 2 6 5" xfId="11913"/>
    <cellStyle name="Normal 2 2 2 4 2 6 6" xfId="18880"/>
    <cellStyle name="Normal 2 2 2 4 2 6 7" xfId="25847"/>
    <cellStyle name="Normal 2 2 2 4 2 6 8" xfId="32815"/>
    <cellStyle name="Normal 2 2 2 4 2 7" xfId="5115"/>
    <cellStyle name="Normal 2 2 2 4 2 7 2" xfId="9970"/>
    <cellStyle name="Normal 2 2 2 4 2 7 2 2" xfId="16968"/>
    <cellStyle name="Normal 2 2 2 4 2 7 2 3" xfId="23935"/>
    <cellStyle name="Normal 2 2 2 4 2 7 2 4" xfId="30902"/>
    <cellStyle name="Normal 2 2 2 4 2 7 2 5" xfId="37871"/>
    <cellStyle name="Normal 2 2 2 4 2 7 3" xfId="14648"/>
    <cellStyle name="Normal 2 2 2 4 2 7 3 2" xfId="21615"/>
    <cellStyle name="Normal 2 2 2 4 2 7 3 3" xfId="28582"/>
    <cellStyle name="Normal 2 2 2 4 2 7 3 4" xfId="35551"/>
    <cellStyle name="Normal 2 2 2 4 2 7 4" xfId="12326"/>
    <cellStyle name="Normal 2 2 2 4 2 7 5" xfId="19293"/>
    <cellStyle name="Normal 2 2 2 4 2 7 6" xfId="26260"/>
    <cellStyle name="Normal 2 2 2 4 2 7 7" xfId="33228"/>
    <cellStyle name="Normal 2 2 2 4 2 8" xfId="6808"/>
    <cellStyle name="Normal 2 2 2 4 2 8 2" xfId="10778"/>
    <cellStyle name="Normal 2 2 2 4 2 8 2 2" xfId="17752"/>
    <cellStyle name="Normal 2 2 2 4 2 8 2 3" xfId="24719"/>
    <cellStyle name="Normal 2 2 2 4 2 8 2 4" xfId="31686"/>
    <cellStyle name="Normal 2 2 2 4 2 8 2 5" xfId="38655"/>
    <cellStyle name="Normal 2 2 2 4 2 8 3" xfId="15432"/>
    <cellStyle name="Normal 2 2 2 4 2 8 3 2" xfId="22399"/>
    <cellStyle name="Normal 2 2 2 4 2 8 3 3" xfId="29366"/>
    <cellStyle name="Normal 2 2 2 4 2 8 3 4" xfId="36335"/>
    <cellStyle name="Normal 2 2 2 4 2 8 4" xfId="13110"/>
    <cellStyle name="Normal 2 2 2 4 2 8 5" xfId="20077"/>
    <cellStyle name="Normal 2 2 2 4 2 8 6" xfId="27044"/>
    <cellStyle name="Normal 2 2 2 4 2 8 7" xfId="34013"/>
    <cellStyle name="Normal 2 2 2 4 2 9" xfId="7121"/>
    <cellStyle name="Normal 2 2 2 4 2 9 2" xfId="15605"/>
    <cellStyle name="Normal 2 2 2 4 2 9 2 2" xfId="22572"/>
    <cellStyle name="Normal 2 2 2 4 2 9 2 3" xfId="29539"/>
    <cellStyle name="Normal 2 2 2 4 2 9 2 4" xfId="36508"/>
    <cellStyle name="Normal 2 2 2 4 2 9 3" xfId="13283"/>
    <cellStyle name="Normal 2 2 2 4 2 9 4" xfId="20250"/>
    <cellStyle name="Normal 2 2 2 4 2 9 5" xfId="27217"/>
    <cellStyle name="Normal 2 2 2 4 2 9 6" xfId="34186"/>
    <cellStyle name="Normal 2 2 2 4 3" xfId="3840"/>
    <cellStyle name="Normal 2 2 2 4 3 2" xfId="5126"/>
    <cellStyle name="Normal 2 2 2 4 3 2 2" xfId="9981"/>
    <cellStyle name="Normal 2 2 2 4 3 2 2 2" xfId="16979"/>
    <cellStyle name="Normal 2 2 2 4 3 2 2 3" xfId="23946"/>
    <cellStyle name="Normal 2 2 2 4 3 2 2 4" xfId="30913"/>
    <cellStyle name="Normal 2 2 2 4 3 2 2 5" xfId="37882"/>
    <cellStyle name="Normal 2 2 2 4 3 2 3" xfId="14659"/>
    <cellStyle name="Normal 2 2 2 4 3 2 3 2" xfId="21626"/>
    <cellStyle name="Normal 2 2 2 4 3 2 3 3" xfId="28593"/>
    <cellStyle name="Normal 2 2 2 4 3 2 3 4" xfId="35562"/>
    <cellStyle name="Normal 2 2 2 4 3 2 4" xfId="12337"/>
    <cellStyle name="Normal 2 2 2 4 3 2 5" xfId="19304"/>
    <cellStyle name="Normal 2 2 2 4 3 2 6" xfId="26271"/>
    <cellStyle name="Normal 2 2 2 4 3 2 7" xfId="33239"/>
    <cellStyle name="Normal 2 2 2 4 3 3" xfId="9446"/>
    <cellStyle name="Normal 2 2 2 4 3 3 2" xfId="16484"/>
    <cellStyle name="Normal 2 2 2 4 3 3 3" xfId="23451"/>
    <cellStyle name="Normal 2 2 2 4 3 3 4" xfId="30418"/>
    <cellStyle name="Normal 2 2 2 4 3 3 5" xfId="37387"/>
    <cellStyle name="Normal 2 2 2 4 3 4" xfId="14164"/>
    <cellStyle name="Normal 2 2 2 4 3 4 2" xfId="21131"/>
    <cellStyle name="Normal 2 2 2 4 3 4 3" xfId="28098"/>
    <cellStyle name="Normal 2 2 2 4 3 4 4" xfId="35067"/>
    <cellStyle name="Normal 2 2 2 4 3 5" xfId="11842"/>
    <cellStyle name="Normal 2 2 2 4 3 6" xfId="18809"/>
    <cellStyle name="Normal 2 2 2 4 3 7" xfId="25776"/>
    <cellStyle name="Normal 2 2 2 4 3 8" xfId="32744"/>
    <cellStyle name="Normal 2 2 2 4 4" xfId="5114"/>
    <cellStyle name="Normal 2 2 2 4 5" xfId="7994"/>
    <cellStyle name="Normal 2 2 2 5" xfId="1633"/>
    <cellStyle name="Normal 2 2 2 5 2" xfId="1634"/>
    <cellStyle name="Normal 2 2 2 5 2 2" xfId="3838"/>
    <cellStyle name="Normal 2 2 2 5 2 2 2" xfId="5129"/>
    <cellStyle name="Normal 2 2 2 5 2 2 2 2" xfId="9982"/>
    <cellStyle name="Normal 2 2 2 5 2 2 2 2 2" xfId="16980"/>
    <cellStyle name="Normal 2 2 2 5 2 2 2 2 3" xfId="23947"/>
    <cellStyle name="Normal 2 2 2 5 2 2 2 2 4" xfId="30914"/>
    <cellStyle name="Normal 2 2 2 5 2 2 2 2 5" xfId="37883"/>
    <cellStyle name="Normal 2 2 2 5 2 2 2 3" xfId="14660"/>
    <cellStyle name="Normal 2 2 2 5 2 2 2 3 2" xfId="21627"/>
    <cellStyle name="Normal 2 2 2 5 2 2 2 3 3" xfId="28594"/>
    <cellStyle name="Normal 2 2 2 5 2 2 2 3 4" xfId="35563"/>
    <cellStyle name="Normal 2 2 2 5 2 2 2 4" xfId="12338"/>
    <cellStyle name="Normal 2 2 2 5 2 2 2 5" xfId="19305"/>
    <cellStyle name="Normal 2 2 2 5 2 2 2 6" xfId="26272"/>
    <cellStyle name="Normal 2 2 2 5 2 2 2 7" xfId="33240"/>
    <cellStyle name="Normal 2 2 2 5 2 2 3" xfId="9444"/>
    <cellStyle name="Normal 2 2 2 5 2 2 3 2" xfId="16482"/>
    <cellStyle name="Normal 2 2 2 5 2 2 3 3" xfId="23449"/>
    <cellStyle name="Normal 2 2 2 5 2 2 3 4" xfId="30416"/>
    <cellStyle name="Normal 2 2 2 5 2 2 3 5" xfId="37385"/>
    <cellStyle name="Normal 2 2 2 5 2 2 4" xfId="14162"/>
    <cellStyle name="Normal 2 2 2 5 2 2 4 2" xfId="21129"/>
    <cellStyle name="Normal 2 2 2 5 2 2 4 3" xfId="28096"/>
    <cellStyle name="Normal 2 2 2 5 2 2 4 4" xfId="35065"/>
    <cellStyle name="Normal 2 2 2 5 2 2 5" xfId="11840"/>
    <cellStyle name="Normal 2 2 2 5 2 2 6" xfId="18807"/>
    <cellStyle name="Normal 2 2 2 5 2 2 7" xfId="25774"/>
    <cellStyle name="Normal 2 2 2 5 2 2 8" xfId="32742"/>
    <cellStyle name="Normal 2 2 2 5 2 3" xfId="5128"/>
    <cellStyle name="Normal 2 2 2 5 2 4" xfId="7998"/>
    <cellStyle name="Normal 2 2 2 5 3" xfId="1635"/>
    <cellStyle name="Normal 2 2 2 5 3 10" xfId="13457"/>
    <cellStyle name="Normal 2 2 2 5 3 10 2" xfId="20424"/>
    <cellStyle name="Normal 2 2 2 5 3 10 3" xfId="27391"/>
    <cellStyle name="Normal 2 2 2 5 3 10 4" xfId="34360"/>
    <cellStyle name="Normal 2 2 2 5 3 11" xfId="10963"/>
    <cellStyle name="Normal 2 2 2 5 3 12" xfId="17929"/>
    <cellStyle name="Normal 2 2 2 5 3 13" xfId="24897"/>
    <cellStyle name="Normal 2 2 2 5 3 14" xfId="31865"/>
    <cellStyle name="Normal 2 2 2 5 3 2" xfId="3261"/>
    <cellStyle name="Normal 2 2 2 5 3 2 2" xfId="5131"/>
    <cellStyle name="Normal 2 2 2 5 3 2 2 2" xfId="9984"/>
    <cellStyle name="Normal 2 2 2 5 3 2 2 2 2" xfId="16982"/>
    <cellStyle name="Normal 2 2 2 5 3 2 2 2 3" xfId="23949"/>
    <cellStyle name="Normal 2 2 2 5 3 2 2 2 4" xfId="30916"/>
    <cellStyle name="Normal 2 2 2 5 3 2 2 2 5" xfId="37885"/>
    <cellStyle name="Normal 2 2 2 5 3 2 2 3" xfId="14662"/>
    <cellStyle name="Normal 2 2 2 5 3 2 2 3 2" xfId="21629"/>
    <cellStyle name="Normal 2 2 2 5 3 2 2 3 3" xfId="28596"/>
    <cellStyle name="Normal 2 2 2 5 3 2 2 3 4" xfId="35565"/>
    <cellStyle name="Normal 2 2 2 5 3 2 2 4" xfId="12340"/>
    <cellStyle name="Normal 2 2 2 5 3 2 2 5" xfId="19307"/>
    <cellStyle name="Normal 2 2 2 5 3 2 2 6" xfId="26274"/>
    <cellStyle name="Normal 2 2 2 5 3 2 2 7" xfId="33242"/>
    <cellStyle name="Normal 2 2 2 5 3 2 3" xfId="8895"/>
    <cellStyle name="Normal 2 2 2 5 3 2 3 2" xfId="15947"/>
    <cellStyle name="Normal 2 2 2 5 3 2 3 3" xfId="22914"/>
    <cellStyle name="Normal 2 2 2 5 3 2 3 4" xfId="29881"/>
    <cellStyle name="Normal 2 2 2 5 3 2 3 5" xfId="36850"/>
    <cellStyle name="Normal 2 2 2 5 3 2 4" xfId="13625"/>
    <cellStyle name="Normal 2 2 2 5 3 2 4 2" xfId="20592"/>
    <cellStyle name="Normal 2 2 2 5 3 2 4 3" xfId="27559"/>
    <cellStyle name="Normal 2 2 2 5 3 2 4 4" xfId="34528"/>
    <cellStyle name="Normal 2 2 2 5 3 2 5" xfId="11303"/>
    <cellStyle name="Normal 2 2 2 5 3 2 6" xfId="18270"/>
    <cellStyle name="Normal 2 2 2 5 3 2 7" xfId="25237"/>
    <cellStyle name="Normal 2 2 2 5 3 2 8" xfId="32205"/>
    <cellStyle name="Normal 2 2 2 5 3 3" xfId="3463"/>
    <cellStyle name="Normal 2 2 2 5 3 3 2" xfId="5132"/>
    <cellStyle name="Normal 2 2 2 5 3 3 2 2" xfId="9985"/>
    <cellStyle name="Normal 2 2 2 5 3 3 2 2 2" xfId="16983"/>
    <cellStyle name="Normal 2 2 2 5 3 3 2 2 3" xfId="23950"/>
    <cellStyle name="Normal 2 2 2 5 3 3 2 2 4" xfId="30917"/>
    <cellStyle name="Normal 2 2 2 5 3 3 2 2 5" xfId="37886"/>
    <cellStyle name="Normal 2 2 2 5 3 3 2 3" xfId="14663"/>
    <cellStyle name="Normal 2 2 2 5 3 3 2 3 2" xfId="21630"/>
    <cellStyle name="Normal 2 2 2 5 3 3 2 3 3" xfId="28597"/>
    <cellStyle name="Normal 2 2 2 5 3 3 2 3 4" xfId="35566"/>
    <cellStyle name="Normal 2 2 2 5 3 3 2 4" xfId="12341"/>
    <cellStyle name="Normal 2 2 2 5 3 3 2 5" xfId="19308"/>
    <cellStyle name="Normal 2 2 2 5 3 3 2 6" xfId="26275"/>
    <cellStyle name="Normal 2 2 2 5 3 3 2 7" xfId="33243"/>
    <cellStyle name="Normal 2 2 2 5 3 3 3" xfId="9075"/>
    <cellStyle name="Normal 2 2 2 5 3 3 3 2" xfId="16114"/>
    <cellStyle name="Normal 2 2 2 5 3 3 3 3" xfId="23081"/>
    <cellStyle name="Normal 2 2 2 5 3 3 3 4" xfId="30048"/>
    <cellStyle name="Normal 2 2 2 5 3 3 3 5" xfId="37017"/>
    <cellStyle name="Normal 2 2 2 5 3 3 4" xfId="13794"/>
    <cellStyle name="Normal 2 2 2 5 3 3 4 2" xfId="20761"/>
    <cellStyle name="Normal 2 2 2 5 3 3 4 3" xfId="27728"/>
    <cellStyle name="Normal 2 2 2 5 3 3 4 4" xfId="34697"/>
    <cellStyle name="Normal 2 2 2 5 3 3 5" xfId="11472"/>
    <cellStyle name="Normal 2 2 2 5 3 3 6" xfId="18439"/>
    <cellStyle name="Normal 2 2 2 5 3 3 7" xfId="25406"/>
    <cellStyle name="Normal 2 2 2 5 3 3 8" xfId="32374"/>
    <cellStyle name="Normal 2 2 2 5 3 4" xfId="3638"/>
    <cellStyle name="Normal 2 2 2 5 3 4 2" xfId="5133"/>
    <cellStyle name="Normal 2 2 2 5 3 4 2 2" xfId="9986"/>
    <cellStyle name="Normal 2 2 2 5 3 4 2 2 2" xfId="16984"/>
    <cellStyle name="Normal 2 2 2 5 3 4 2 2 3" xfId="23951"/>
    <cellStyle name="Normal 2 2 2 5 3 4 2 2 4" xfId="30918"/>
    <cellStyle name="Normal 2 2 2 5 3 4 2 2 5" xfId="37887"/>
    <cellStyle name="Normal 2 2 2 5 3 4 2 3" xfId="14664"/>
    <cellStyle name="Normal 2 2 2 5 3 4 2 3 2" xfId="21631"/>
    <cellStyle name="Normal 2 2 2 5 3 4 2 3 3" xfId="28598"/>
    <cellStyle name="Normal 2 2 2 5 3 4 2 3 4" xfId="35567"/>
    <cellStyle name="Normal 2 2 2 5 3 4 2 4" xfId="12342"/>
    <cellStyle name="Normal 2 2 2 5 3 4 2 5" xfId="19309"/>
    <cellStyle name="Normal 2 2 2 5 3 4 2 6" xfId="26276"/>
    <cellStyle name="Normal 2 2 2 5 3 4 2 7" xfId="33244"/>
    <cellStyle name="Normal 2 2 2 5 3 4 3" xfId="9246"/>
    <cellStyle name="Normal 2 2 2 5 3 4 3 2" xfId="16285"/>
    <cellStyle name="Normal 2 2 2 5 3 4 3 3" xfId="23252"/>
    <cellStyle name="Normal 2 2 2 5 3 4 3 4" xfId="30219"/>
    <cellStyle name="Normal 2 2 2 5 3 4 3 5" xfId="37188"/>
    <cellStyle name="Normal 2 2 2 5 3 4 4" xfId="13965"/>
    <cellStyle name="Normal 2 2 2 5 3 4 4 2" xfId="20932"/>
    <cellStyle name="Normal 2 2 2 5 3 4 4 3" xfId="27899"/>
    <cellStyle name="Normal 2 2 2 5 3 4 4 4" xfId="34868"/>
    <cellStyle name="Normal 2 2 2 5 3 4 5" xfId="11643"/>
    <cellStyle name="Normal 2 2 2 5 3 4 6" xfId="18610"/>
    <cellStyle name="Normal 2 2 2 5 3 4 7" xfId="25577"/>
    <cellStyle name="Normal 2 2 2 5 3 4 8" xfId="32545"/>
    <cellStyle name="Normal 2 2 2 5 3 5" xfId="3915"/>
    <cellStyle name="Normal 2 2 2 5 3 5 2" xfId="5134"/>
    <cellStyle name="Normal 2 2 2 5 3 5 2 2" xfId="9987"/>
    <cellStyle name="Normal 2 2 2 5 3 5 2 2 2" xfId="16985"/>
    <cellStyle name="Normal 2 2 2 5 3 5 2 2 3" xfId="23952"/>
    <cellStyle name="Normal 2 2 2 5 3 5 2 2 4" xfId="30919"/>
    <cellStyle name="Normal 2 2 2 5 3 5 2 2 5" xfId="37888"/>
    <cellStyle name="Normal 2 2 2 5 3 5 2 3" xfId="14665"/>
    <cellStyle name="Normal 2 2 2 5 3 5 2 3 2" xfId="21632"/>
    <cellStyle name="Normal 2 2 2 5 3 5 2 3 3" xfId="28599"/>
    <cellStyle name="Normal 2 2 2 5 3 5 2 3 4" xfId="35568"/>
    <cellStyle name="Normal 2 2 2 5 3 5 2 4" xfId="12343"/>
    <cellStyle name="Normal 2 2 2 5 3 5 2 5" xfId="19310"/>
    <cellStyle name="Normal 2 2 2 5 3 5 2 6" xfId="26277"/>
    <cellStyle name="Normal 2 2 2 5 3 5 2 7" xfId="33245"/>
    <cellStyle name="Normal 2 2 2 5 3 5 3" xfId="9521"/>
    <cellStyle name="Normal 2 2 2 5 3 5 3 2" xfId="16557"/>
    <cellStyle name="Normal 2 2 2 5 3 5 3 3" xfId="23524"/>
    <cellStyle name="Normal 2 2 2 5 3 5 3 4" xfId="30491"/>
    <cellStyle name="Normal 2 2 2 5 3 5 3 5" xfId="37460"/>
    <cellStyle name="Normal 2 2 2 5 3 5 4" xfId="14237"/>
    <cellStyle name="Normal 2 2 2 5 3 5 4 2" xfId="21204"/>
    <cellStyle name="Normal 2 2 2 5 3 5 4 3" xfId="28171"/>
    <cellStyle name="Normal 2 2 2 5 3 5 4 4" xfId="35140"/>
    <cellStyle name="Normal 2 2 2 5 3 5 5" xfId="11915"/>
    <cellStyle name="Normal 2 2 2 5 3 5 6" xfId="18882"/>
    <cellStyle name="Normal 2 2 2 5 3 5 7" xfId="25849"/>
    <cellStyle name="Normal 2 2 2 5 3 5 8" xfId="32817"/>
    <cellStyle name="Normal 2 2 2 5 3 6" xfId="5130"/>
    <cellStyle name="Normal 2 2 2 5 3 6 2" xfId="9983"/>
    <cellStyle name="Normal 2 2 2 5 3 6 2 2" xfId="16981"/>
    <cellStyle name="Normal 2 2 2 5 3 6 2 3" xfId="23948"/>
    <cellStyle name="Normal 2 2 2 5 3 6 2 4" xfId="30915"/>
    <cellStyle name="Normal 2 2 2 5 3 6 2 5" xfId="37884"/>
    <cellStyle name="Normal 2 2 2 5 3 6 3" xfId="14661"/>
    <cellStyle name="Normal 2 2 2 5 3 6 3 2" xfId="21628"/>
    <cellStyle name="Normal 2 2 2 5 3 6 3 3" xfId="28595"/>
    <cellStyle name="Normal 2 2 2 5 3 6 3 4" xfId="35564"/>
    <cellStyle name="Normal 2 2 2 5 3 6 4" xfId="12339"/>
    <cellStyle name="Normal 2 2 2 5 3 6 5" xfId="19306"/>
    <cellStyle name="Normal 2 2 2 5 3 6 6" xfId="26273"/>
    <cellStyle name="Normal 2 2 2 5 3 6 7" xfId="33241"/>
    <cellStyle name="Normal 2 2 2 5 3 7" xfId="6810"/>
    <cellStyle name="Normal 2 2 2 5 3 7 2" xfId="10780"/>
    <cellStyle name="Normal 2 2 2 5 3 7 2 2" xfId="17754"/>
    <cellStyle name="Normal 2 2 2 5 3 7 2 3" xfId="24721"/>
    <cellStyle name="Normal 2 2 2 5 3 7 2 4" xfId="31688"/>
    <cellStyle name="Normal 2 2 2 5 3 7 2 5" xfId="38657"/>
    <cellStyle name="Normal 2 2 2 5 3 7 3" xfId="15434"/>
    <cellStyle name="Normal 2 2 2 5 3 7 3 2" xfId="22401"/>
    <cellStyle name="Normal 2 2 2 5 3 7 3 3" xfId="29368"/>
    <cellStyle name="Normal 2 2 2 5 3 7 3 4" xfId="36337"/>
    <cellStyle name="Normal 2 2 2 5 3 7 4" xfId="13112"/>
    <cellStyle name="Normal 2 2 2 5 3 7 5" xfId="20079"/>
    <cellStyle name="Normal 2 2 2 5 3 7 6" xfId="27046"/>
    <cellStyle name="Normal 2 2 2 5 3 7 7" xfId="34015"/>
    <cellStyle name="Normal 2 2 2 5 3 8" xfId="7123"/>
    <cellStyle name="Normal 2 2 2 5 3 8 2" xfId="15607"/>
    <cellStyle name="Normal 2 2 2 5 3 8 2 2" xfId="22574"/>
    <cellStyle name="Normal 2 2 2 5 3 8 2 3" xfId="29541"/>
    <cellStyle name="Normal 2 2 2 5 3 8 2 4" xfId="36510"/>
    <cellStyle name="Normal 2 2 2 5 3 8 3" xfId="13285"/>
    <cellStyle name="Normal 2 2 2 5 3 8 4" xfId="20252"/>
    <cellStyle name="Normal 2 2 2 5 3 8 5" xfId="27219"/>
    <cellStyle name="Normal 2 2 2 5 3 8 6" xfId="34188"/>
    <cellStyle name="Normal 2 2 2 5 3 9" xfId="7999"/>
    <cellStyle name="Normal 2 2 2 5 3 9 2" xfId="15779"/>
    <cellStyle name="Normal 2 2 2 5 3 9 2 2" xfId="22746"/>
    <cellStyle name="Normal 2 2 2 5 3 9 2 3" xfId="29713"/>
    <cellStyle name="Normal 2 2 2 5 3 9 2 4" xfId="36682"/>
    <cellStyle name="Normal 2 2 2 5 3 9 3" xfId="11135"/>
    <cellStyle name="Normal 2 2 2 5 3 9 4" xfId="18102"/>
    <cellStyle name="Normal 2 2 2 5 3 9 5" xfId="25069"/>
    <cellStyle name="Normal 2 2 2 5 3 9 6" xfId="32037"/>
    <cellStyle name="Normal 2 2 2 5 4" xfId="5127"/>
    <cellStyle name="Normal 2 2 2 5 5" xfId="7997"/>
    <cellStyle name="Normal 2 2 2 6" xfId="1636"/>
    <cellStyle name="Normal 2 2 2 6 10" xfId="13458"/>
    <cellStyle name="Normal 2 2 2 6 10 2" xfId="20425"/>
    <cellStyle name="Normal 2 2 2 6 10 3" xfId="27392"/>
    <cellStyle name="Normal 2 2 2 6 10 4" xfId="34361"/>
    <cellStyle name="Normal 2 2 2 6 11" xfId="10964"/>
    <cellStyle name="Normal 2 2 2 6 12" xfId="17930"/>
    <cellStyle name="Normal 2 2 2 6 13" xfId="24898"/>
    <cellStyle name="Normal 2 2 2 6 14" xfId="31866"/>
    <cellStyle name="Normal 2 2 2 6 2" xfId="3262"/>
    <cellStyle name="Normal 2 2 2 6 2 2" xfId="3837"/>
    <cellStyle name="Normal 2 2 2 6 2 2 2" xfId="5137"/>
    <cellStyle name="Normal 2 2 2 6 2 2 2 2" xfId="9990"/>
    <cellStyle name="Normal 2 2 2 6 2 2 2 2 2" xfId="16988"/>
    <cellStyle name="Normal 2 2 2 6 2 2 2 2 3" xfId="23955"/>
    <cellStyle name="Normal 2 2 2 6 2 2 2 2 4" xfId="30922"/>
    <cellStyle name="Normal 2 2 2 6 2 2 2 2 5" xfId="37891"/>
    <cellStyle name="Normal 2 2 2 6 2 2 2 3" xfId="14668"/>
    <cellStyle name="Normal 2 2 2 6 2 2 2 3 2" xfId="21635"/>
    <cellStyle name="Normal 2 2 2 6 2 2 2 3 3" xfId="28602"/>
    <cellStyle name="Normal 2 2 2 6 2 2 2 3 4" xfId="35571"/>
    <cellStyle name="Normal 2 2 2 6 2 2 2 4" xfId="12346"/>
    <cellStyle name="Normal 2 2 2 6 2 2 2 5" xfId="19313"/>
    <cellStyle name="Normal 2 2 2 6 2 2 2 6" xfId="26280"/>
    <cellStyle name="Normal 2 2 2 6 2 2 2 7" xfId="33248"/>
    <cellStyle name="Normal 2 2 2 6 2 2 3" xfId="9443"/>
    <cellStyle name="Normal 2 2 2 6 2 2 3 2" xfId="16481"/>
    <cellStyle name="Normal 2 2 2 6 2 2 3 3" xfId="23448"/>
    <cellStyle name="Normal 2 2 2 6 2 2 3 4" xfId="30415"/>
    <cellStyle name="Normal 2 2 2 6 2 2 3 5" xfId="37384"/>
    <cellStyle name="Normal 2 2 2 6 2 2 4" xfId="14161"/>
    <cellStyle name="Normal 2 2 2 6 2 2 4 2" xfId="21128"/>
    <cellStyle name="Normal 2 2 2 6 2 2 4 3" xfId="28095"/>
    <cellStyle name="Normal 2 2 2 6 2 2 4 4" xfId="35064"/>
    <cellStyle name="Normal 2 2 2 6 2 2 5" xfId="11839"/>
    <cellStyle name="Normal 2 2 2 6 2 2 6" xfId="18806"/>
    <cellStyle name="Normal 2 2 2 6 2 2 7" xfId="25773"/>
    <cellStyle name="Normal 2 2 2 6 2 2 8" xfId="32741"/>
    <cellStyle name="Normal 2 2 2 6 2 3" xfId="5136"/>
    <cellStyle name="Normal 2 2 2 6 2 3 2" xfId="9989"/>
    <cellStyle name="Normal 2 2 2 6 2 3 2 2" xfId="16987"/>
    <cellStyle name="Normal 2 2 2 6 2 3 2 3" xfId="23954"/>
    <cellStyle name="Normal 2 2 2 6 2 3 2 4" xfId="30921"/>
    <cellStyle name="Normal 2 2 2 6 2 3 2 5" xfId="37890"/>
    <cellStyle name="Normal 2 2 2 6 2 3 3" xfId="14667"/>
    <cellStyle name="Normal 2 2 2 6 2 3 3 2" xfId="21634"/>
    <cellStyle name="Normal 2 2 2 6 2 3 3 3" xfId="28601"/>
    <cellStyle name="Normal 2 2 2 6 2 3 3 4" xfId="35570"/>
    <cellStyle name="Normal 2 2 2 6 2 3 4" xfId="12345"/>
    <cellStyle name="Normal 2 2 2 6 2 3 5" xfId="19312"/>
    <cellStyle name="Normal 2 2 2 6 2 3 6" xfId="26279"/>
    <cellStyle name="Normal 2 2 2 6 2 3 7" xfId="33247"/>
    <cellStyle name="Normal 2 2 2 6 2 4" xfId="8896"/>
    <cellStyle name="Normal 2 2 2 6 2 4 2" xfId="15948"/>
    <cellStyle name="Normal 2 2 2 6 2 4 3" xfId="22915"/>
    <cellStyle name="Normal 2 2 2 6 2 4 4" xfId="29882"/>
    <cellStyle name="Normal 2 2 2 6 2 4 5" xfId="36851"/>
    <cellStyle name="Normal 2 2 2 6 2 5" xfId="13626"/>
    <cellStyle name="Normal 2 2 2 6 2 5 2" xfId="20593"/>
    <cellStyle name="Normal 2 2 2 6 2 5 3" xfId="27560"/>
    <cellStyle name="Normal 2 2 2 6 2 5 4" xfId="34529"/>
    <cellStyle name="Normal 2 2 2 6 2 6" xfId="11304"/>
    <cellStyle name="Normal 2 2 2 6 2 7" xfId="18271"/>
    <cellStyle name="Normal 2 2 2 6 2 8" xfId="25238"/>
    <cellStyle name="Normal 2 2 2 6 2 9" xfId="32206"/>
    <cellStyle name="Normal 2 2 2 6 3" xfId="3464"/>
    <cellStyle name="Normal 2 2 2 6 3 2" xfId="5138"/>
    <cellStyle name="Normal 2 2 2 6 3 2 2" xfId="9991"/>
    <cellStyle name="Normal 2 2 2 6 3 2 2 2" xfId="16989"/>
    <cellStyle name="Normal 2 2 2 6 3 2 2 3" xfId="23956"/>
    <cellStyle name="Normal 2 2 2 6 3 2 2 4" xfId="30923"/>
    <cellStyle name="Normal 2 2 2 6 3 2 2 5" xfId="37892"/>
    <cellStyle name="Normal 2 2 2 6 3 2 3" xfId="14669"/>
    <cellStyle name="Normal 2 2 2 6 3 2 3 2" xfId="21636"/>
    <cellStyle name="Normal 2 2 2 6 3 2 3 3" xfId="28603"/>
    <cellStyle name="Normal 2 2 2 6 3 2 3 4" xfId="35572"/>
    <cellStyle name="Normal 2 2 2 6 3 2 4" xfId="12347"/>
    <cellStyle name="Normal 2 2 2 6 3 2 5" xfId="19314"/>
    <cellStyle name="Normal 2 2 2 6 3 2 6" xfId="26281"/>
    <cellStyle name="Normal 2 2 2 6 3 2 7" xfId="33249"/>
    <cellStyle name="Normal 2 2 2 6 3 3" xfId="9076"/>
    <cellStyle name="Normal 2 2 2 6 3 3 2" xfId="16115"/>
    <cellStyle name="Normal 2 2 2 6 3 3 3" xfId="23082"/>
    <cellStyle name="Normal 2 2 2 6 3 3 4" xfId="30049"/>
    <cellStyle name="Normal 2 2 2 6 3 3 5" xfId="37018"/>
    <cellStyle name="Normal 2 2 2 6 3 4" xfId="13795"/>
    <cellStyle name="Normal 2 2 2 6 3 4 2" xfId="20762"/>
    <cellStyle name="Normal 2 2 2 6 3 4 3" xfId="27729"/>
    <cellStyle name="Normal 2 2 2 6 3 4 4" xfId="34698"/>
    <cellStyle name="Normal 2 2 2 6 3 5" xfId="11473"/>
    <cellStyle name="Normal 2 2 2 6 3 6" xfId="18440"/>
    <cellStyle name="Normal 2 2 2 6 3 7" xfId="25407"/>
    <cellStyle name="Normal 2 2 2 6 3 8" xfId="32375"/>
    <cellStyle name="Normal 2 2 2 6 4" xfId="3639"/>
    <cellStyle name="Normal 2 2 2 6 4 2" xfId="5139"/>
    <cellStyle name="Normal 2 2 2 6 4 2 2" xfId="9992"/>
    <cellStyle name="Normal 2 2 2 6 4 2 2 2" xfId="16990"/>
    <cellStyle name="Normal 2 2 2 6 4 2 2 3" xfId="23957"/>
    <cellStyle name="Normal 2 2 2 6 4 2 2 4" xfId="30924"/>
    <cellStyle name="Normal 2 2 2 6 4 2 2 5" xfId="37893"/>
    <cellStyle name="Normal 2 2 2 6 4 2 3" xfId="14670"/>
    <cellStyle name="Normal 2 2 2 6 4 2 3 2" xfId="21637"/>
    <cellStyle name="Normal 2 2 2 6 4 2 3 3" xfId="28604"/>
    <cellStyle name="Normal 2 2 2 6 4 2 3 4" xfId="35573"/>
    <cellStyle name="Normal 2 2 2 6 4 2 4" xfId="12348"/>
    <cellStyle name="Normal 2 2 2 6 4 2 5" xfId="19315"/>
    <cellStyle name="Normal 2 2 2 6 4 2 6" xfId="26282"/>
    <cellStyle name="Normal 2 2 2 6 4 2 7" xfId="33250"/>
    <cellStyle name="Normal 2 2 2 6 4 3" xfId="9247"/>
    <cellStyle name="Normal 2 2 2 6 4 3 2" xfId="16286"/>
    <cellStyle name="Normal 2 2 2 6 4 3 3" xfId="23253"/>
    <cellStyle name="Normal 2 2 2 6 4 3 4" xfId="30220"/>
    <cellStyle name="Normal 2 2 2 6 4 3 5" xfId="37189"/>
    <cellStyle name="Normal 2 2 2 6 4 4" xfId="13966"/>
    <cellStyle name="Normal 2 2 2 6 4 4 2" xfId="20933"/>
    <cellStyle name="Normal 2 2 2 6 4 4 3" xfId="27900"/>
    <cellStyle name="Normal 2 2 2 6 4 4 4" xfId="34869"/>
    <cellStyle name="Normal 2 2 2 6 4 5" xfId="11644"/>
    <cellStyle name="Normal 2 2 2 6 4 6" xfId="18611"/>
    <cellStyle name="Normal 2 2 2 6 4 7" xfId="25578"/>
    <cellStyle name="Normal 2 2 2 6 4 8" xfId="32546"/>
    <cellStyle name="Normal 2 2 2 6 5" xfId="3916"/>
    <cellStyle name="Normal 2 2 2 6 5 2" xfId="5140"/>
    <cellStyle name="Normal 2 2 2 6 5 2 2" xfId="9993"/>
    <cellStyle name="Normal 2 2 2 6 5 2 2 2" xfId="16991"/>
    <cellStyle name="Normal 2 2 2 6 5 2 2 3" xfId="23958"/>
    <cellStyle name="Normal 2 2 2 6 5 2 2 4" xfId="30925"/>
    <cellStyle name="Normal 2 2 2 6 5 2 2 5" xfId="37894"/>
    <cellStyle name="Normal 2 2 2 6 5 2 3" xfId="14671"/>
    <cellStyle name="Normal 2 2 2 6 5 2 3 2" xfId="21638"/>
    <cellStyle name="Normal 2 2 2 6 5 2 3 3" xfId="28605"/>
    <cellStyle name="Normal 2 2 2 6 5 2 3 4" xfId="35574"/>
    <cellStyle name="Normal 2 2 2 6 5 2 4" xfId="12349"/>
    <cellStyle name="Normal 2 2 2 6 5 2 5" xfId="19316"/>
    <cellStyle name="Normal 2 2 2 6 5 2 6" xfId="26283"/>
    <cellStyle name="Normal 2 2 2 6 5 2 7" xfId="33251"/>
    <cellStyle name="Normal 2 2 2 6 5 3" xfId="9522"/>
    <cellStyle name="Normal 2 2 2 6 5 3 2" xfId="16558"/>
    <cellStyle name="Normal 2 2 2 6 5 3 3" xfId="23525"/>
    <cellStyle name="Normal 2 2 2 6 5 3 4" xfId="30492"/>
    <cellStyle name="Normal 2 2 2 6 5 3 5" xfId="37461"/>
    <cellStyle name="Normal 2 2 2 6 5 4" xfId="14238"/>
    <cellStyle name="Normal 2 2 2 6 5 4 2" xfId="21205"/>
    <cellStyle name="Normal 2 2 2 6 5 4 3" xfId="28172"/>
    <cellStyle name="Normal 2 2 2 6 5 4 4" xfId="35141"/>
    <cellStyle name="Normal 2 2 2 6 5 5" xfId="11916"/>
    <cellStyle name="Normal 2 2 2 6 5 6" xfId="18883"/>
    <cellStyle name="Normal 2 2 2 6 5 7" xfId="25850"/>
    <cellStyle name="Normal 2 2 2 6 5 8" xfId="32818"/>
    <cellStyle name="Normal 2 2 2 6 6" xfId="5135"/>
    <cellStyle name="Normal 2 2 2 6 6 2" xfId="9988"/>
    <cellStyle name="Normal 2 2 2 6 6 2 2" xfId="16986"/>
    <cellStyle name="Normal 2 2 2 6 6 2 3" xfId="23953"/>
    <cellStyle name="Normal 2 2 2 6 6 2 4" xfId="30920"/>
    <cellStyle name="Normal 2 2 2 6 6 2 5" xfId="37889"/>
    <cellStyle name="Normal 2 2 2 6 6 3" xfId="14666"/>
    <cellStyle name="Normal 2 2 2 6 6 3 2" xfId="21633"/>
    <cellStyle name="Normal 2 2 2 6 6 3 3" xfId="28600"/>
    <cellStyle name="Normal 2 2 2 6 6 3 4" xfId="35569"/>
    <cellStyle name="Normal 2 2 2 6 6 4" xfId="12344"/>
    <cellStyle name="Normal 2 2 2 6 6 5" xfId="19311"/>
    <cellStyle name="Normal 2 2 2 6 6 6" xfId="26278"/>
    <cellStyle name="Normal 2 2 2 6 6 7" xfId="33246"/>
    <cellStyle name="Normal 2 2 2 6 7" xfId="6811"/>
    <cellStyle name="Normal 2 2 2 6 7 2" xfId="10781"/>
    <cellStyle name="Normal 2 2 2 6 7 2 2" xfId="17755"/>
    <cellStyle name="Normal 2 2 2 6 7 2 3" xfId="24722"/>
    <cellStyle name="Normal 2 2 2 6 7 2 4" xfId="31689"/>
    <cellStyle name="Normal 2 2 2 6 7 2 5" xfId="38658"/>
    <cellStyle name="Normal 2 2 2 6 7 3" xfId="15435"/>
    <cellStyle name="Normal 2 2 2 6 7 3 2" xfId="22402"/>
    <cellStyle name="Normal 2 2 2 6 7 3 3" xfId="29369"/>
    <cellStyle name="Normal 2 2 2 6 7 3 4" xfId="36338"/>
    <cellStyle name="Normal 2 2 2 6 7 4" xfId="13113"/>
    <cellStyle name="Normal 2 2 2 6 7 5" xfId="20080"/>
    <cellStyle name="Normal 2 2 2 6 7 6" xfId="27047"/>
    <cellStyle name="Normal 2 2 2 6 7 7" xfId="34016"/>
    <cellStyle name="Normal 2 2 2 6 8" xfId="7124"/>
    <cellStyle name="Normal 2 2 2 6 8 2" xfId="15608"/>
    <cellStyle name="Normal 2 2 2 6 8 2 2" xfId="22575"/>
    <cellStyle name="Normal 2 2 2 6 8 2 3" xfId="29542"/>
    <cellStyle name="Normal 2 2 2 6 8 2 4" xfId="36511"/>
    <cellStyle name="Normal 2 2 2 6 8 3" xfId="13286"/>
    <cellStyle name="Normal 2 2 2 6 8 4" xfId="20253"/>
    <cellStyle name="Normal 2 2 2 6 8 5" xfId="27220"/>
    <cellStyle name="Normal 2 2 2 6 8 6" xfId="34189"/>
    <cellStyle name="Normal 2 2 2 6 9" xfId="8000"/>
    <cellStyle name="Normal 2 2 2 6 9 2" xfId="15780"/>
    <cellStyle name="Normal 2 2 2 6 9 2 2" xfId="22747"/>
    <cellStyle name="Normal 2 2 2 6 9 2 3" xfId="29714"/>
    <cellStyle name="Normal 2 2 2 6 9 2 4" xfId="36683"/>
    <cellStyle name="Normal 2 2 2 6 9 3" xfId="11136"/>
    <cellStyle name="Normal 2 2 2 6 9 4" xfId="18103"/>
    <cellStyle name="Normal 2 2 2 6 9 5" xfId="25070"/>
    <cellStyle name="Normal 2 2 2 6 9 6" xfId="32038"/>
    <cellStyle name="Normal 2 2 2 7" xfId="3850"/>
    <cellStyle name="Normal 2 2 2 7 2" xfId="5141"/>
    <cellStyle name="Normal 2 2 2 7 2 2" xfId="9994"/>
    <cellStyle name="Normal 2 2 2 7 2 2 2" xfId="16992"/>
    <cellStyle name="Normal 2 2 2 7 2 2 3" xfId="23959"/>
    <cellStyle name="Normal 2 2 2 7 2 2 4" xfId="30926"/>
    <cellStyle name="Normal 2 2 2 7 2 2 5" xfId="37895"/>
    <cellStyle name="Normal 2 2 2 7 2 3" xfId="14672"/>
    <cellStyle name="Normal 2 2 2 7 2 3 2" xfId="21639"/>
    <cellStyle name="Normal 2 2 2 7 2 3 3" xfId="28606"/>
    <cellStyle name="Normal 2 2 2 7 2 3 4" xfId="35575"/>
    <cellStyle name="Normal 2 2 2 7 2 4" xfId="12350"/>
    <cellStyle name="Normal 2 2 2 7 2 5" xfId="19317"/>
    <cellStyle name="Normal 2 2 2 7 2 6" xfId="26284"/>
    <cellStyle name="Normal 2 2 2 7 2 7" xfId="33252"/>
    <cellStyle name="Normal 2 2 2 7 3" xfId="9456"/>
    <cellStyle name="Normal 2 2 2 7 3 2" xfId="16494"/>
    <cellStyle name="Normal 2 2 2 7 3 3" xfId="23461"/>
    <cellStyle name="Normal 2 2 2 7 3 4" xfId="30428"/>
    <cellStyle name="Normal 2 2 2 7 3 5" xfId="37397"/>
    <cellStyle name="Normal 2 2 2 7 4" xfId="14174"/>
    <cellStyle name="Normal 2 2 2 7 4 2" xfId="21141"/>
    <cellStyle name="Normal 2 2 2 7 4 3" xfId="28108"/>
    <cellStyle name="Normal 2 2 2 7 4 4" xfId="35077"/>
    <cellStyle name="Normal 2 2 2 7 5" xfId="11852"/>
    <cellStyle name="Normal 2 2 2 7 6" xfId="18819"/>
    <cellStyle name="Normal 2 2 2 7 7" xfId="25786"/>
    <cellStyle name="Normal 2 2 2 7 8" xfId="32754"/>
    <cellStyle name="Normal 2 2 2 8" xfId="5049"/>
    <cellStyle name="Normal 2 2 2 9" xfId="7977"/>
    <cellStyle name="Normal 2 2 2_Sheet1" xfId="1637"/>
    <cellStyle name="Normal 2 2 20" xfId="31851"/>
    <cellStyle name="Normal 2 2 3" xfId="1638"/>
    <cellStyle name="Normal 2 2 3 10" xfId="3917"/>
    <cellStyle name="Normal 2 2 3 10 2" xfId="5143"/>
    <cellStyle name="Normal 2 2 3 10 2 2" xfId="9996"/>
    <cellStyle name="Normal 2 2 3 10 2 2 2" xfId="16994"/>
    <cellStyle name="Normal 2 2 3 10 2 2 3" xfId="23961"/>
    <cellStyle name="Normal 2 2 3 10 2 2 4" xfId="30928"/>
    <cellStyle name="Normal 2 2 3 10 2 2 5" xfId="37897"/>
    <cellStyle name="Normal 2 2 3 10 2 3" xfId="14674"/>
    <cellStyle name="Normal 2 2 3 10 2 3 2" xfId="21641"/>
    <cellStyle name="Normal 2 2 3 10 2 3 3" xfId="28608"/>
    <cellStyle name="Normal 2 2 3 10 2 3 4" xfId="35577"/>
    <cellStyle name="Normal 2 2 3 10 2 4" xfId="12352"/>
    <cellStyle name="Normal 2 2 3 10 2 5" xfId="19319"/>
    <cellStyle name="Normal 2 2 3 10 2 6" xfId="26286"/>
    <cellStyle name="Normal 2 2 3 10 2 7" xfId="33254"/>
    <cellStyle name="Normal 2 2 3 10 3" xfId="9523"/>
    <cellStyle name="Normal 2 2 3 10 3 2" xfId="16559"/>
    <cellStyle name="Normal 2 2 3 10 3 3" xfId="23526"/>
    <cellStyle name="Normal 2 2 3 10 3 4" xfId="30493"/>
    <cellStyle name="Normal 2 2 3 10 3 5" xfId="37462"/>
    <cellStyle name="Normal 2 2 3 10 4" xfId="14239"/>
    <cellStyle name="Normal 2 2 3 10 4 2" xfId="21206"/>
    <cellStyle name="Normal 2 2 3 10 4 3" xfId="28173"/>
    <cellStyle name="Normal 2 2 3 10 4 4" xfId="35142"/>
    <cellStyle name="Normal 2 2 3 10 5" xfId="11917"/>
    <cellStyle name="Normal 2 2 3 10 6" xfId="18884"/>
    <cellStyle name="Normal 2 2 3 10 7" xfId="25851"/>
    <cellStyle name="Normal 2 2 3 10 8" xfId="32819"/>
    <cellStyle name="Normal 2 2 3 11" xfId="5142"/>
    <cellStyle name="Normal 2 2 3 11 2" xfId="9995"/>
    <cellStyle name="Normal 2 2 3 11 2 2" xfId="16993"/>
    <cellStyle name="Normal 2 2 3 11 2 3" xfId="23960"/>
    <cellStyle name="Normal 2 2 3 11 2 4" xfId="30927"/>
    <cellStyle name="Normal 2 2 3 11 2 5" xfId="37896"/>
    <cellStyle name="Normal 2 2 3 11 3" xfId="14673"/>
    <cellStyle name="Normal 2 2 3 11 3 2" xfId="21640"/>
    <cellStyle name="Normal 2 2 3 11 3 3" xfId="28607"/>
    <cellStyle name="Normal 2 2 3 11 3 4" xfId="35576"/>
    <cellStyle name="Normal 2 2 3 11 4" xfId="12351"/>
    <cellStyle name="Normal 2 2 3 11 5" xfId="19318"/>
    <cellStyle name="Normal 2 2 3 11 6" xfId="26285"/>
    <cellStyle name="Normal 2 2 3 11 7" xfId="33253"/>
    <cellStyle name="Normal 2 2 3 12" xfId="8001"/>
    <cellStyle name="Normal 2 2 3 2" xfId="1639"/>
    <cellStyle name="Normal 2 2 3 2 10" xfId="6812"/>
    <cellStyle name="Normal 2 2 3 2 10 2" xfId="10782"/>
    <cellStyle name="Normal 2 2 3 2 10 2 2" xfId="17756"/>
    <cellStyle name="Normal 2 2 3 2 10 2 3" xfId="24723"/>
    <cellStyle name="Normal 2 2 3 2 10 2 4" xfId="31690"/>
    <cellStyle name="Normal 2 2 3 2 10 2 5" xfId="38659"/>
    <cellStyle name="Normal 2 2 3 2 10 3" xfId="15436"/>
    <cellStyle name="Normal 2 2 3 2 10 3 2" xfId="22403"/>
    <cellStyle name="Normal 2 2 3 2 10 3 3" xfId="29370"/>
    <cellStyle name="Normal 2 2 3 2 10 3 4" xfId="36339"/>
    <cellStyle name="Normal 2 2 3 2 10 4" xfId="13114"/>
    <cellStyle name="Normal 2 2 3 2 10 5" xfId="20081"/>
    <cellStyle name="Normal 2 2 3 2 10 6" xfId="27048"/>
    <cellStyle name="Normal 2 2 3 2 10 7" xfId="34017"/>
    <cellStyle name="Normal 2 2 3 2 11" xfId="7125"/>
    <cellStyle name="Normal 2 2 3 2 11 2" xfId="15609"/>
    <cellStyle name="Normal 2 2 3 2 11 2 2" xfId="22576"/>
    <cellStyle name="Normal 2 2 3 2 11 2 3" xfId="29543"/>
    <cellStyle name="Normal 2 2 3 2 11 2 4" xfId="36512"/>
    <cellStyle name="Normal 2 2 3 2 11 3" xfId="13287"/>
    <cellStyle name="Normal 2 2 3 2 11 4" xfId="20254"/>
    <cellStyle name="Normal 2 2 3 2 11 5" xfId="27221"/>
    <cellStyle name="Normal 2 2 3 2 11 6" xfId="34190"/>
    <cellStyle name="Normal 2 2 3 2 12" xfId="8002"/>
    <cellStyle name="Normal 2 2 3 2 12 2" xfId="15781"/>
    <cellStyle name="Normal 2 2 3 2 12 2 2" xfId="22748"/>
    <cellStyle name="Normal 2 2 3 2 12 2 3" xfId="29715"/>
    <cellStyle name="Normal 2 2 3 2 12 2 4" xfId="36684"/>
    <cellStyle name="Normal 2 2 3 2 12 3" xfId="11137"/>
    <cellStyle name="Normal 2 2 3 2 12 4" xfId="18104"/>
    <cellStyle name="Normal 2 2 3 2 12 5" xfId="25071"/>
    <cellStyle name="Normal 2 2 3 2 12 6" xfId="32039"/>
    <cellStyle name="Normal 2 2 3 2 13" xfId="13459"/>
    <cellStyle name="Normal 2 2 3 2 13 2" xfId="20426"/>
    <cellStyle name="Normal 2 2 3 2 13 3" xfId="27393"/>
    <cellStyle name="Normal 2 2 3 2 13 4" xfId="34362"/>
    <cellStyle name="Normal 2 2 3 2 14" xfId="10965"/>
    <cellStyle name="Normal 2 2 3 2 15" xfId="17931"/>
    <cellStyle name="Normal 2 2 3 2 16" xfId="24899"/>
    <cellStyle name="Normal 2 2 3 2 17" xfId="31867"/>
    <cellStyle name="Normal 2 2 3 2 2" xfId="1640"/>
    <cellStyle name="Normal 2 2 3 2 2 10" xfId="8003"/>
    <cellStyle name="Normal 2 2 3 2 2 10 2" xfId="15782"/>
    <cellStyle name="Normal 2 2 3 2 2 10 2 2" xfId="22749"/>
    <cellStyle name="Normal 2 2 3 2 2 10 2 3" xfId="29716"/>
    <cellStyle name="Normal 2 2 3 2 2 10 2 4" xfId="36685"/>
    <cellStyle name="Normal 2 2 3 2 2 10 3" xfId="11138"/>
    <cellStyle name="Normal 2 2 3 2 2 10 4" xfId="18105"/>
    <cellStyle name="Normal 2 2 3 2 2 10 5" xfId="25072"/>
    <cellStyle name="Normal 2 2 3 2 2 10 6" xfId="32040"/>
    <cellStyle name="Normal 2 2 3 2 2 11" xfId="13460"/>
    <cellStyle name="Normal 2 2 3 2 2 11 2" xfId="20427"/>
    <cellStyle name="Normal 2 2 3 2 2 11 3" xfId="27394"/>
    <cellStyle name="Normal 2 2 3 2 2 11 4" xfId="34363"/>
    <cellStyle name="Normal 2 2 3 2 2 12" xfId="10966"/>
    <cellStyle name="Normal 2 2 3 2 2 13" xfId="17932"/>
    <cellStyle name="Normal 2 2 3 2 2 14" xfId="24900"/>
    <cellStyle name="Normal 2 2 3 2 2 15" xfId="31868"/>
    <cellStyle name="Normal 2 2 3 2 2 2" xfId="1641"/>
    <cellStyle name="Normal 2 2 3 2 2 2 10" xfId="13461"/>
    <cellStyle name="Normal 2 2 3 2 2 2 10 2" xfId="20428"/>
    <cellStyle name="Normal 2 2 3 2 2 2 10 3" xfId="27395"/>
    <cellStyle name="Normal 2 2 3 2 2 2 10 4" xfId="34364"/>
    <cellStyle name="Normal 2 2 3 2 2 2 11" xfId="10967"/>
    <cellStyle name="Normal 2 2 3 2 2 2 12" xfId="17933"/>
    <cellStyle name="Normal 2 2 3 2 2 2 13" xfId="24901"/>
    <cellStyle name="Normal 2 2 3 2 2 2 14" xfId="31869"/>
    <cellStyle name="Normal 2 2 3 2 2 2 2" xfId="3266"/>
    <cellStyle name="Normal 2 2 3 2 2 2 2 2" xfId="5147"/>
    <cellStyle name="Normal 2 2 3 2 2 2 2 2 2" xfId="10000"/>
    <cellStyle name="Normal 2 2 3 2 2 2 2 2 2 2" xfId="16998"/>
    <cellStyle name="Normal 2 2 3 2 2 2 2 2 2 3" xfId="23965"/>
    <cellStyle name="Normal 2 2 3 2 2 2 2 2 2 4" xfId="30932"/>
    <cellStyle name="Normal 2 2 3 2 2 2 2 2 2 5" xfId="37901"/>
    <cellStyle name="Normal 2 2 3 2 2 2 2 2 3" xfId="14678"/>
    <cellStyle name="Normal 2 2 3 2 2 2 2 2 3 2" xfId="21645"/>
    <cellStyle name="Normal 2 2 3 2 2 2 2 2 3 3" xfId="28612"/>
    <cellStyle name="Normal 2 2 3 2 2 2 2 2 3 4" xfId="35581"/>
    <cellStyle name="Normal 2 2 3 2 2 2 2 2 4" xfId="12356"/>
    <cellStyle name="Normal 2 2 3 2 2 2 2 2 5" xfId="19323"/>
    <cellStyle name="Normal 2 2 3 2 2 2 2 2 6" xfId="26290"/>
    <cellStyle name="Normal 2 2 3 2 2 2 2 2 7" xfId="33258"/>
    <cellStyle name="Normal 2 2 3 2 2 2 2 3" xfId="8900"/>
    <cellStyle name="Normal 2 2 3 2 2 2 2 3 2" xfId="15952"/>
    <cellStyle name="Normal 2 2 3 2 2 2 2 3 3" xfId="22919"/>
    <cellStyle name="Normal 2 2 3 2 2 2 2 3 4" xfId="29886"/>
    <cellStyle name="Normal 2 2 3 2 2 2 2 3 5" xfId="36855"/>
    <cellStyle name="Normal 2 2 3 2 2 2 2 4" xfId="13630"/>
    <cellStyle name="Normal 2 2 3 2 2 2 2 4 2" xfId="20597"/>
    <cellStyle name="Normal 2 2 3 2 2 2 2 4 3" xfId="27564"/>
    <cellStyle name="Normal 2 2 3 2 2 2 2 4 4" xfId="34533"/>
    <cellStyle name="Normal 2 2 3 2 2 2 2 5" xfId="11308"/>
    <cellStyle name="Normal 2 2 3 2 2 2 2 6" xfId="18275"/>
    <cellStyle name="Normal 2 2 3 2 2 2 2 7" xfId="25242"/>
    <cellStyle name="Normal 2 2 3 2 2 2 2 8" xfId="32210"/>
    <cellStyle name="Normal 2 2 3 2 2 2 3" xfId="3468"/>
    <cellStyle name="Normal 2 2 3 2 2 2 3 2" xfId="5148"/>
    <cellStyle name="Normal 2 2 3 2 2 2 3 2 2" xfId="10001"/>
    <cellStyle name="Normal 2 2 3 2 2 2 3 2 2 2" xfId="16999"/>
    <cellStyle name="Normal 2 2 3 2 2 2 3 2 2 3" xfId="23966"/>
    <cellStyle name="Normal 2 2 3 2 2 2 3 2 2 4" xfId="30933"/>
    <cellStyle name="Normal 2 2 3 2 2 2 3 2 2 5" xfId="37902"/>
    <cellStyle name="Normal 2 2 3 2 2 2 3 2 3" xfId="14679"/>
    <cellStyle name="Normal 2 2 3 2 2 2 3 2 3 2" xfId="21646"/>
    <cellStyle name="Normal 2 2 3 2 2 2 3 2 3 3" xfId="28613"/>
    <cellStyle name="Normal 2 2 3 2 2 2 3 2 3 4" xfId="35582"/>
    <cellStyle name="Normal 2 2 3 2 2 2 3 2 4" xfId="12357"/>
    <cellStyle name="Normal 2 2 3 2 2 2 3 2 5" xfId="19324"/>
    <cellStyle name="Normal 2 2 3 2 2 2 3 2 6" xfId="26291"/>
    <cellStyle name="Normal 2 2 3 2 2 2 3 2 7" xfId="33259"/>
    <cellStyle name="Normal 2 2 3 2 2 2 3 3" xfId="9080"/>
    <cellStyle name="Normal 2 2 3 2 2 2 3 3 2" xfId="16119"/>
    <cellStyle name="Normal 2 2 3 2 2 2 3 3 3" xfId="23086"/>
    <cellStyle name="Normal 2 2 3 2 2 2 3 3 4" xfId="30053"/>
    <cellStyle name="Normal 2 2 3 2 2 2 3 3 5" xfId="37022"/>
    <cellStyle name="Normal 2 2 3 2 2 2 3 4" xfId="13799"/>
    <cellStyle name="Normal 2 2 3 2 2 2 3 4 2" xfId="20766"/>
    <cellStyle name="Normal 2 2 3 2 2 2 3 4 3" xfId="27733"/>
    <cellStyle name="Normal 2 2 3 2 2 2 3 4 4" xfId="34702"/>
    <cellStyle name="Normal 2 2 3 2 2 2 3 5" xfId="11477"/>
    <cellStyle name="Normal 2 2 3 2 2 2 3 6" xfId="18444"/>
    <cellStyle name="Normal 2 2 3 2 2 2 3 7" xfId="25411"/>
    <cellStyle name="Normal 2 2 3 2 2 2 3 8" xfId="32379"/>
    <cellStyle name="Normal 2 2 3 2 2 2 4" xfId="3643"/>
    <cellStyle name="Normal 2 2 3 2 2 2 4 2" xfId="5149"/>
    <cellStyle name="Normal 2 2 3 2 2 2 4 2 2" xfId="10002"/>
    <cellStyle name="Normal 2 2 3 2 2 2 4 2 2 2" xfId="17000"/>
    <cellStyle name="Normal 2 2 3 2 2 2 4 2 2 3" xfId="23967"/>
    <cellStyle name="Normal 2 2 3 2 2 2 4 2 2 4" xfId="30934"/>
    <cellStyle name="Normal 2 2 3 2 2 2 4 2 2 5" xfId="37903"/>
    <cellStyle name="Normal 2 2 3 2 2 2 4 2 3" xfId="14680"/>
    <cellStyle name="Normal 2 2 3 2 2 2 4 2 3 2" xfId="21647"/>
    <cellStyle name="Normal 2 2 3 2 2 2 4 2 3 3" xfId="28614"/>
    <cellStyle name="Normal 2 2 3 2 2 2 4 2 3 4" xfId="35583"/>
    <cellStyle name="Normal 2 2 3 2 2 2 4 2 4" xfId="12358"/>
    <cellStyle name="Normal 2 2 3 2 2 2 4 2 5" xfId="19325"/>
    <cellStyle name="Normal 2 2 3 2 2 2 4 2 6" xfId="26292"/>
    <cellStyle name="Normal 2 2 3 2 2 2 4 2 7" xfId="33260"/>
    <cellStyle name="Normal 2 2 3 2 2 2 4 3" xfId="9251"/>
    <cellStyle name="Normal 2 2 3 2 2 2 4 3 2" xfId="16290"/>
    <cellStyle name="Normal 2 2 3 2 2 2 4 3 3" xfId="23257"/>
    <cellStyle name="Normal 2 2 3 2 2 2 4 3 4" xfId="30224"/>
    <cellStyle name="Normal 2 2 3 2 2 2 4 3 5" xfId="37193"/>
    <cellStyle name="Normal 2 2 3 2 2 2 4 4" xfId="13970"/>
    <cellStyle name="Normal 2 2 3 2 2 2 4 4 2" xfId="20937"/>
    <cellStyle name="Normal 2 2 3 2 2 2 4 4 3" xfId="27904"/>
    <cellStyle name="Normal 2 2 3 2 2 2 4 4 4" xfId="34873"/>
    <cellStyle name="Normal 2 2 3 2 2 2 4 5" xfId="11648"/>
    <cellStyle name="Normal 2 2 3 2 2 2 4 6" xfId="18615"/>
    <cellStyle name="Normal 2 2 3 2 2 2 4 7" xfId="25582"/>
    <cellStyle name="Normal 2 2 3 2 2 2 4 8" xfId="32550"/>
    <cellStyle name="Normal 2 2 3 2 2 2 5" xfId="3920"/>
    <cellStyle name="Normal 2 2 3 2 2 2 5 2" xfId="5150"/>
    <cellStyle name="Normal 2 2 3 2 2 2 5 2 2" xfId="10003"/>
    <cellStyle name="Normal 2 2 3 2 2 2 5 2 2 2" xfId="17001"/>
    <cellStyle name="Normal 2 2 3 2 2 2 5 2 2 3" xfId="23968"/>
    <cellStyle name="Normal 2 2 3 2 2 2 5 2 2 4" xfId="30935"/>
    <cellStyle name="Normal 2 2 3 2 2 2 5 2 2 5" xfId="37904"/>
    <cellStyle name="Normal 2 2 3 2 2 2 5 2 3" xfId="14681"/>
    <cellStyle name="Normal 2 2 3 2 2 2 5 2 3 2" xfId="21648"/>
    <cellStyle name="Normal 2 2 3 2 2 2 5 2 3 3" xfId="28615"/>
    <cellStyle name="Normal 2 2 3 2 2 2 5 2 3 4" xfId="35584"/>
    <cellStyle name="Normal 2 2 3 2 2 2 5 2 4" xfId="12359"/>
    <cellStyle name="Normal 2 2 3 2 2 2 5 2 5" xfId="19326"/>
    <cellStyle name="Normal 2 2 3 2 2 2 5 2 6" xfId="26293"/>
    <cellStyle name="Normal 2 2 3 2 2 2 5 2 7" xfId="33261"/>
    <cellStyle name="Normal 2 2 3 2 2 2 5 3" xfId="9526"/>
    <cellStyle name="Normal 2 2 3 2 2 2 5 3 2" xfId="16562"/>
    <cellStyle name="Normal 2 2 3 2 2 2 5 3 3" xfId="23529"/>
    <cellStyle name="Normal 2 2 3 2 2 2 5 3 4" xfId="30496"/>
    <cellStyle name="Normal 2 2 3 2 2 2 5 3 5" xfId="37465"/>
    <cellStyle name="Normal 2 2 3 2 2 2 5 4" xfId="14242"/>
    <cellStyle name="Normal 2 2 3 2 2 2 5 4 2" xfId="21209"/>
    <cellStyle name="Normal 2 2 3 2 2 2 5 4 3" xfId="28176"/>
    <cellStyle name="Normal 2 2 3 2 2 2 5 4 4" xfId="35145"/>
    <cellStyle name="Normal 2 2 3 2 2 2 5 5" xfId="11920"/>
    <cellStyle name="Normal 2 2 3 2 2 2 5 6" xfId="18887"/>
    <cellStyle name="Normal 2 2 3 2 2 2 5 7" xfId="25854"/>
    <cellStyle name="Normal 2 2 3 2 2 2 5 8" xfId="32822"/>
    <cellStyle name="Normal 2 2 3 2 2 2 6" xfId="5146"/>
    <cellStyle name="Normal 2 2 3 2 2 2 6 2" xfId="9999"/>
    <cellStyle name="Normal 2 2 3 2 2 2 6 2 2" xfId="16997"/>
    <cellStyle name="Normal 2 2 3 2 2 2 6 2 3" xfId="23964"/>
    <cellStyle name="Normal 2 2 3 2 2 2 6 2 4" xfId="30931"/>
    <cellStyle name="Normal 2 2 3 2 2 2 6 2 5" xfId="37900"/>
    <cellStyle name="Normal 2 2 3 2 2 2 6 3" xfId="14677"/>
    <cellStyle name="Normal 2 2 3 2 2 2 6 3 2" xfId="21644"/>
    <cellStyle name="Normal 2 2 3 2 2 2 6 3 3" xfId="28611"/>
    <cellStyle name="Normal 2 2 3 2 2 2 6 3 4" xfId="35580"/>
    <cellStyle name="Normal 2 2 3 2 2 2 6 4" xfId="12355"/>
    <cellStyle name="Normal 2 2 3 2 2 2 6 5" xfId="19322"/>
    <cellStyle name="Normal 2 2 3 2 2 2 6 6" xfId="26289"/>
    <cellStyle name="Normal 2 2 3 2 2 2 6 7" xfId="33257"/>
    <cellStyle name="Normal 2 2 3 2 2 2 7" xfId="6814"/>
    <cellStyle name="Normal 2 2 3 2 2 2 7 2" xfId="10784"/>
    <cellStyle name="Normal 2 2 3 2 2 2 7 2 2" xfId="17758"/>
    <cellStyle name="Normal 2 2 3 2 2 2 7 2 3" xfId="24725"/>
    <cellStyle name="Normal 2 2 3 2 2 2 7 2 4" xfId="31692"/>
    <cellStyle name="Normal 2 2 3 2 2 2 7 2 5" xfId="38661"/>
    <cellStyle name="Normal 2 2 3 2 2 2 7 3" xfId="15438"/>
    <cellStyle name="Normal 2 2 3 2 2 2 7 3 2" xfId="22405"/>
    <cellStyle name="Normal 2 2 3 2 2 2 7 3 3" xfId="29372"/>
    <cellStyle name="Normal 2 2 3 2 2 2 7 3 4" xfId="36341"/>
    <cellStyle name="Normal 2 2 3 2 2 2 7 4" xfId="13116"/>
    <cellStyle name="Normal 2 2 3 2 2 2 7 5" xfId="20083"/>
    <cellStyle name="Normal 2 2 3 2 2 2 7 6" xfId="27050"/>
    <cellStyle name="Normal 2 2 3 2 2 2 7 7" xfId="34019"/>
    <cellStyle name="Normal 2 2 3 2 2 2 8" xfId="7127"/>
    <cellStyle name="Normal 2 2 3 2 2 2 8 2" xfId="15611"/>
    <cellStyle name="Normal 2 2 3 2 2 2 8 2 2" xfId="22578"/>
    <cellStyle name="Normal 2 2 3 2 2 2 8 2 3" xfId="29545"/>
    <cellStyle name="Normal 2 2 3 2 2 2 8 2 4" xfId="36514"/>
    <cellStyle name="Normal 2 2 3 2 2 2 8 3" xfId="13289"/>
    <cellStyle name="Normal 2 2 3 2 2 2 8 4" xfId="20256"/>
    <cellStyle name="Normal 2 2 3 2 2 2 8 5" xfId="27223"/>
    <cellStyle name="Normal 2 2 3 2 2 2 8 6" xfId="34192"/>
    <cellStyle name="Normal 2 2 3 2 2 2 9" xfId="8004"/>
    <cellStyle name="Normal 2 2 3 2 2 2 9 2" xfId="15783"/>
    <cellStyle name="Normal 2 2 3 2 2 2 9 2 2" xfId="22750"/>
    <cellStyle name="Normal 2 2 3 2 2 2 9 2 3" xfId="29717"/>
    <cellStyle name="Normal 2 2 3 2 2 2 9 2 4" xfId="36686"/>
    <cellStyle name="Normal 2 2 3 2 2 2 9 3" xfId="11139"/>
    <cellStyle name="Normal 2 2 3 2 2 2 9 4" xfId="18106"/>
    <cellStyle name="Normal 2 2 3 2 2 2 9 5" xfId="25073"/>
    <cellStyle name="Normal 2 2 3 2 2 2 9 6" xfId="32041"/>
    <cellStyle name="Normal 2 2 3 2 2 3" xfId="3265"/>
    <cellStyle name="Normal 2 2 3 2 2 3 2" xfId="3834"/>
    <cellStyle name="Normal 2 2 3 2 2 3 2 2" xfId="5152"/>
    <cellStyle name="Normal 2 2 3 2 2 3 2 2 2" xfId="10005"/>
    <cellStyle name="Normal 2 2 3 2 2 3 2 2 2 2" xfId="17003"/>
    <cellStyle name="Normal 2 2 3 2 2 3 2 2 2 3" xfId="23970"/>
    <cellStyle name="Normal 2 2 3 2 2 3 2 2 2 4" xfId="30937"/>
    <cellStyle name="Normal 2 2 3 2 2 3 2 2 2 5" xfId="37906"/>
    <cellStyle name="Normal 2 2 3 2 2 3 2 2 3" xfId="14683"/>
    <cellStyle name="Normal 2 2 3 2 2 3 2 2 3 2" xfId="21650"/>
    <cellStyle name="Normal 2 2 3 2 2 3 2 2 3 3" xfId="28617"/>
    <cellStyle name="Normal 2 2 3 2 2 3 2 2 3 4" xfId="35586"/>
    <cellStyle name="Normal 2 2 3 2 2 3 2 2 4" xfId="12361"/>
    <cellStyle name="Normal 2 2 3 2 2 3 2 2 5" xfId="19328"/>
    <cellStyle name="Normal 2 2 3 2 2 3 2 2 6" xfId="26295"/>
    <cellStyle name="Normal 2 2 3 2 2 3 2 2 7" xfId="33263"/>
    <cellStyle name="Normal 2 2 3 2 2 3 2 3" xfId="9440"/>
    <cellStyle name="Normal 2 2 3 2 2 3 2 3 2" xfId="16478"/>
    <cellStyle name="Normal 2 2 3 2 2 3 2 3 3" xfId="23445"/>
    <cellStyle name="Normal 2 2 3 2 2 3 2 3 4" xfId="30412"/>
    <cellStyle name="Normal 2 2 3 2 2 3 2 3 5" xfId="37381"/>
    <cellStyle name="Normal 2 2 3 2 2 3 2 4" xfId="14158"/>
    <cellStyle name="Normal 2 2 3 2 2 3 2 4 2" xfId="21125"/>
    <cellStyle name="Normal 2 2 3 2 2 3 2 4 3" xfId="28092"/>
    <cellStyle name="Normal 2 2 3 2 2 3 2 4 4" xfId="35061"/>
    <cellStyle name="Normal 2 2 3 2 2 3 2 5" xfId="11836"/>
    <cellStyle name="Normal 2 2 3 2 2 3 2 6" xfId="18803"/>
    <cellStyle name="Normal 2 2 3 2 2 3 2 7" xfId="25770"/>
    <cellStyle name="Normal 2 2 3 2 2 3 2 8" xfId="32738"/>
    <cellStyle name="Normal 2 2 3 2 2 3 3" xfId="5151"/>
    <cellStyle name="Normal 2 2 3 2 2 3 3 2" xfId="10004"/>
    <cellStyle name="Normal 2 2 3 2 2 3 3 2 2" xfId="17002"/>
    <cellStyle name="Normal 2 2 3 2 2 3 3 2 3" xfId="23969"/>
    <cellStyle name="Normal 2 2 3 2 2 3 3 2 4" xfId="30936"/>
    <cellStyle name="Normal 2 2 3 2 2 3 3 2 5" xfId="37905"/>
    <cellStyle name="Normal 2 2 3 2 2 3 3 3" xfId="14682"/>
    <cellStyle name="Normal 2 2 3 2 2 3 3 3 2" xfId="21649"/>
    <cellStyle name="Normal 2 2 3 2 2 3 3 3 3" xfId="28616"/>
    <cellStyle name="Normal 2 2 3 2 2 3 3 3 4" xfId="35585"/>
    <cellStyle name="Normal 2 2 3 2 2 3 3 4" xfId="12360"/>
    <cellStyle name="Normal 2 2 3 2 2 3 3 5" xfId="19327"/>
    <cellStyle name="Normal 2 2 3 2 2 3 3 6" xfId="26294"/>
    <cellStyle name="Normal 2 2 3 2 2 3 3 7" xfId="33262"/>
    <cellStyle name="Normal 2 2 3 2 2 3 4" xfId="8899"/>
    <cellStyle name="Normal 2 2 3 2 2 3 4 2" xfId="15951"/>
    <cellStyle name="Normal 2 2 3 2 2 3 4 3" xfId="22918"/>
    <cellStyle name="Normal 2 2 3 2 2 3 4 4" xfId="29885"/>
    <cellStyle name="Normal 2 2 3 2 2 3 4 5" xfId="36854"/>
    <cellStyle name="Normal 2 2 3 2 2 3 5" xfId="13629"/>
    <cellStyle name="Normal 2 2 3 2 2 3 5 2" xfId="20596"/>
    <cellStyle name="Normal 2 2 3 2 2 3 5 3" xfId="27563"/>
    <cellStyle name="Normal 2 2 3 2 2 3 5 4" xfId="34532"/>
    <cellStyle name="Normal 2 2 3 2 2 3 6" xfId="11307"/>
    <cellStyle name="Normal 2 2 3 2 2 3 7" xfId="18274"/>
    <cellStyle name="Normal 2 2 3 2 2 3 8" xfId="25241"/>
    <cellStyle name="Normal 2 2 3 2 2 3 9" xfId="32209"/>
    <cellStyle name="Normal 2 2 3 2 2 4" xfId="3467"/>
    <cellStyle name="Normal 2 2 3 2 2 4 2" xfId="5153"/>
    <cellStyle name="Normal 2 2 3 2 2 4 2 2" xfId="10006"/>
    <cellStyle name="Normal 2 2 3 2 2 4 2 2 2" xfId="17004"/>
    <cellStyle name="Normal 2 2 3 2 2 4 2 2 3" xfId="23971"/>
    <cellStyle name="Normal 2 2 3 2 2 4 2 2 4" xfId="30938"/>
    <cellStyle name="Normal 2 2 3 2 2 4 2 2 5" xfId="37907"/>
    <cellStyle name="Normal 2 2 3 2 2 4 2 3" xfId="14684"/>
    <cellStyle name="Normal 2 2 3 2 2 4 2 3 2" xfId="21651"/>
    <cellStyle name="Normal 2 2 3 2 2 4 2 3 3" xfId="28618"/>
    <cellStyle name="Normal 2 2 3 2 2 4 2 3 4" xfId="35587"/>
    <cellStyle name="Normal 2 2 3 2 2 4 2 4" xfId="12362"/>
    <cellStyle name="Normal 2 2 3 2 2 4 2 5" xfId="19329"/>
    <cellStyle name="Normal 2 2 3 2 2 4 2 6" xfId="26296"/>
    <cellStyle name="Normal 2 2 3 2 2 4 2 7" xfId="33264"/>
    <cellStyle name="Normal 2 2 3 2 2 4 3" xfId="9079"/>
    <cellStyle name="Normal 2 2 3 2 2 4 3 2" xfId="16118"/>
    <cellStyle name="Normal 2 2 3 2 2 4 3 3" xfId="23085"/>
    <cellStyle name="Normal 2 2 3 2 2 4 3 4" xfId="30052"/>
    <cellStyle name="Normal 2 2 3 2 2 4 3 5" xfId="37021"/>
    <cellStyle name="Normal 2 2 3 2 2 4 4" xfId="13798"/>
    <cellStyle name="Normal 2 2 3 2 2 4 4 2" xfId="20765"/>
    <cellStyle name="Normal 2 2 3 2 2 4 4 3" xfId="27732"/>
    <cellStyle name="Normal 2 2 3 2 2 4 4 4" xfId="34701"/>
    <cellStyle name="Normal 2 2 3 2 2 4 5" xfId="11476"/>
    <cellStyle name="Normal 2 2 3 2 2 4 6" xfId="18443"/>
    <cellStyle name="Normal 2 2 3 2 2 4 7" xfId="25410"/>
    <cellStyle name="Normal 2 2 3 2 2 4 8" xfId="32378"/>
    <cellStyle name="Normal 2 2 3 2 2 5" xfId="3642"/>
    <cellStyle name="Normal 2 2 3 2 2 5 2" xfId="5154"/>
    <cellStyle name="Normal 2 2 3 2 2 5 2 2" xfId="10007"/>
    <cellStyle name="Normal 2 2 3 2 2 5 2 2 2" xfId="17005"/>
    <cellStyle name="Normal 2 2 3 2 2 5 2 2 3" xfId="23972"/>
    <cellStyle name="Normal 2 2 3 2 2 5 2 2 4" xfId="30939"/>
    <cellStyle name="Normal 2 2 3 2 2 5 2 2 5" xfId="37908"/>
    <cellStyle name="Normal 2 2 3 2 2 5 2 3" xfId="14685"/>
    <cellStyle name="Normal 2 2 3 2 2 5 2 3 2" xfId="21652"/>
    <cellStyle name="Normal 2 2 3 2 2 5 2 3 3" xfId="28619"/>
    <cellStyle name="Normal 2 2 3 2 2 5 2 3 4" xfId="35588"/>
    <cellStyle name="Normal 2 2 3 2 2 5 2 4" xfId="12363"/>
    <cellStyle name="Normal 2 2 3 2 2 5 2 5" xfId="19330"/>
    <cellStyle name="Normal 2 2 3 2 2 5 2 6" xfId="26297"/>
    <cellStyle name="Normal 2 2 3 2 2 5 2 7" xfId="33265"/>
    <cellStyle name="Normal 2 2 3 2 2 5 3" xfId="9250"/>
    <cellStyle name="Normal 2 2 3 2 2 5 3 2" xfId="16289"/>
    <cellStyle name="Normal 2 2 3 2 2 5 3 3" xfId="23256"/>
    <cellStyle name="Normal 2 2 3 2 2 5 3 4" xfId="30223"/>
    <cellStyle name="Normal 2 2 3 2 2 5 3 5" xfId="37192"/>
    <cellStyle name="Normal 2 2 3 2 2 5 4" xfId="13969"/>
    <cellStyle name="Normal 2 2 3 2 2 5 4 2" xfId="20936"/>
    <cellStyle name="Normal 2 2 3 2 2 5 4 3" xfId="27903"/>
    <cellStyle name="Normal 2 2 3 2 2 5 4 4" xfId="34872"/>
    <cellStyle name="Normal 2 2 3 2 2 5 5" xfId="11647"/>
    <cellStyle name="Normal 2 2 3 2 2 5 6" xfId="18614"/>
    <cellStyle name="Normal 2 2 3 2 2 5 7" xfId="25581"/>
    <cellStyle name="Normal 2 2 3 2 2 5 8" xfId="32549"/>
    <cellStyle name="Normal 2 2 3 2 2 6" xfId="3919"/>
    <cellStyle name="Normal 2 2 3 2 2 6 2" xfId="5155"/>
    <cellStyle name="Normal 2 2 3 2 2 6 2 2" xfId="10008"/>
    <cellStyle name="Normal 2 2 3 2 2 6 2 2 2" xfId="17006"/>
    <cellStyle name="Normal 2 2 3 2 2 6 2 2 3" xfId="23973"/>
    <cellStyle name="Normal 2 2 3 2 2 6 2 2 4" xfId="30940"/>
    <cellStyle name="Normal 2 2 3 2 2 6 2 2 5" xfId="37909"/>
    <cellStyle name="Normal 2 2 3 2 2 6 2 3" xfId="14686"/>
    <cellStyle name="Normal 2 2 3 2 2 6 2 3 2" xfId="21653"/>
    <cellStyle name="Normal 2 2 3 2 2 6 2 3 3" xfId="28620"/>
    <cellStyle name="Normal 2 2 3 2 2 6 2 3 4" xfId="35589"/>
    <cellStyle name="Normal 2 2 3 2 2 6 2 4" xfId="12364"/>
    <cellStyle name="Normal 2 2 3 2 2 6 2 5" xfId="19331"/>
    <cellStyle name="Normal 2 2 3 2 2 6 2 6" xfId="26298"/>
    <cellStyle name="Normal 2 2 3 2 2 6 2 7" xfId="33266"/>
    <cellStyle name="Normal 2 2 3 2 2 6 3" xfId="9525"/>
    <cellStyle name="Normal 2 2 3 2 2 6 3 2" xfId="16561"/>
    <cellStyle name="Normal 2 2 3 2 2 6 3 3" xfId="23528"/>
    <cellStyle name="Normal 2 2 3 2 2 6 3 4" xfId="30495"/>
    <cellStyle name="Normal 2 2 3 2 2 6 3 5" xfId="37464"/>
    <cellStyle name="Normal 2 2 3 2 2 6 4" xfId="14241"/>
    <cellStyle name="Normal 2 2 3 2 2 6 4 2" xfId="21208"/>
    <cellStyle name="Normal 2 2 3 2 2 6 4 3" xfId="28175"/>
    <cellStyle name="Normal 2 2 3 2 2 6 4 4" xfId="35144"/>
    <cellStyle name="Normal 2 2 3 2 2 6 5" xfId="11919"/>
    <cellStyle name="Normal 2 2 3 2 2 6 6" xfId="18886"/>
    <cellStyle name="Normal 2 2 3 2 2 6 7" xfId="25853"/>
    <cellStyle name="Normal 2 2 3 2 2 6 8" xfId="32821"/>
    <cellStyle name="Normal 2 2 3 2 2 7" xfId="5145"/>
    <cellStyle name="Normal 2 2 3 2 2 7 2" xfId="9998"/>
    <cellStyle name="Normal 2 2 3 2 2 7 2 2" xfId="16996"/>
    <cellStyle name="Normal 2 2 3 2 2 7 2 3" xfId="23963"/>
    <cellStyle name="Normal 2 2 3 2 2 7 2 4" xfId="30930"/>
    <cellStyle name="Normal 2 2 3 2 2 7 2 5" xfId="37899"/>
    <cellStyle name="Normal 2 2 3 2 2 7 3" xfId="14676"/>
    <cellStyle name="Normal 2 2 3 2 2 7 3 2" xfId="21643"/>
    <cellStyle name="Normal 2 2 3 2 2 7 3 3" xfId="28610"/>
    <cellStyle name="Normal 2 2 3 2 2 7 3 4" xfId="35579"/>
    <cellStyle name="Normal 2 2 3 2 2 7 4" xfId="12354"/>
    <cellStyle name="Normal 2 2 3 2 2 7 5" xfId="19321"/>
    <cellStyle name="Normal 2 2 3 2 2 7 6" xfId="26288"/>
    <cellStyle name="Normal 2 2 3 2 2 7 7" xfId="33256"/>
    <cellStyle name="Normal 2 2 3 2 2 8" xfId="6813"/>
    <cellStyle name="Normal 2 2 3 2 2 8 2" xfId="10783"/>
    <cellStyle name="Normal 2 2 3 2 2 8 2 2" xfId="17757"/>
    <cellStyle name="Normal 2 2 3 2 2 8 2 3" xfId="24724"/>
    <cellStyle name="Normal 2 2 3 2 2 8 2 4" xfId="31691"/>
    <cellStyle name="Normal 2 2 3 2 2 8 2 5" xfId="38660"/>
    <cellStyle name="Normal 2 2 3 2 2 8 3" xfId="15437"/>
    <cellStyle name="Normal 2 2 3 2 2 8 3 2" xfId="22404"/>
    <cellStyle name="Normal 2 2 3 2 2 8 3 3" xfId="29371"/>
    <cellStyle name="Normal 2 2 3 2 2 8 3 4" xfId="36340"/>
    <cellStyle name="Normal 2 2 3 2 2 8 4" xfId="13115"/>
    <cellStyle name="Normal 2 2 3 2 2 8 5" xfId="20082"/>
    <cellStyle name="Normal 2 2 3 2 2 8 6" xfId="27049"/>
    <cellStyle name="Normal 2 2 3 2 2 8 7" xfId="34018"/>
    <cellStyle name="Normal 2 2 3 2 2 9" xfId="7126"/>
    <cellStyle name="Normal 2 2 3 2 2 9 2" xfId="15610"/>
    <cellStyle name="Normal 2 2 3 2 2 9 2 2" xfId="22577"/>
    <cellStyle name="Normal 2 2 3 2 2 9 2 3" xfId="29544"/>
    <cellStyle name="Normal 2 2 3 2 2 9 2 4" xfId="36513"/>
    <cellStyle name="Normal 2 2 3 2 2 9 3" xfId="13288"/>
    <cellStyle name="Normal 2 2 3 2 2 9 4" xfId="20255"/>
    <cellStyle name="Normal 2 2 3 2 2 9 5" xfId="27222"/>
    <cellStyle name="Normal 2 2 3 2 2 9 6" xfId="34191"/>
    <cellStyle name="Normal 2 2 3 2 3" xfId="1642"/>
    <cellStyle name="Normal 2 2 3 2 3 10" xfId="13462"/>
    <cellStyle name="Normal 2 2 3 2 3 10 2" xfId="20429"/>
    <cellStyle name="Normal 2 2 3 2 3 10 3" xfId="27396"/>
    <cellStyle name="Normal 2 2 3 2 3 10 4" xfId="34365"/>
    <cellStyle name="Normal 2 2 3 2 3 11" xfId="10968"/>
    <cellStyle name="Normal 2 2 3 2 3 12" xfId="17934"/>
    <cellStyle name="Normal 2 2 3 2 3 13" xfId="24902"/>
    <cellStyle name="Normal 2 2 3 2 3 14" xfId="31870"/>
    <cellStyle name="Normal 2 2 3 2 3 2" xfId="3267"/>
    <cellStyle name="Normal 2 2 3 2 3 2 2" xfId="5157"/>
    <cellStyle name="Normal 2 2 3 2 3 2 2 2" xfId="10010"/>
    <cellStyle name="Normal 2 2 3 2 3 2 2 2 2" xfId="17008"/>
    <cellStyle name="Normal 2 2 3 2 3 2 2 2 3" xfId="23975"/>
    <cellStyle name="Normal 2 2 3 2 3 2 2 2 4" xfId="30942"/>
    <cellStyle name="Normal 2 2 3 2 3 2 2 2 5" xfId="37911"/>
    <cellStyle name="Normal 2 2 3 2 3 2 2 3" xfId="14688"/>
    <cellStyle name="Normal 2 2 3 2 3 2 2 3 2" xfId="21655"/>
    <cellStyle name="Normal 2 2 3 2 3 2 2 3 3" xfId="28622"/>
    <cellStyle name="Normal 2 2 3 2 3 2 2 3 4" xfId="35591"/>
    <cellStyle name="Normal 2 2 3 2 3 2 2 4" xfId="12366"/>
    <cellStyle name="Normal 2 2 3 2 3 2 2 5" xfId="19333"/>
    <cellStyle name="Normal 2 2 3 2 3 2 2 6" xfId="26300"/>
    <cellStyle name="Normal 2 2 3 2 3 2 2 7" xfId="33268"/>
    <cellStyle name="Normal 2 2 3 2 3 2 3" xfId="8901"/>
    <cellStyle name="Normal 2 2 3 2 3 2 3 2" xfId="15953"/>
    <cellStyle name="Normal 2 2 3 2 3 2 3 3" xfId="22920"/>
    <cellStyle name="Normal 2 2 3 2 3 2 3 4" xfId="29887"/>
    <cellStyle name="Normal 2 2 3 2 3 2 3 5" xfId="36856"/>
    <cellStyle name="Normal 2 2 3 2 3 2 4" xfId="13631"/>
    <cellStyle name="Normal 2 2 3 2 3 2 4 2" xfId="20598"/>
    <cellStyle name="Normal 2 2 3 2 3 2 4 3" xfId="27565"/>
    <cellStyle name="Normal 2 2 3 2 3 2 4 4" xfId="34534"/>
    <cellStyle name="Normal 2 2 3 2 3 2 5" xfId="11309"/>
    <cellStyle name="Normal 2 2 3 2 3 2 6" xfId="18276"/>
    <cellStyle name="Normal 2 2 3 2 3 2 7" xfId="25243"/>
    <cellStyle name="Normal 2 2 3 2 3 2 8" xfId="32211"/>
    <cellStyle name="Normal 2 2 3 2 3 3" xfId="3469"/>
    <cellStyle name="Normal 2 2 3 2 3 3 2" xfId="5158"/>
    <cellStyle name="Normal 2 2 3 2 3 3 2 2" xfId="10011"/>
    <cellStyle name="Normal 2 2 3 2 3 3 2 2 2" xfId="17009"/>
    <cellStyle name="Normal 2 2 3 2 3 3 2 2 3" xfId="23976"/>
    <cellStyle name="Normal 2 2 3 2 3 3 2 2 4" xfId="30943"/>
    <cellStyle name="Normal 2 2 3 2 3 3 2 2 5" xfId="37912"/>
    <cellStyle name="Normal 2 2 3 2 3 3 2 3" xfId="14689"/>
    <cellStyle name="Normal 2 2 3 2 3 3 2 3 2" xfId="21656"/>
    <cellStyle name="Normal 2 2 3 2 3 3 2 3 3" xfId="28623"/>
    <cellStyle name="Normal 2 2 3 2 3 3 2 3 4" xfId="35592"/>
    <cellStyle name="Normal 2 2 3 2 3 3 2 4" xfId="12367"/>
    <cellStyle name="Normal 2 2 3 2 3 3 2 5" xfId="19334"/>
    <cellStyle name="Normal 2 2 3 2 3 3 2 6" xfId="26301"/>
    <cellStyle name="Normal 2 2 3 2 3 3 2 7" xfId="33269"/>
    <cellStyle name="Normal 2 2 3 2 3 3 3" xfId="9081"/>
    <cellStyle name="Normal 2 2 3 2 3 3 3 2" xfId="16120"/>
    <cellStyle name="Normal 2 2 3 2 3 3 3 3" xfId="23087"/>
    <cellStyle name="Normal 2 2 3 2 3 3 3 4" xfId="30054"/>
    <cellStyle name="Normal 2 2 3 2 3 3 3 5" xfId="37023"/>
    <cellStyle name="Normal 2 2 3 2 3 3 4" xfId="13800"/>
    <cellStyle name="Normal 2 2 3 2 3 3 4 2" xfId="20767"/>
    <cellStyle name="Normal 2 2 3 2 3 3 4 3" xfId="27734"/>
    <cellStyle name="Normal 2 2 3 2 3 3 4 4" xfId="34703"/>
    <cellStyle name="Normal 2 2 3 2 3 3 5" xfId="11478"/>
    <cellStyle name="Normal 2 2 3 2 3 3 6" xfId="18445"/>
    <cellStyle name="Normal 2 2 3 2 3 3 7" xfId="25412"/>
    <cellStyle name="Normal 2 2 3 2 3 3 8" xfId="32380"/>
    <cellStyle name="Normal 2 2 3 2 3 4" xfId="3644"/>
    <cellStyle name="Normal 2 2 3 2 3 4 2" xfId="5159"/>
    <cellStyle name="Normal 2 2 3 2 3 4 2 2" xfId="10012"/>
    <cellStyle name="Normal 2 2 3 2 3 4 2 2 2" xfId="17010"/>
    <cellStyle name="Normal 2 2 3 2 3 4 2 2 3" xfId="23977"/>
    <cellStyle name="Normal 2 2 3 2 3 4 2 2 4" xfId="30944"/>
    <cellStyle name="Normal 2 2 3 2 3 4 2 2 5" xfId="37913"/>
    <cellStyle name="Normal 2 2 3 2 3 4 2 3" xfId="14690"/>
    <cellStyle name="Normal 2 2 3 2 3 4 2 3 2" xfId="21657"/>
    <cellStyle name="Normal 2 2 3 2 3 4 2 3 3" xfId="28624"/>
    <cellStyle name="Normal 2 2 3 2 3 4 2 3 4" xfId="35593"/>
    <cellStyle name="Normal 2 2 3 2 3 4 2 4" xfId="12368"/>
    <cellStyle name="Normal 2 2 3 2 3 4 2 5" xfId="19335"/>
    <cellStyle name="Normal 2 2 3 2 3 4 2 6" xfId="26302"/>
    <cellStyle name="Normal 2 2 3 2 3 4 2 7" xfId="33270"/>
    <cellStyle name="Normal 2 2 3 2 3 4 3" xfId="9252"/>
    <cellStyle name="Normal 2 2 3 2 3 4 3 2" xfId="16291"/>
    <cellStyle name="Normal 2 2 3 2 3 4 3 3" xfId="23258"/>
    <cellStyle name="Normal 2 2 3 2 3 4 3 4" xfId="30225"/>
    <cellStyle name="Normal 2 2 3 2 3 4 3 5" xfId="37194"/>
    <cellStyle name="Normal 2 2 3 2 3 4 4" xfId="13971"/>
    <cellStyle name="Normal 2 2 3 2 3 4 4 2" xfId="20938"/>
    <cellStyle name="Normal 2 2 3 2 3 4 4 3" xfId="27905"/>
    <cellStyle name="Normal 2 2 3 2 3 4 4 4" xfId="34874"/>
    <cellStyle name="Normal 2 2 3 2 3 4 5" xfId="11649"/>
    <cellStyle name="Normal 2 2 3 2 3 4 6" xfId="18616"/>
    <cellStyle name="Normal 2 2 3 2 3 4 7" xfId="25583"/>
    <cellStyle name="Normal 2 2 3 2 3 4 8" xfId="32551"/>
    <cellStyle name="Normal 2 2 3 2 3 5" xfId="3921"/>
    <cellStyle name="Normal 2 2 3 2 3 5 2" xfId="5160"/>
    <cellStyle name="Normal 2 2 3 2 3 5 2 2" xfId="10013"/>
    <cellStyle name="Normal 2 2 3 2 3 5 2 2 2" xfId="17011"/>
    <cellStyle name="Normal 2 2 3 2 3 5 2 2 3" xfId="23978"/>
    <cellStyle name="Normal 2 2 3 2 3 5 2 2 4" xfId="30945"/>
    <cellStyle name="Normal 2 2 3 2 3 5 2 2 5" xfId="37914"/>
    <cellStyle name="Normal 2 2 3 2 3 5 2 3" xfId="14691"/>
    <cellStyle name="Normal 2 2 3 2 3 5 2 3 2" xfId="21658"/>
    <cellStyle name="Normal 2 2 3 2 3 5 2 3 3" xfId="28625"/>
    <cellStyle name="Normal 2 2 3 2 3 5 2 3 4" xfId="35594"/>
    <cellStyle name="Normal 2 2 3 2 3 5 2 4" xfId="12369"/>
    <cellStyle name="Normal 2 2 3 2 3 5 2 5" xfId="19336"/>
    <cellStyle name="Normal 2 2 3 2 3 5 2 6" xfId="26303"/>
    <cellStyle name="Normal 2 2 3 2 3 5 2 7" xfId="33271"/>
    <cellStyle name="Normal 2 2 3 2 3 5 3" xfId="9527"/>
    <cellStyle name="Normal 2 2 3 2 3 5 3 2" xfId="16563"/>
    <cellStyle name="Normal 2 2 3 2 3 5 3 3" xfId="23530"/>
    <cellStyle name="Normal 2 2 3 2 3 5 3 4" xfId="30497"/>
    <cellStyle name="Normal 2 2 3 2 3 5 3 5" xfId="37466"/>
    <cellStyle name="Normal 2 2 3 2 3 5 4" xfId="14243"/>
    <cellStyle name="Normal 2 2 3 2 3 5 4 2" xfId="21210"/>
    <cellStyle name="Normal 2 2 3 2 3 5 4 3" xfId="28177"/>
    <cellStyle name="Normal 2 2 3 2 3 5 4 4" xfId="35146"/>
    <cellStyle name="Normal 2 2 3 2 3 5 5" xfId="11921"/>
    <cellStyle name="Normal 2 2 3 2 3 5 6" xfId="18888"/>
    <cellStyle name="Normal 2 2 3 2 3 5 7" xfId="25855"/>
    <cellStyle name="Normal 2 2 3 2 3 5 8" xfId="32823"/>
    <cellStyle name="Normal 2 2 3 2 3 6" xfId="5156"/>
    <cellStyle name="Normal 2 2 3 2 3 6 2" xfId="10009"/>
    <cellStyle name="Normal 2 2 3 2 3 6 2 2" xfId="17007"/>
    <cellStyle name="Normal 2 2 3 2 3 6 2 3" xfId="23974"/>
    <cellStyle name="Normal 2 2 3 2 3 6 2 4" xfId="30941"/>
    <cellStyle name="Normal 2 2 3 2 3 6 2 5" xfId="37910"/>
    <cellStyle name="Normal 2 2 3 2 3 6 3" xfId="14687"/>
    <cellStyle name="Normal 2 2 3 2 3 6 3 2" xfId="21654"/>
    <cellStyle name="Normal 2 2 3 2 3 6 3 3" xfId="28621"/>
    <cellStyle name="Normal 2 2 3 2 3 6 3 4" xfId="35590"/>
    <cellStyle name="Normal 2 2 3 2 3 6 4" xfId="12365"/>
    <cellStyle name="Normal 2 2 3 2 3 6 5" xfId="19332"/>
    <cellStyle name="Normal 2 2 3 2 3 6 6" xfId="26299"/>
    <cellStyle name="Normal 2 2 3 2 3 6 7" xfId="33267"/>
    <cellStyle name="Normal 2 2 3 2 3 7" xfId="6815"/>
    <cellStyle name="Normal 2 2 3 2 3 7 2" xfId="10785"/>
    <cellStyle name="Normal 2 2 3 2 3 7 2 2" xfId="17759"/>
    <cellStyle name="Normal 2 2 3 2 3 7 2 3" xfId="24726"/>
    <cellStyle name="Normal 2 2 3 2 3 7 2 4" xfId="31693"/>
    <cellStyle name="Normal 2 2 3 2 3 7 2 5" xfId="38662"/>
    <cellStyle name="Normal 2 2 3 2 3 7 3" xfId="15439"/>
    <cellStyle name="Normal 2 2 3 2 3 7 3 2" xfId="22406"/>
    <cellStyle name="Normal 2 2 3 2 3 7 3 3" xfId="29373"/>
    <cellStyle name="Normal 2 2 3 2 3 7 3 4" xfId="36342"/>
    <cellStyle name="Normal 2 2 3 2 3 7 4" xfId="13117"/>
    <cellStyle name="Normal 2 2 3 2 3 7 5" xfId="20084"/>
    <cellStyle name="Normal 2 2 3 2 3 7 6" xfId="27051"/>
    <cellStyle name="Normal 2 2 3 2 3 7 7" xfId="34020"/>
    <cellStyle name="Normal 2 2 3 2 3 8" xfId="7128"/>
    <cellStyle name="Normal 2 2 3 2 3 8 2" xfId="15612"/>
    <cellStyle name="Normal 2 2 3 2 3 8 2 2" xfId="22579"/>
    <cellStyle name="Normal 2 2 3 2 3 8 2 3" xfId="29546"/>
    <cellStyle name="Normal 2 2 3 2 3 8 2 4" xfId="36515"/>
    <cellStyle name="Normal 2 2 3 2 3 8 3" xfId="13290"/>
    <cellStyle name="Normal 2 2 3 2 3 8 4" xfId="20257"/>
    <cellStyle name="Normal 2 2 3 2 3 8 5" xfId="27224"/>
    <cellStyle name="Normal 2 2 3 2 3 8 6" xfId="34193"/>
    <cellStyle name="Normal 2 2 3 2 3 9" xfId="8005"/>
    <cellStyle name="Normal 2 2 3 2 3 9 2" xfId="15784"/>
    <cellStyle name="Normal 2 2 3 2 3 9 2 2" xfId="22751"/>
    <cellStyle name="Normal 2 2 3 2 3 9 2 3" xfId="29718"/>
    <cellStyle name="Normal 2 2 3 2 3 9 2 4" xfId="36687"/>
    <cellStyle name="Normal 2 2 3 2 3 9 3" xfId="11140"/>
    <cellStyle name="Normal 2 2 3 2 3 9 4" xfId="18107"/>
    <cellStyle name="Normal 2 2 3 2 3 9 5" xfId="25074"/>
    <cellStyle name="Normal 2 2 3 2 3 9 6" xfId="32042"/>
    <cellStyle name="Normal 2 2 3 2 4" xfId="1643"/>
    <cellStyle name="Normal 2 2 3 2 4 10" xfId="13463"/>
    <cellStyle name="Normal 2 2 3 2 4 10 2" xfId="20430"/>
    <cellStyle name="Normal 2 2 3 2 4 10 3" xfId="27397"/>
    <cellStyle name="Normal 2 2 3 2 4 10 4" xfId="34366"/>
    <cellStyle name="Normal 2 2 3 2 4 11" xfId="10969"/>
    <cellStyle name="Normal 2 2 3 2 4 12" xfId="17935"/>
    <cellStyle name="Normal 2 2 3 2 4 13" xfId="24903"/>
    <cellStyle name="Normal 2 2 3 2 4 14" xfId="31871"/>
    <cellStyle name="Normal 2 2 3 2 4 2" xfId="3268"/>
    <cellStyle name="Normal 2 2 3 2 4 2 2" xfId="5162"/>
    <cellStyle name="Normal 2 2 3 2 4 2 2 2" xfId="10015"/>
    <cellStyle name="Normal 2 2 3 2 4 2 2 2 2" xfId="17013"/>
    <cellStyle name="Normal 2 2 3 2 4 2 2 2 3" xfId="23980"/>
    <cellStyle name="Normal 2 2 3 2 4 2 2 2 4" xfId="30947"/>
    <cellStyle name="Normal 2 2 3 2 4 2 2 2 5" xfId="37916"/>
    <cellStyle name="Normal 2 2 3 2 4 2 2 3" xfId="14693"/>
    <cellStyle name="Normal 2 2 3 2 4 2 2 3 2" xfId="21660"/>
    <cellStyle name="Normal 2 2 3 2 4 2 2 3 3" xfId="28627"/>
    <cellStyle name="Normal 2 2 3 2 4 2 2 3 4" xfId="35596"/>
    <cellStyle name="Normal 2 2 3 2 4 2 2 4" xfId="12371"/>
    <cellStyle name="Normal 2 2 3 2 4 2 2 5" xfId="19338"/>
    <cellStyle name="Normal 2 2 3 2 4 2 2 6" xfId="26305"/>
    <cellStyle name="Normal 2 2 3 2 4 2 2 7" xfId="33273"/>
    <cellStyle name="Normal 2 2 3 2 4 2 3" xfId="8902"/>
    <cellStyle name="Normal 2 2 3 2 4 2 3 2" xfId="15954"/>
    <cellStyle name="Normal 2 2 3 2 4 2 3 3" xfId="22921"/>
    <cellStyle name="Normal 2 2 3 2 4 2 3 4" xfId="29888"/>
    <cellStyle name="Normal 2 2 3 2 4 2 3 5" xfId="36857"/>
    <cellStyle name="Normal 2 2 3 2 4 2 4" xfId="13632"/>
    <cellStyle name="Normal 2 2 3 2 4 2 4 2" xfId="20599"/>
    <cellStyle name="Normal 2 2 3 2 4 2 4 3" xfId="27566"/>
    <cellStyle name="Normal 2 2 3 2 4 2 4 4" xfId="34535"/>
    <cellStyle name="Normal 2 2 3 2 4 2 5" xfId="11310"/>
    <cellStyle name="Normal 2 2 3 2 4 2 6" xfId="18277"/>
    <cellStyle name="Normal 2 2 3 2 4 2 7" xfId="25244"/>
    <cellStyle name="Normal 2 2 3 2 4 2 8" xfId="32212"/>
    <cellStyle name="Normal 2 2 3 2 4 3" xfId="3470"/>
    <cellStyle name="Normal 2 2 3 2 4 3 2" xfId="5163"/>
    <cellStyle name="Normal 2 2 3 2 4 3 2 2" xfId="10016"/>
    <cellStyle name="Normal 2 2 3 2 4 3 2 2 2" xfId="17014"/>
    <cellStyle name="Normal 2 2 3 2 4 3 2 2 3" xfId="23981"/>
    <cellStyle name="Normal 2 2 3 2 4 3 2 2 4" xfId="30948"/>
    <cellStyle name="Normal 2 2 3 2 4 3 2 2 5" xfId="37917"/>
    <cellStyle name="Normal 2 2 3 2 4 3 2 3" xfId="14694"/>
    <cellStyle name="Normal 2 2 3 2 4 3 2 3 2" xfId="21661"/>
    <cellStyle name="Normal 2 2 3 2 4 3 2 3 3" xfId="28628"/>
    <cellStyle name="Normal 2 2 3 2 4 3 2 3 4" xfId="35597"/>
    <cellStyle name="Normal 2 2 3 2 4 3 2 4" xfId="12372"/>
    <cellStyle name="Normal 2 2 3 2 4 3 2 5" xfId="19339"/>
    <cellStyle name="Normal 2 2 3 2 4 3 2 6" xfId="26306"/>
    <cellStyle name="Normal 2 2 3 2 4 3 2 7" xfId="33274"/>
    <cellStyle name="Normal 2 2 3 2 4 3 3" xfId="9082"/>
    <cellStyle name="Normal 2 2 3 2 4 3 3 2" xfId="16121"/>
    <cellStyle name="Normal 2 2 3 2 4 3 3 3" xfId="23088"/>
    <cellStyle name="Normal 2 2 3 2 4 3 3 4" xfId="30055"/>
    <cellStyle name="Normal 2 2 3 2 4 3 3 5" xfId="37024"/>
    <cellStyle name="Normal 2 2 3 2 4 3 4" xfId="13801"/>
    <cellStyle name="Normal 2 2 3 2 4 3 4 2" xfId="20768"/>
    <cellStyle name="Normal 2 2 3 2 4 3 4 3" xfId="27735"/>
    <cellStyle name="Normal 2 2 3 2 4 3 4 4" xfId="34704"/>
    <cellStyle name="Normal 2 2 3 2 4 3 5" xfId="11479"/>
    <cellStyle name="Normal 2 2 3 2 4 3 6" xfId="18446"/>
    <cellStyle name="Normal 2 2 3 2 4 3 7" xfId="25413"/>
    <cellStyle name="Normal 2 2 3 2 4 3 8" xfId="32381"/>
    <cellStyle name="Normal 2 2 3 2 4 4" xfId="3645"/>
    <cellStyle name="Normal 2 2 3 2 4 4 2" xfId="5164"/>
    <cellStyle name="Normal 2 2 3 2 4 4 2 2" xfId="10017"/>
    <cellStyle name="Normal 2 2 3 2 4 4 2 2 2" xfId="17015"/>
    <cellStyle name="Normal 2 2 3 2 4 4 2 2 3" xfId="23982"/>
    <cellStyle name="Normal 2 2 3 2 4 4 2 2 4" xfId="30949"/>
    <cellStyle name="Normal 2 2 3 2 4 4 2 2 5" xfId="37918"/>
    <cellStyle name="Normal 2 2 3 2 4 4 2 3" xfId="14695"/>
    <cellStyle name="Normal 2 2 3 2 4 4 2 3 2" xfId="21662"/>
    <cellStyle name="Normal 2 2 3 2 4 4 2 3 3" xfId="28629"/>
    <cellStyle name="Normal 2 2 3 2 4 4 2 3 4" xfId="35598"/>
    <cellStyle name="Normal 2 2 3 2 4 4 2 4" xfId="12373"/>
    <cellStyle name="Normal 2 2 3 2 4 4 2 5" xfId="19340"/>
    <cellStyle name="Normal 2 2 3 2 4 4 2 6" xfId="26307"/>
    <cellStyle name="Normal 2 2 3 2 4 4 2 7" xfId="33275"/>
    <cellStyle name="Normal 2 2 3 2 4 4 3" xfId="9253"/>
    <cellStyle name="Normal 2 2 3 2 4 4 3 2" xfId="16292"/>
    <cellStyle name="Normal 2 2 3 2 4 4 3 3" xfId="23259"/>
    <cellStyle name="Normal 2 2 3 2 4 4 3 4" xfId="30226"/>
    <cellStyle name="Normal 2 2 3 2 4 4 3 5" xfId="37195"/>
    <cellStyle name="Normal 2 2 3 2 4 4 4" xfId="13972"/>
    <cellStyle name="Normal 2 2 3 2 4 4 4 2" xfId="20939"/>
    <cellStyle name="Normal 2 2 3 2 4 4 4 3" xfId="27906"/>
    <cellStyle name="Normal 2 2 3 2 4 4 4 4" xfId="34875"/>
    <cellStyle name="Normal 2 2 3 2 4 4 5" xfId="11650"/>
    <cellStyle name="Normal 2 2 3 2 4 4 6" xfId="18617"/>
    <cellStyle name="Normal 2 2 3 2 4 4 7" xfId="25584"/>
    <cellStyle name="Normal 2 2 3 2 4 4 8" xfId="32552"/>
    <cellStyle name="Normal 2 2 3 2 4 5" xfId="3922"/>
    <cellStyle name="Normal 2 2 3 2 4 5 2" xfId="5165"/>
    <cellStyle name="Normal 2 2 3 2 4 5 2 2" xfId="10018"/>
    <cellStyle name="Normal 2 2 3 2 4 5 2 2 2" xfId="17016"/>
    <cellStyle name="Normal 2 2 3 2 4 5 2 2 3" xfId="23983"/>
    <cellStyle name="Normal 2 2 3 2 4 5 2 2 4" xfId="30950"/>
    <cellStyle name="Normal 2 2 3 2 4 5 2 2 5" xfId="37919"/>
    <cellStyle name="Normal 2 2 3 2 4 5 2 3" xfId="14696"/>
    <cellStyle name="Normal 2 2 3 2 4 5 2 3 2" xfId="21663"/>
    <cellStyle name="Normal 2 2 3 2 4 5 2 3 3" xfId="28630"/>
    <cellStyle name="Normal 2 2 3 2 4 5 2 3 4" xfId="35599"/>
    <cellStyle name="Normal 2 2 3 2 4 5 2 4" xfId="12374"/>
    <cellStyle name="Normal 2 2 3 2 4 5 2 5" xfId="19341"/>
    <cellStyle name="Normal 2 2 3 2 4 5 2 6" xfId="26308"/>
    <cellStyle name="Normal 2 2 3 2 4 5 2 7" xfId="33276"/>
    <cellStyle name="Normal 2 2 3 2 4 5 3" xfId="9528"/>
    <cellStyle name="Normal 2 2 3 2 4 5 3 2" xfId="16564"/>
    <cellStyle name="Normal 2 2 3 2 4 5 3 3" xfId="23531"/>
    <cellStyle name="Normal 2 2 3 2 4 5 3 4" xfId="30498"/>
    <cellStyle name="Normal 2 2 3 2 4 5 3 5" xfId="37467"/>
    <cellStyle name="Normal 2 2 3 2 4 5 4" xfId="14244"/>
    <cellStyle name="Normal 2 2 3 2 4 5 4 2" xfId="21211"/>
    <cellStyle name="Normal 2 2 3 2 4 5 4 3" xfId="28178"/>
    <cellStyle name="Normal 2 2 3 2 4 5 4 4" xfId="35147"/>
    <cellStyle name="Normal 2 2 3 2 4 5 5" xfId="11922"/>
    <cellStyle name="Normal 2 2 3 2 4 5 6" xfId="18889"/>
    <cellStyle name="Normal 2 2 3 2 4 5 7" xfId="25856"/>
    <cellStyle name="Normal 2 2 3 2 4 5 8" xfId="32824"/>
    <cellStyle name="Normal 2 2 3 2 4 6" xfId="5161"/>
    <cellStyle name="Normal 2 2 3 2 4 6 2" xfId="10014"/>
    <cellStyle name="Normal 2 2 3 2 4 6 2 2" xfId="17012"/>
    <cellStyle name="Normal 2 2 3 2 4 6 2 3" xfId="23979"/>
    <cellStyle name="Normal 2 2 3 2 4 6 2 4" xfId="30946"/>
    <cellStyle name="Normal 2 2 3 2 4 6 2 5" xfId="37915"/>
    <cellStyle name="Normal 2 2 3 2 4 6 3" xfId="14692"/>
    <cellStyle name="Normal 2 2 3 2 4 6 3 2" xfId="21659"/>
    <cellStyle name="Normal 2 2 3 2 4 6 3 3" xfId="28626"/>
    <cellStyle name="Normal 2 2 3 2 4 6 3 4" xfId="35595"/>
    <cellStyle name="Normal 2 2 3 2 4 6 4" xfId="12370"/>
    <cellStyle name="Normal 2 2 3 2 4 6 5" xfId="19337"/>
    <cellStyle name="Normal 2 2 3 2 4 6 6" xfId="26304"/>
    <cellStyle name="Normal 2 2 3 2 4 6 7" xfId="33272"/>
    <cellStyle name="Normal 2 2 3 2 4 7" xfId="6816"/>
    <cellStyle name="Normal 2 2 3 2 4 7 2" xfId="10786"/>
    <cellStyle name="Normal 2 2 3 2 4 7 2 2" xfId="17760"/>
    <cellStyle name="Normal 2 2 3 2 4 7 2 3" xfId="24727"/>
    <cellStyle name="Normal 2 2 3 2 4 7 2 4" xfId="31694"/>
    <cellStyle name="Normal 2 2 3 2 4 7 2 5" xfId="38663"/>
    <cellStyle name="Normal 2 2 3 2 4 7 3" xfId="15440"/>
    <cellStyle name="Normal 2 2 3 2 4 7 3 2" xfId="22407"/>
    <cellStyle name="Normal 2 2 3 2 4 7 3 3" xfId="29374"/>
    <cellStyle name="Normal 2 2 3 2 4 7 3 4" xfId="36343"/>
    <cellStyle name="Normal 2 2 3 2 4 7 4" xfId="13118"/>
    <cellStyle name="Normal 2 2 3 2 4 7 5" xfId="20085"/>
    <cellStyle name="Normal 2 2 3 2 4 7 6" xfId="27052"/>
    <cellStyle name="Normal 2 2 3 2 4 7 7" xfId="34021"/>
    <cellStyle name="Normal 2 2 3 2 4 8" xfId="7129"/>
    <cellStyle name="Normal 2 2 3 2 4 8 2" xfId="15613"/>
    <cellStyle name="Normal 2 2 3 2 4 8 2 2" xfId="22580"/>
    <cellStyle name="Normal 2 2 3 2 4 8 2 3" xfId="29547"/>
    <cellStyle name="Normal 2 2 3 2 4 8 2 4" xfId="36516"/>
    <cellStyle name="Normal 2 2 3 2 4 8 3" xfId="13291"/>
    <cellStyle name="Normal 2 2 3 2 4 8 4" xfId="20258"/>
    <cellStyle name="Normal 2 2 3 2 4 8 5" xfId="27225"/>
    <cellStyle name="Normal 2 2 3 2 4 8 6" xfId="34194"/>
    <cellStyle name="Normal 2 2 3 2 4 9" xfId="8006"/>
    <cellStyle name="Normal 2 2 3 2 4 9 2" xfId="15785"/>
    <cellStyle name="Normal 2 2 3 2 4 9 2 2" xfId="22752"/>
    <cellStyle name="Normal 2 2 3 2 4 9 2 3" xfId="29719"/>
    <cellStyle name="Normal 2 2 3 2 4 9 2 4" xfId="36688"/>
    <cellStyle name="Normal 2 2 3 2 4 9 3" xfId="11141"/>
    <cellStyle name="Normal 2 2 3 2 4 9 4" xfId="18108"/>
    <cellStyle name="Normal 2 2 3 2 4 9 5" xfId="25075"/>
    <cellStyle name="Normal 2 2 3 2 4 9 6" xfId="32043"/>
    <cellStyle name="Normal 2 2 3 2 5" xfId="3264"/>
    <cellStyle name="Normal 2 2 3 2 5 2" xfId="3835"/>
    <cellStyle name="Normal 2 2 3 2 5 2 2" xfId="5167"/>
    <cellStyle name="Normal 2 2 3 2 5 2 2 2" xfId="10020"/>
    <cellStyle name="Normal 2 2 3 2 5 2 2 2 2" xfId="17018"/>
    <cellStyle name="Normal 2 2 3 2 5 2 2 2 3" xfId="23985"/>
    <cellStyle name="Normal 2 2 3 2 5 2 2 2 4" xfId="30952"/>
    <cellStyle name="Normal 2 2 3 2 5 2 2 2 5" xfId="37921"/>
    <cellStyle name="Normal 2 2 3 2 5 2 2 3" xfId="14698"/>
    <cellStyle name="Normal 2 2 3 2 5 2 2 3 2" xfId="21665"/>
    <cellStyle name="Normal 2 2 3 2 5 2 2 3 3" xfId="28632"/>
    <cellStyle name="Normal 2 2 3 2 5 2 2 3 4" xfId="35601"/>
    <cellStyle name="Normal 2 2 3 2 5 2 2 4" xfId="12376"/>
    <cellStyle name="Normal 2 2 3 2 5 2 2 5" xfId="19343"/>
    <cellStyle name="Normal 2 2 3 2 5 2 2 6" xfId="26310"/>
    <cellStyle name="Normal 2 2 3 2 5 2 2 7" xfId="33278"/>
    <cellStyle name="Normal 2 2 3 2 5 2 3" xfId="9441"/>
    <cellStyle name="Normal 2 2 3 2 5 2 3 2" xfId="16479"/>
    <cellStyle name="Normal 2 2 3 2 5 2 3 3" xfId="23446"/>
    <cellStyle name="Normal 2 2 3 2 5 2 3 4" xfId="30413"/>
    <cellStyle name="Normal 2 2 3 2 5 2 3 5" xfId="37382"/>
    <cellStyle name="Normal 2 2 3 2 5 2 4" xfId="14159"/>
    <cellStyle name="Normal 2 2 3 2 5 2 4 2" xfId="21126"/>
    <cellStyle name="Normal 2 2 3 2 5 2 4 3" xfId="28093"/>
    <cellStyle name="Normal 2 2 3 2 5 2 4 4" xfId="35062"/>
    <cellStyle name="Normal 2 2 3 2 5 2 5" xfId="11837"/>
    <cellStyle name="Normal 2 2 3 2 5 2 6" xfId="18804"/>
    <cellStyle name="Normal 2 2 3 2 5 2 7" xfId="25771"/>
    <cellStyle name="Normal 2 2 3 2 5 2 8" xfId="32739"/>
    <cellStyle name="Normal 2 2 3 2 5 3" xfId="5166"/>
    <cellStyle name="Normal 2 2 3 2 5 3 2" xfId="10019"/>
    <cellStyle name="Normal 2 2 3 2 5 3 2 2" xfId="17017"/>
    <cellStyle name="Normal 2 2 3 2 5 3 2 3" xfId="23984"/>
    <cellStyle name="Normal 2 2 3 2 5 3 2 4" xfId="30951"/>
    <cellStyle name="Normal 2 2 3 2 5 3 2 5" xfId="37920"/>
    <cellStyle name="Normal 2 2 3 2 5 3 3" xfId="14697"/>
    <cellStyle name="Normal 2 2 3 2 5 3 3 2" xfId="21664"/>
    <cellStyle name="Normal 2 2 3 2 5 3 3 3" xfId="28631"/>
    <cellStyle name="Normal 2 2 3 2 5 3 3 4" xfId="35600"/>
    <cellStyle name="Normal 2 2 3 2 5 3 4" xfId="12375"/>
    <cellStyle name="Normal 2 2 3 2 5 3 5" xfId="19342"/>
    <cellStyle name="Normal 2 2 3 2 5 3 6" xfId="26309"/>
    <cellStyle name="Normal 2 2 3 2 5 3 7" xfId="33277"/>
    <cellStyle name="Normal 2 2 3 2 5 4" xfId="8898"/>
    <cellStyle name="Normal 2 2 3 2 5 4 2" xfId="15950"/>
    <cellStyle name="Normal 2 2 3 2 5 4 3" xfId="22917"/>
    <cellStyle name="Normal 2 2 3 2 5 4 4" xfId="29884"/>
    <cellStyle name="Normal 2 2 3 2 5 4 5" xfId="36853"/>
    <cellStyle name="Normal 2 2 3 2 5 5" xfId="13628"/>
    <cellStyle name="Normal 2 2 3 2 5 5 2" xfId="20595"/>
    <cellStyle name="Normal 2 2 3 2 5 5 3" xfId="27562"/>
    <cellStyle name="Normal 2 2 3 2 5 5 4" xfId="34531"/>
    <cellStyle name="Normal 2 2 3 2 5 6" xfId="11306"/>
    <cellStyle name="Normal 2 2 3 2 5 7" xfId="18273"/>
    <cellStyle name="Normal 2 2 3 2 5 8" xfId="25240"/>
    <cellStyle name="Normal 2 2 3 2 5 9" xfId="32208"/>
    <cellStyle name="Normal 2 2 3 2 6" xfId="3466"/>
    <cellStyle name="Normal 2 2 3 2 6 2" xfId="5168"/>
    <cellStyle name="Normal 2 2 3 2 6 2 2" xfId="10021"/>
    <cellStyle name="Normal 2 2 3 2 6 2 2 2" xfId="17019"/>
    <cellStyle name="Normal 2 2 3 2 6 2 2 3" xfId="23986"/>
    <cellStyle name="Normal 2 2 3 2 6 2 2 4" xfId="30953"/>
    <cellStyle name="Normal 2 2 3 2 6 2 2 5" xfId="37922"/>
    <cellStyle name="Normal 2 2 3 2 6 2 3" xfId="14699"/>
    <cellStyle name="Normal 2 2 3 2 6 2 3 2" xfId="21666"/>
    <cellStyle name="Normal 2 2 3 2 6 2 3 3" xfId="28633"/>
    <cellStyle name="Normal 2 2 3 2 6 2 3 4" xfId="35602"/>
    <cellStyle name="Normal 2 2 3 2 6 2 4" xfId="12377"/>
    <cellStyle name="Normal 2 2 3 2 6 2 5" xfId="19344"/>
    <cellStyle name="Normal 2 2 3 2 6 2 6" xfId="26311"/>
    <cellStyle name="Normal 2 2 3 2 6 2 7" xfId="33279"/>
    <cellStyle name="Normal 2 2 3 2 6 3" xfId="9078"/>
    <cellStyle name="Normal 2 2 3 2 6 3 2" xfId="16117"/>
    <cellStyle name="Normal 2 2 3 2 6 3 3" xfId="23084"/>
    <cellStyle name="Normal 2 2 3 2 6 3 4" xfId="30051"/>
    <cellStyle name="Normal 2 2 3 2 6 3 5" xfId="37020"/>
    <cellStyle name="Normal 2 2 3 2 6 4" xfId="13797"/>
    <cellStyle name="Normal 2 2 3 2 6 4 2" xfId="20764"/>
    <cellStyle name="Normal 2 2 3 2 6 4 3" xfId="27731"/>
    <cellStyle name="Normal 2 2 3 2 6 4 4" xfId="34700"/>
    <cellStyle name="Normal 2 2 3 2 6 5" xfId="11475"/>
    <cellStyle name="Normal 2 2 3 2 6 6" xfId="18442"/>
    <cellStyle name="Normal 2 2 3 2 6 7" xfId="25409"/>
    <cellStyle name="Normal 2 2 3 2 6 8" xfId="32377"/>
    <cellStyle name="Normal 2 2 3 2 7" xfId="3641"/>
    <cellStyle name="Normal 2 2 3 2 7 2" xfId="5169"/>
    <cellStyle name="Normal 2 2 3 2 7 2 2" xfId="10022"/>
    <cellStyle name="Normal 2 2 3 2 7 2 2 2" xfId="17020"/>
    <cellStyle name="Normal 2 2 3 2 7 2 2 3" xfId="23987"/>
    <cellStyle name="Normal 2 2 3 2 7 2 2 4" xfId="30954"/>
    <cellStyle name="Normal 2 2 3 2 7 2 2 5" xfId="37923"/>
    <cellStyle name="Normal 2 2 3 2 7 2 3" xfId="14700"/>
    <cellStyle name="Normal 2 2 3 2 7 2 3 2" xfId="21667"/>
    <cellStyle name="Normal 2 2 3 2 7 2 3 3" xfId="28634"/>
    <cellStyle name="Normal 2 2 3 2 7 2 3 4" xfId="35603"/>
    <cellStyle name="Normal 2 2 3 2 7 2 4" xfId="12378"/>
    <cellStyle name="Normal 2 2 3 2 7 2 5" xfId="19345"/>
    <cellStyle name="Normal 2 2 3 2 7 2 6" xfId="26312"/>
    <cellStyle name="Normal 2 2 3 2 7 2 7" xfId="33280"/>
    <cellStyle name="Normal 2 2 3 2 7 3" xfId="9249"/>
    <cellStyle name="Normal 2 2 3 2 7 3 2" xfId="16288"/>
    <cellStyle name="Normal 2 2 3 2 7 3 3" xfId="23255"/>
    <cellStyle name="Normal 2 2 3 2 7 3 4" xfId="30222"/>
    <cellStyle name="Normal 2 2 3 2 7 3 5" xfId="37191"/>
    <cellStyle name="Normal 2 2 3 2 7 4" xfId="13968"/>
    <cellStyle name="Normal 2 2 3 2 7 4 2" xfId="20935"/>
    <cellStyle name="Normal 2 2 3 2 7 4 3" xfId="27902"/>
    <cellStyle name="Normal 2 2 3 2 7 4 4" xfId="34871"/>
    <cellStyle name="Normal 2 2 3 2 7 5" xfId="11646"/>
    <cellStyle name="Normal 2 2 3 2 7 6" xfId="18613"/>
    <cellStyle name="Normal 2 2 3 2 7 7" xfId="25580"/>
    <cellStyle name="Normal 2 2 3 2 7 8" xfId="32548"/>
    <cellStyle name="Normal 2 2 3 2 8" xfId="3918"/>
    <cellStyle name="Normal 2 2 3 2 8 2" xfId="5170"/>
    <cellStyle name="Normal 2 2 3 2 8 2 2" xfId="10023"/>
    <cellStyle name="Normal 2 2 3 2 8 2 2 2" xfId="17021"/>
    <cellStyle name="Normal 2 2 3 2 8 2 2 3" xfId="23988"/>
    <cellStyle name="Normal 2 2 3 2 8 2 2 4" xfId="30955"/>
    <cellStyle name="Normal 2 2 3 2 8 2 2 5" xfId="37924"/>
    <cellStyle name="Normal 2 2 3 2 8 2 3" xfId="14701"/>
    <cellStyle name="Normal 2 2 3 2 8 2 3 2" xfId="21668"/>
    <cellStyle name="Normal 2 2 3 2 8 2 3 3" xfId="28635"/>
    <cellStyle name="Normal 2 2 3 2 8 2 3 4" xfId="35604"/>
    <cellStyle name="Normal 2 2 3 2 8 2 4" xfId="12379"/>
    <cellStyle name="Normal 2 2 3 2 8 2 5" xfId="19346"/>
    <cellStyle name="Normal 2 2 3 2 8 2 6" xfId="26313"/>
    <cellStyle name="Normal 2 2 3 2 8 2 7" xfId="33281"/>
    <cellStyle name="Normal 2 2 3 2 8 3" xfId="9524"/>
    <cellStyle name="Normal 2 2 3 2 8 3 2" xfId="16560"/>
    <cellStyle name="Normal 2 2 3 2 8 3 3" xfId="23527"/>
    <cellStyle name="Normal 2 2 3 2 8 3 4" xfId="30494"/>
    <cellStyle name="Normal 2 2 3 2 8 3 5" xfId="37463"/>
    <cellStyle name="Normal 2 2 3 2 8 4" xfId="14240"/>
    <cellStyle name="Normal 2 2 3 2 8 4 2" xfId="21207"/>
    <cellStyle name="Normal 2 2 3 2 8 4 3" xfId="28174"/>
    <cellStyle name="Normal 2 2 3 2 8 4 4" xfId="35143"/>
    <cellStyle name="Normal 2 2 3 2 8 5" xfId="11918"/>
    <cellStyle name="Normal 2 2 3 2 8 6" xfId="18885"/>
    <cellStyle name="Normal 2 2 3 2 8 7" xfId="25852"/>
    <cellStyle name="Normal 2 2 3 2 8 8" xfId="32820"/>
    <cellStyle name="Normal 2 2 3 2 9" xfId="5144"/>
    <cellStyle name="Normal 2 2 3 2 9 2" xfId="9997"/>
    <cellStyle name="Normal 2 2 3 2 9 2 2" xfId="16995"/>
    <cellStyle name="Normal 2 2 3 2 9 2 3" xfId="23962"/>
    <cellStyle name="Normal 2 2 3 2 9 2 4" xfId="30929"/>
    <cellStyle name="Normal 2 2 3 2 9 2 5" xfId="37898"/>
    <cellStyle name="Normal 2 2 3 2 9 3" xfId="14675"/>
    <cellStyle name="Normal 2 2 3 2 9 3 2" xfId="21642"/>
    <cellStyle name="Normal 2 2 3 2 9 3 3" xfId="28609"/>
    <cellStyle name="Normal 2 2 3 2 9 3 4" xfId="35578"/>
    <cellStyle name="Normal 2 2 3 2 9 4" xfId="12353"/>
    <cellStyle name="Normal 2 2 3 2 9 5" xfId="19320"/>
    <cellStyle name="Normal 2 2 3 2 9 6" xfId="26287"/>
    <cellStyle name="Normal 2 2 3 2 9 7" xfId="33255"/>
    <cellStyle name="Normal 2 2 3 3" xfId="1644"/>
    <cellStyle name="Normal 2 2 3 3 2" xfId="1645"/>
    <cellStyle name="Normal 2 2 3 3 2 2" xfId="1646"/>
    <cellStyle name="Normal 2 2 3 3 2 2 2" xfId="5173"/>
    <cellStyle name="Normal 2 2 3 3 2 2 3" xfId="8009"/>
    <cellStyle name="Normal 2 2 3 3 2 3" xfId="1647"/>
    <cellStyle name="Normal 2 2 3 3 2 3 10" xfId="13464"/>
    <cellStyle name="Normal 2 2 3 3 2 3 10 2" xfId="20431"/>
    <cellStyle name="Normal 2 2 3 3 2 3 10 3" xfId="27398"/>
    <cellStyle name="Normal 2 2 3 3 2 3 10 4" xfId="34367"/>
    <cellStyle name="Normal 2 2 3 3 2 3 11" xfId="10970"/>
    <cellStyle name="Normal 2 2 3 3 2 3 12" xfId="17936"/>
    <cellStyle name="Normal 2 2 3 3 2 3 13" xfId="24904"/>
    <cellStyle name="Normal 2 2 3 3 2 3 14" xfId="31872"/>
    <cellStyle name="Normal 2 2 3 3 2 3 2" xfId="3269"/>
    <cellStyle name="Normal 2 2 3 3 2 3 2 2" xfId="5175"/>
    <cellStyle name="Normal 2 2 3 3 2 3 2 2 2" xfId="10025"/>
    <cellStyle name="Normal 2 2 3 3 2 3 2 2 2 2" xfId="17023"/>
    <cellStyle name="Normal 2 2 3 3 2 3 2 2 2 3" xfId="23990"/>
    <cellStyle name="Normal 2 2 3 3 2 3 2 2 2 4" xfId="30957"/>
    <cellStyle name="Normal 2 2 3 3 2 3 2 2 2 5" xfId="37926"/>
    <cellStyle name="Normal 2 2 3 3 2 3 2 2 3" xfId="14703"/>
    <cellStyle name="Normal 2 2 3 3 2 3 2 2 3 2" xfId="21670"/>
    <cellStyle name="Normal 2 2 3 3 2 3 2 2 3 3" xfId="28637"/>
    <cellStyle name="Normal 2 2 3 3 2 3 2 2 3 4" xfId="35606"/>
    <cellStyle name="Normal 2 2 3 3 2 3 2 2 4" xfId="12381"/>
    <cellStyle name="Normal 2 2 3 3 2 3 2 2 5" xfId="19348"/>
    <cellStyle name="Normal 2 2 3 3 2 3 2 2 6" xfId="26315"/>
    <cellStyle name="Normal 2 2 3 3 2 3 2 2 7" xfId="33283"/>
    <cellStyle name="Normal 2 2 3 3 2 3 2 3" xfId="8903"/>
    <cellStyle name="Normal 2 2 3 3 2 3 2 3 2" xfId="15955"/>
    <cellStyle name="Normal 2 2 3 3 2 3 2 3 3" xfId="22922"/>
    <cellStyle name="Normal 2 2 3 3 2 3 2 3 4" xfId="29889"/>
    <cellStyle name="Normal 2 2 3 3 2 3 2 3 5" xfId="36858"/>
    <cellStyle name="Normal 2 2 3 3 2 3 2 4" xfId="13633"/>
    <cellStyle name="Normal 2 2 3 3 2 3 2 4 2" xfId="20600"/>
    <cellStyle name="Normal 2 2 3 3 2 3 2 4 3" xfId="27567"/>
    <cellStyle name="Normal 2 2 3 3 2 3 2 4 4" xfId="34536"/>
    <cellStyle name="Normal 2 2 3 3 2 3 2 5" xfId="11311"/>
    <cellStyle name="Normal 2 2 3 3 2 3 2 6" xfId="18278"/>
    <cellStyle name="Normal 2 2 3 3 2 3 2 7" xfId="25245"/>
    <cellStyle name="Normal 2 2 3 3 2 3 2 8" xfId="32213"/>
    <cellStyle name="Normal 2 2 3 3 2 3 3" xfId="3471"/>
    <cellStyle name="Normal 2 2 3 3 2 3 3 2" xfId="5176"/>
    <cellStyle name="Normal 2 2 3 3 2 3 3 2 2" xfId="10026"/>
    <cellStyle name="Normal 2 2 3 3 2 3 3 2 2 2" xfId="17024"/>
    <cellStyle name="Normal 2 2 3 3 2 3 3 2 2 3" xfId="23991"/>
    <cellStyle name="Normal 2 2 3 3 2 3 3 2 2 4" xfId="30958"/>
    <cellStyle name="Normal 2 2 3 3 2 3 3 2 2 5" xfId="37927"/>
    <cellStyle name="Normal 2 2 3 3 2 3 3 2 3" xfId="14704"/>
    <cellStyle name="Normal 2 2 3 3 2 3 3 2 3 2" xfId="21671"/>
    <cellStyle name="Normal 2 2 3 3 2 3 3 2 3 3" xfId="28638"/>
    <cellStyle name="Normal 2 2 3 3 2 3 3 2 3 4" xfId="35607"/>
    <cellStyle name="Normal 2 2 3 3 2 3 3 2 4" xfId="12382"/>
    <cellStyle name="Normal 2 2 3 3 2 3 3 2 5" xfId="19349"/>
    <cellStyle name="Normal 2 2 3 3 2 3 3 2 6" xfId="26316"/>
    <cellStyle name="Normal 2 2 3 3 2 3 3 2 7" xfId="33284"/>
    <cellStyle name="Normal 2 2 3 3 2 3 3 3" xfId="9083"/>
    <cellStyle name="Normal 2 2 3 3 2 3 3 3 2" xfId="16122"/>
    <cellStyle name="Normal 2 2 3 3 2 3 3 3 3" xfId="23089"/>
    <cellStyle name="Normal 2 2 3 3 2 3 3 3 4" xfId="30056"/>
    <cellStyle name="Normal 2 2 3 3 2 3 3 3 5" xfId="37025"/>
    <cellStyle name="Normal 2 2 3 3 2 3 3 4" xfId="13802"/>
    <cellStyle name="Normal 2 2 3 3 2 3 3 4 2" xfId="20769"/>
    <cellStyle name="Normal 2 2 3 3 2 3 3 4 3" xfId="27736"/>
    <cellStyle name="Normal 2 2 3 3 2 3 3 4 4" xfId="34705"/>
    <cellStyle name="Normal 2 2 3 3 2 3 3 5" xfId="11480"/>
    <cellStyle name="Normal 2 2 3 3 2 3 3 6" xfId="18447"/>
    <cellStyle name="Normal 2 2 3 3 2 3 3 7" xfId="25414"/>
    <cellStyle name="Normal 2 2 3 3 2 3 3 8" xfId="32382"/>
    <cellStyle name="Normal 2 2 3 3 2 3 4" xfId="3646"/>
    <cellStyle name="Normal 2 2 3 3 2 3 4 2" xfId="5177"/>
    <cellStyle name="Normal 2 2 3 3 2 3 4 2 2" xfId="10027"/>
    <cellStyle name="Normal 2 2 3 3 2 3 4 2 2 2" xfId="17025"/>
    <cellStyle name="Normal 2 2 3 3 2 3 4 2 2 3" xfId="23992"/>
    <cellStyle name="Normal 2 2 3 3 2 3 4 2 2 4" xfId="30959"/>
    <cellStyle name="Normal 2 2 3 3 2 3 4 2 2 5" xfId="37928"/>
    <cellStyle name="Normal 2 2 3 3 2 3 4 2 3" xfId="14705"/>
    <cellStyle name="Normal 2 2 3 3 2 3 4 2 3 2" xfId="21672"/>
    <cellStyle name="Normal 2 2 3 3 2 3 4 2 3 3" xfId="28639"/>
    <cellStyle name="Normal 2 2 3 3 2 3 4 2 3 4" xfId="35608"/>
    <cellStyle name="Normal 2 2 3 3 2 3 4 2 4" xfId="12383"/>
    <cellStyle name="Normal 2 2 3 3 2 3 4 2 5" xfId="19350"/>
    <cellStyle name="Normal 2 2 3 3 2 3 4 2 6" xfId="26317"/>
    <cellStyle name="Normal 2 2 3 3 2 3 4 2 7" xfId="33285"/>
    <cellStyle name="Normal 2 2 3 3 2 3 4 3" xfId="9254"/>
    <cellStyle name="Normal 2 2 3 3 2 3 4 3 2" xfId="16293"/>
    <cellStyle name="Normal 2 2 3 3 2 3 4 3 3" xfId="23260"/>
    <cellStyle name="Normal 2 2 3 3 2 3 4 3 4" xfId="30227"/>
    <cellStyle name="Normal 2 2 3 3 2 3 4 3 5" xfId="37196"/>
    <cellStyle name="Normal 2 2 3 3 2 3 4 4" xfId="13973"/>
    <cellStyle name="Normal 2 2 3 3 2 3 4 4 2" xfId="20940"/>
    <cellStyle name="Normal 2 2 3 3 2 3 4 4 3" xfId="27907"/>
    <cellStyle name="Normal 2 2 3 3 2 3 4 4 4" xfId="34876"/>
    <cellStyle name="Normal 2 2 3 3 2 3 4 5" xfId="11651"/>
    <cellStyle name="Normal 2 2 3 3 2 3 4 6" xfId="18618"/>
    <cellStyle name="Normal 2 2 3 3 2 3 4 7" xfId="25585"/>
    <cellStyle name="Normal 2 2 3 3 2 3 4 8" xfId="32553"/>
    <cellStyle name="Normal 2 2 3 3 2 3 5" xfId="3923"/>
    <cellStyle name="Normal 2 2 3 3 2 3 5 2" xfId="5178"/>
    <cellStyle name="Normal 2 2 3 3 2 3 5 2 2" xfId="10028"/>
    <cellStyle name="Normal 2 2 3 3 2 3 5 2 2 2" xfId="17026"/>
    <cellStyle name="Normal 2 2 3 3 2 3 5 2 2 3" xfId="23993"/>
    <cellStyle name="Normal 2 2 3 3 2 3 5 2 2 4" xfId="30960"/>
    <cellStyle name="Normal 2 2 3 3 2 3 5 2 2 5" xfId="37929"/>
    <cellStyle name="Normal 2 2 3 3 2 3 5 2 3" xfId="14706"/>
    <cellStyle name="Normal 2 2 3 3 2 3 5 2 3 2" xfId="21673"/>
    <cellStyle name="Normal 2 2 3 3 2 3 5 2 3 3" xfId="28640"/>
    <cellStyle name="Normal 2 2 3 3 2 3 5 2 3 4" xfId="35609"/>
    <cellStyle name="Normal 2 2 3 3 2 3 5 2 4" xfId="12384"/>
    <cellStyle name="Normal 2 2 3 3 2 3 5 2 5" xfId="19351"/>
    <cellStyle name="Normal 2 2 3 3 2 3 5 2 6" xfId="26318"/>
    <cellStyle name="Normal 2 2 3 3 2 3 5 2 7" xfId="33286"/>
    <cellStyle name="Normal 2 2 3 3 2 3 5 3" xfId="9529"/>
    <cellStyle name="Normal 2 2 3 3 2 3 5 3 2" xfId="16565"/>
    <cellStyle name="Normal 2 2 3 3 2 3 5 3 3" xfId="23532"/>
    <cellStyle name="Normal 2 2 3 3 2 3 5 3 4" xfId="30499"/>
    <cellStyle name="Normal 2 2 3 3 2 3 5 3 5" xfId="37468"/>
    <cellStyle name="Normal 2 2 3 3 2 3 5 4" xfId="14245"/>
    <cellStyle name="Normal 2 2 3 3 2 3 5 4 2" xfId="21212"/>
    <cellStyle name="Normal 2 2 3 3 2 3 5 4 3" xfId="28179"/>
    <cellStyle name="Normal 2 2 3 3 2 3 5 4 4" xfId="35148"/>
    <cellStyle name="Normal 2 2 3 3 2 3 5 5" xfId="11923"/>
    <cellStyle name="Normal 2 2 3 3 2 3 5 6" xfId="18890"/>
    <cellStyle name="Normal 2 2 3 3 2 3 5 7" xfId="25857"/>
    <cellStyle name="Normal 2 2 3 3 2 3 5 8" xfId="32825"/>
    <cellStyle name="Normal 2 2 3 3 2 3 6" xfId="5174"/>
    <cellStyle name="Normal 2 2 3 3 2 3 6 2" xfId="10024"/>
    <cellStyle name="Normal 2 2 3 3 2 3 6 2 2" xfId="17022"/>
    <cellStyle name="Normal 2 2 3 3 2 3 6 2 3" xfId="23989"/>
    <cellStyle name="Normal 2 2 3 3 2 3 6 2 4" xfId="30956"/>
    <cellStyle name="Normal 2 2 3 3 2 3 6 2 5" xfId="37925"/>
    <cellStyle name="Normal 2 2 3 3 2 3 6 3" xfId="14702"/>
    <cellStyle name="Normal 2 2 3 3 2 3 6 3 2" xfId="21669"/>
    <cellStyle name="Normal 2 2 3 3 2 3 6 3 3" xfId="28636"/>
    <cellStyle name="Normal 2 2 3 3 2 3 6 3 4" xfId="35605"/>
    <cellStyle name="Normal 2 2 3 3 2 3 6 4" xfId="12380"/>
    <cellStyle name="Normal 2 2 3 3 2 3 6 5" xfId="19347"/>
    <cellStyle name="Normal 2 2 3 3 2 3 6 6" xfId="26314"/>
    <cellStyle name="Normal 2 2 3 3 2 3 6 7" xfId="33282"/>
    <cellStyle name="Normal 2 2 3 3 2 3 7" xfId="6817"/>
    <cellStyle name="Normal 2 2 3 3 2 3 7 2" xfId="10787"/>
    <cellStyle name="Normal 2 2 3 3 2 3 7 2 2" xfId="17761"/>
    <cellStyle name="Normal 2 2 3 3 2 3 7 2 3" xfId="24728"/>
    <cellStyle name="Normal 2 2 3 3 2 3 7 2 4" xfId="31695"/>
    <cellStyle name="Normal 2 2 3 3 2 3 7 2 5" xfId="38664"/>
    <cellStyle name="Normal 2 2 3 3 2 3 7 3" xfId="15441"/>
    <cellStyle name="Normal 2 2 3 3 2 3 7 3 2" xfId="22408"/>
    <cellStyle name="Normal 2 2 3 3 2 3 7 3 3" xfId="29375"/>
    <cellStyle name="Normal 2 2 3 3 2 3 7 3 4" xfId="36344"/>
    <cellStyle name="Normal 2 2 3 3 2 3 7 4" xfId="13119"/>
    <cellStyle name="Normal 2 2 3 3 2 3 7 5" xfId="20086"/>
    <cellStyle name="Normal 2 2 3 3 2 3 7 6" xfId="27053"/>
    <cellStyle name="Normal 2 2 3 3 2 3 7 7" xfId="34022"/>
    <cellStyle name="Normal 2 2 3 3 2 3 8" xfId="7130"/>
    <cellStyle name="Normal 2 2 3 3 2 3 8 2" xfId="15614"/>
    <cellStyle name="Normal 2 2 3 3 2 3 8 2 2" xfId="22581"/>
    <cellStyle name="Normal 2 2 3 3 2 3 8 2 3" xfId="29548"/>
    <cellStyle name="Normal 2 2 3 3 2 3 8 2 4" xfId="36517"/>
    <cellStyle name="Normal 2 2 3 3 2 3 8 3" xfId="13292"/>
    <cellStyle name="Normal 2 2 3 3 2 3 8 4" xfId="20259"/>
    <cellStyle name="Normal 2 2 3 3 2 3 8 5" xfId="27226"/>
    <cellStyle name="Normal 2 2 3 3 2 3 8 6" xfId="34195"/>
    <cellStyle name="Normal 2 2 3 3 2 3 9" xfId="8010"/>
    <cellStyle name="Normal 2 2 3 3 2 3 9 2" xfId="15786"/>
    <cellStyle name="Normal 2 2 3 3 2 3 9 2 2" xfId="22753"/>
    <cellStyle name="Normal 2 2 3 3 2 3 9 2 3" xfId="29720"/>
    <cellStyle name="Normal 2 2 3 3 2 3 9 2 4" xfId="36689"/>
    <cellStyle name="Normal 2 2 3 3 2 3 9 3" xfId="11142"/>
    <cellStyle name="Normal 2 2 3 3 2 3 9 4" xfId="18109"/>
    <cellStyle name="Normal 2 2 3 3 2 3 9 5" xfId="25076"/>
    <cellStyle name="Normal 2 2 3 3 2 3 9 6" xfId="32044"/>
    <cellStyle name="Normal 2 2 3 3 2 4" xfId="5172"/>
    <cellStyle name="Normal 2 2 3 3 2 5" xfId="8008"/>
    <cellStyle name="Normal 2 2 3 3 3" xfId="1648"/>
    <cellStyle name="Normal 2 2 3 3 3 10" xfId="13465"/>
    <cellStyle name="Normal 2 2 3 3 3 10 2" xfId="20432"/>
    <cellStyle name="Normal 2 2 3 3 3 10 3" xfId="27399"/>
    <cellStyle name="Normal 2 2 3 3 3 10 4" xfId="34368"/>
    <cellStyle name="Normal 2 2 3 3 3 11" xfId="10971"/>
    <cellStyle name="Normal 2 2 3 3 3 12" xfId="17937"/>
    <cellStyle name="Normal 2 2 3 3 3 13" xfId="24905"/>
    <cellStyle name="Normal 2 2 3 3 3 14" xfId="31873"/>
    <cellStyle name="Normal 2 2 3 3 3 2" xfId="3270"/>
    <cellStyle name="Normal 2 2 3 3 3 2 2" xfId="5180"/>
    <cellStyle name="Normal 2 2 3 3 3 2 2 2" xfId="10030"/>
    <cellStyle name="Normal 2 2 3 3 3 2 2 2 2" xfId="17028"/>
    <cellStyle name="Normal 2 2 3 3 3 2 2 2 3" xfId="23995"/>
    <cellStyle name="Normal 2 2 3 3 3 2 2 2 4" xfId="30962"/>
    <cellStyle name="Normal 2 2 3 3 3 2 2 2 5" xfId="37931"/>
    <cellStyle name="Normal 2 2 3 3 3 2 2 3" xfId="14708"/>
    <cellStyle name="Normal 2 2 3 3 3 2 2 3 2" xfId="21675"/>
    <cellStyle name="Normal 2 2 3 3 3 2 2 3 3" xfId="28642"/>
    <cellStyle name="Normal 2 2 3 3 3 2 2 3 4" xfId="35611"/>
    <cellStyle name="Normal 2 2 3 3 3 2 2 4" xfId="12386"/>
    <cellStyle name="Normal 2 2 3 3 3 2 2 5" xfId="19353"/>
    <cellStyle name="Normal 2 2 3 3 3 2 2 6" xfId="26320"/>
    <cellStyle name="Normal 2 2 3 3 3 2 2 7" xfId="33288"/>
    <cellStyle name="Normal 2 2 3 3 3 2 3" xfId="8904"/>
    <cellStyle name="Normal 2 2 3 3 3 2 3 2" xfId="15956"/>
    <cellStyle name="Normal 2 2 3 3 3 2 3 3" xfId="22923"/>
    <cellStyle name="Normal 2 2 3 3 3 2 3 4" xfId="29890"/>
    <cellStyle name="Normal 2 2 3 3 3 2 3 5" xfId="36859"/>
    <cellStyle name="Normal 2 2 3 3 3 2 4" xfId="13634"/>
    <cellStyle name="Normal 2 2 3 3 3 2 4 2" xfId="20601"/>
    <cellStyle name="Normal 2 2 3 3 3 2 4 3" xfId="27568"/>
    <cellStyle name="Normal 2 2 3 3 3 2 4 4" xfId="34537"/>
    <cellStyle name="Normal 2 2 3 3 3 2 5" xfId="11312"/>
    <cellStyle name="Normal 2 2 3 3 3 2 6" xfId="18279"/>
    <cellStyle name="Normal 2 2 3 3 3 2 7" xfId="25246"/>
    <cellStyle name="Normal 2 2 3 3 3 2 8" xfId="32214"/>
    <cellStyle name="Normal 2 2 3 3 3 3" xfId="3472"/>
    <cellStyle name="Normal 2 2 3 3 3 3 2" xfId="5181"/>
    <cellStyle name="Normal 2 2 3 3 3 3 2 2" xfId="10031"/>
    <cellStyle name="Normal 2 2 3 3 3 3 2 2 2" xfId="17029"/>
    <cellStyle name="Normal 2 2 3 3 3 3 2 2 3" xfId="23996"/>
    <cellStyle name="Normal 2 2 3 3 3 3 2 2 4" xfId="30963"/>
    <cellStyle name="Normal 2 2 3 3 3 3 2 2 5" xfId="37932"/>
    <cellStyle name="Normal 2 2 3 3 3 3 2 3" xfId="14709"/>
    <cellStyle name="Normal 2 2 3 3 3 3 2 3 2" xfId="21676"/>
    <cellStyle name="Normal 2 2 3 3 3 3 2 3 3" xfId="28643"/>
    <cellStyle name="Normal 2 2 3 3 3 3 2 3 4" xfId="35612"/>
    <cellStyle name="Normal 2 2 3 3 3 3 2 4" xfId="12387"/>
    <cellStyle name="Normal 2 2 3 3 3 3 2 5" xfId="19354"/>
    <cellStyle name="Normal 2 2 3 3 3 3 2 6" xfId="26321"/>
    <cellStyle name="Normal 2 2 3 3 3 3 2 7" xfId="33289"/>
    <cellStyle name="Normal 2 2 3 3 3 3 3" xfId="9084"/>
    <cellStyle name="Normal 2 2 3 3 3 3 3 2" xfId="16123"/>
    <cellStyle name="Normal 2 2 3 3 3 3 3 3" xfId="23090"/>
    <cellStyle name="Normal 2 2 3 3 3 3 3 4" xfId="30057"/>
    <cellStyle name="Normal 2 2 3 3 3 3 3 5" xfId="37026"/>
    <cellStyle name="Normal 2 2 3 3 3 3 4" xfId="13803"/>
    <cellStyle name="Normal 2 2 3 3 3 3 4 2" xfId="20770"/>
    <cellStyle name="Normal 2 2 3 3 3 3 4 3" xfId="27737"/>
    <cellStyle name="Normal 2 2 3 3 3 3 4 4" xfId="34706"/>
    <cellStyle name="Normal 2 2 3 3 3 3 5" xfId="11481"/>
    <cellStyle name="Normal 2 2 3 3 3 3 6" xfId="18448"/>
    <cellStyle name="Normal 2 2 3 3 3 3 7" xfId="25415"/>
    <cellStyle name="Normal 2 2 3 3 3 3 8" xfId="32383"/>
    <cellStyle name="Normal 2 2 3 3 3 4" xfId="3647"/>
    <cellStyle name="Normal 2 2 3 3 3 4 2" xfId="5182"/>
    <cellStyle name="Normal 2 2 3 3 3 4 2 2" xfId="10032"/>
    <cellStyle name="Normal 2 2 3 3 3 4 2 2 2" xfId="17030"/>
    <cellStyle name="Normal 2 2 3 3 3 4 2 2 3" xfId="23997"/>
    <cellStyle name="Normal 2 2 3 3 3 4 2 2 4" xfId="30964"/>
    <cellStyle name="Normal 2 2 3 3 3 4 2 2 5" xfId="37933"/>
    <cellStyle name="Normal 2 2 3 3 3 4 2 3" xfId="14710"/>
    <cellStyle name="Normal 2 2 3 3 3 4 2 3 2" xfId="21677"/>
    <cellStyle name="Normal 2 2 3 3 3 4 2 3 3" xfId="28644"/>
    <cellStyle name="Normal 2 2 3 3 3 4 2 3 4" xfId="35613"/>
    <cellStyle name="Normal 2 2 3 3 3 4 2 4" xfId="12388"/>
    <cellStyle name="Normal 2 2 3 3 3 4 2 5" xfId="19355"/>
    <cellStyle name="Normal 2 2 3 3 3 4 2 6" xfId="26322"/>
    <cellStyle name="Normal 2 2 3 3 3 4 2 7" xfId="33290"/>
    <cellStyle name="Normal 2 2 3 3 3 4 3" xfId="9255"/>
    <cellStyle name="Normal 2 2 3 3 3 4 3 2" xfId="16294"/>
    <cellStyle name="Normal 2 2 3 3 3 4 3 3" xfId="23261"/>
    <cellStyle name="Normal 2 2 3 3 3 4 3 4" xfId="30228"/>
    <cellStyle name="Normal 2 2 3 3 3 4 3 5" xfId="37197"/>
    <cellStyle name="Normal 2 2 3 3 3 4 4" xfId="13974"/>
    <cellStyle name="Normal 2 2 3 3 3 4 4 2" xfId="20941"/>
    <cellStyle name="Normal 2 2 3 3 3 4 4 3" xfId="27908"/>
    <cellStyle name="Normal 2 2 3 3 3 4 4 4" xfId="34877"/>
    <cellStyle name="Normal 2 2 3 3 3 4 5" xfId="11652"/>
    <cellStyle name="Normal 2 2 3 3 3 4 6" xfId="18619"/>
    <cellStyle name="Normal 2 2 3 3 3 4 7" xfId="25586"/>
    <cellStyle name="Normal 2 2 3 3 3 4 8" xfId="32554"/>
    <cellStyle name="Normal 2 2 3 3 3 5" xfId="3924"/>
    <cellStyle name="Normal 2 2 3 3 3 5 2" xfId="5183"/>
    <cellStyle name="Normal 2 2 3 3 3 5 2 2" xfId="10033"/>
    <cellStyle name="Normal 2 2 3 3 3 5 2 2 2" xfId="17031"/>
    <cellStyle name="Normal 2 2 3 3 3 5 2 2 3" xfId="23998"/>
    <cellStyle name="Normal 2 2 3 3 3 5 2 2 4" xfId="30965"/>
    <cellStyle name="Normal 2 2 3 3 3 5 2 2 5" xfId="37934"/>
    <cellStyle name="Normal 2 2 3 3 3 5 2 3" xfId="14711"/>
    <cellStyle name="Normal 2 2 3 3 3 5 2 3 2" xfId="21678"/>
    <cellStyle name="Normal 2 2 3 3 3 5 2 3 3" xfId="28645"/>
    <cellStyle name="Normal 2 2 3 3 3 5 2 3 4" xfId="35614"/>
    <cellStyle name="Normal 2 2 3 3 3 5 2 4" xfId="12389"/>
    <cellStyle name="Normal 2 2 3 3 3 5 2 5" xfId="19356"/>
    <cellStyle name="Normal 2 2 3 3 3 5 2 6" xfId="26323"/>
    <cellStyle name="Normal 2 2 3 3 3 5 2 7" xfId="33291"/>
    <cellStyle name="Normal 2 2 3 3 3 5 3" xfId="9530"/>
    <cellStyle name="Normal 2 2 3 3 3 5 3 2" xfId="16566"/>
    <cellStyle name="Normal 2 2 3 3 3 5 3 3" xfId="23533"/>
    <cellStyle name="Normal 2 2 3 3 3 5 3 4" xfId="30500"/>
    <cellStyle name="Normal 2 2 3 3 3 5 3 5" xfId="37469"/>
    <cellStyle name="Normal 2 2 3 3 3 5 4" xfId="14246"/>
    <cellStyle name="Normal 2 2 3 3 3 5 4 2" xfId="21213"/>
    <cellStyle name="Normal 2 2 3 3 3 5 4 3" xfId="28180"/>
    <cellStyle name="Normal 2 2 3 3 3 5 4 4" xfId="35149"/>
    <cellStyle name="Normal 2 2 3 3 3 5 5" xfId="11924"/>
    <cellStyle name="Normal 2 2 3 3 3 5 6" xfId="18891"/>
    <cellStyle name="Normal 2 2 3 3 3 5 7" xfId="25858"/>
    <cellStyle name="Normal 2 2 3 3 3 5 8" xfId="32826"/>
    <cellStyle name="Normal 2 2 3 3 3 6" xfId="5179"/>
    <cellStyle name="Normal 2 2 3 3 3 6 2" xfId="10029"/>
    <cellStyle name="Normal 2 2 3 3 3 6 2 2" xfId="17027"/>
    <cellStyle name="Normal 2 2 3 3 3 6 2 3" xfId="23994"/>
    <cellStyle name="Normal 2 2 3 3 3 6 2 4" xfId="30961"/>
    <cellStyle name="Normal 2 2 3 3 3 6 2 5" xfId="37930"/>
    <cellStyle name="Normal 2 2 3 3 3 6 3" xfId="14707"/>
    <cellStyle name="Normal 2 2 3 3 3 6 3 2" xfId="21674"/>
    <cellStyle name="Normal 2 2 3 3 3 6 3 3" xfId="28641"/>
    <cellStyle name="Normal 2 2 3 3 3 6 3 4" xfId="35610"/>
    <cellStyle name="Normal 2 2 3 3 3 6 4" xfId="12385"/>
    <cellStyle name="Normal 2 2 3 3 3 6 5" xfId="19352"/>
    <cellStyle name="Normal 2 2 3 3 3 6 6" xfId="26319"/>
    <cellStyle name="Normal 2 2 3 3 3 6 7" xfId="33287"/>
    <cellStyle name="Normal 2 2 3 3 3 7" xfId="6818"/>
    <cellStyle name="Normal 2 2 3 3 3 7 2" xfId="10788"/>
    <cellStyle name="Normal 2 2 3 3 3 7 2 2" xfId="17762"/>
    <cellStyle name="Normal 2 2 3 3 3 7 2 3" xfId="24729"/>
    <cellStyle name="Normal 2 2 3 3 3 7 2 4" xfId="31696"/>
    <cellStyle name="Normal 2 2 3 3 3 7 2 5" xfId="38665"/>
    <cellStyle name="Normal 2 2 3 3 3 7 3" xfId="15442"/>
    <cellStyle name="Normal 2 2 3 3 3 7 3 2" xfId="22409"/>
    <cellStyle name="Normal 2 2 3 3 3 7 3 3" xfId="29376"/>
    <cellStyle name="Normal 2 2 3 3 3 7 3 4" xfId="36345"/>
    <cellStyle name="Normal 2 2 3 3 3 7 4" xfId="13120"/>
    <cellStyle name="Normal 2 2 3 3 3 7 5" xfId="20087"/>
    <cellStyle name="Normal 2 2 3 3 3 7 6" xfId="27054"/>
    <cellStyle name="Normal 2 2 3 3 3 7 7" xfId="34023"/>
    <cellStyle name="Normal 2 2 3 3 3 8" xfId="7131"/>
    <cellStyle name="Normal 2 2 3 3 3 8 2" xfId="15615"/>
    <cellStyle name="Normal 2 2 3 3 3 8 2 2" xfId="22582"/>
    <cellStyle name="Normal 2 2 3 3 3 8 2 3" xfId="29549"/>
    <cellStyle name="Normal 2 2 3 3 3 8 2 4" xfId="36518"/>
    <cellStyle name="Normal 2 2 3 3 3 8 3" xfId="13293"/>
    <cellStyle name="Normal 2 2 3 3 3 8 4" xfId="20260"/>
    <cellStyle name="Normal 2 2 3 3 3 8 5" xfId="27227"/>
    <cellStyle name="Normal 2 2 3 3 3 8 6" xfId="34196"/>
    <cellStyle name="Normal 2 2 3 3 3 9" xfId="8011"/>
    <cellStyle name="Normal 2 2 3 3 3 9 2" xfId="15787"/>
    <cellStyle name="Normal 2 2 3 3 3 9 2 2" xfId="22754"/>
    <cellStyle name="Normal 2 2 3 3 3 9 2 3" xfId="29721"/>
    <cellStyle name="Normal 2 2 3 3 3 9 2 4" xfId="36690"/>
    <cellStyle name="Normal 2 2 3 3 3 9 3" xfId="11143"/>
    <cellStyle name="Normal 2 2 3 3 3 9 4" xfId="18110"/>
    <cellStyle name="Normal 2 2 3 3 3 9 5" xfId="25077"/>
    <cellStyle name="Normal 2 2 3 3 3 9 6" xfId="32045"/>
    <cellStyle name="Normal 2 2 3 3 4" xfId="3833"/>
    <cellStyle name="Normal 2 2 3 3 4 2" xfId="5184"/>
    <cellStyle name="Normal 2 2 3 3 4 2 2" xfId="10034"/>
    <cellStyle name="Normal 2 2 3 3 4 2 2 2" xfId="17032"/>
    <cellStyle name="Normal 2 2 3 3 4 2 2 3" xfId="23999"/>
    <cellStyle name="Normal 2 2 3 3 4 2 2 4" xfId="30966"/>
    <cellStyle name="Normal 2 2 3 3 4 2 2 5" xfId="37935"/>
    <cellStyle name="Normal 2 2 3 3 4 2 3" xfId="14712"/>
    <cellStyle name="Normal 2 2 3 3 4 2 3 2" xfId="21679"/>
    <cellStyle name="Normal 2 2 3 3 4 2 3 3" xfId="28646"/>
    <cellStyle name="Normal 2 2 3 3 4 2 3 4" xfId="35615"/>
    <cellStyle name="Normal 2 2 3 3 4 2 4" xfId="12390"/>
    <cellStyle name="Normal 2 2 3 3 4 2 5" xfId="19357"/>
    <cellStyle name="Normal 2 2 3 3 4 2 6" xfId="26324"/>
    <cellStyle name="Normal 2 2 3 3 4 2 7" xfId="33292"/>
    <cellStyle name="Normal 2 2 3 3 4 3" xfId="9439"/>
    <cellStyle name="Normal 2 2 3 3 4 3 2" xfId="16477"/>
    <cellStyle name="Normal 2 2 3 3 4 3 3" xfId="23444"/>
    <cellStyle name="Normal 2 2 3 3 4 3 4" xfId="30411"/>
    <cellStyle name="Normal 2 2 3 3 4 3 5" xfId="37380"/>
    <cellStyle name="Normal 2 2 3 3 4 4" xfId="14157"/>
    <cellStyle name="Normal 2 2 3 3 4 4 2" xfId="21124"/>
    <cellStyle name="Normal 2 2 3 3 4 4 3" xfId="28091"/>
    <cellStyle name="Normal 2 2 3 3 4 4 4" xfId="35060"/>
    <cellStyle name="Normal 2 2 3 3 4 5" xfId="11835"/>
    <cellStyle name="Normal 2 2 3 3 4 6" xfId="18802"/>
    <cellStyle name="Normal 2 2 3 3 4 7" xfId="25769"/>
    <cellStyle name="Normal 2 2 3 3 4 8" xfId="32737"/>
    <cellStyle name="Normal 2 2 3 3 5" xfId="5171"/>
    <cellStyle name="Normal 2 2 3 3 6" xfId="8007"/>
    <cellStyle name="Normal 2 2 3 4" xfId="1649"/>
    <cellStyle name="Normal 2 2 3 4 2" xfId="3831"/>
    <cellStyle name="Normal 2 2 3 4 2 2" xfId="5186"/>
    <cellStyle name="Normal 2 2 3 4 2 2 2" xfId="10035"/>
    <cellStyle name="Normal 2 2 3 4 2 2 2 2" xfId="17033"/>
    <cellStyle name="Normal 2 2 3 4 2 2 2 3" xfId="24000"/>
    <cellStyle name="Normal 2 2 3 4 2 2 2 4" xfId="30967"/>
    <cellStyle name="Normal 2 2 3 4 2 2 2 5" xfId="37936"/>
    <cellStyle name="Normal 2 2 3 4 2 2 3" xfId="14713"/>
    <cellStyle name="Normal 2 2 3 4 2 2 3 2" xfId="21680"/>
    <cellStyle name="Normal 2 2 3 4 2 2 3 3" xfId="28647"/>
    <cellStyle name="Normal 2 2 3 4 2 2 3 4" xfId="35616"/>
    <cellStyle name="Normal 2 2 3 4 2 2 4" xfId="12391"/>
    <cellStyle name="Normal 2 2 3 4 2 2 5" xfId="19358"/>
    <cellStyle name="Normal 2 2 3 4 2 2 6" xfId="26325"/>
    <cellStyle name="Normal 2 2 3 4 2 2 7" xfId="33293"/>
    <cellStyle name="Normal 2 2 3 4 2 3" xfId="9437"/>
    <cellStyle name="Normal 2 2 3 4 2 3 2" xfId="16475"/>
    <cellStyle name="Normal 2 2 3 4 2 3 3" xfId="23442"/>
    <cellStyle name="Normal 2 2 3 4 2 3 4" xfId="30409"/>
    <cellStyle name="Normal 2 2 3 4 2 3 5" xfId="37378"/>
    <cellStyle name="Normal 2 2 3 4 2 4" xfId="14155"/>
    <cellStyle name="Normal 2 2 3 4 2 4 2" xfId="21122"/>
    <cellStyle name="Normal 2 2 3 4 2 4 3" xfId="28089"/>
    <cellStyle name="Normal 2 2 3 4 2 4 4" xfId="35058"/>
    <cellStyle name="Normal 2 2 3 4 2 5" xfId="11833"/>
    <cellStyle name="Normal 2 2 3 4 2 6" xfId="18800"/>
    <cellStyle name="Normal 2 2 3 4 2 7" xfId="25767"/>
    <cellStyle name="Normal 2 2 3 4 2 8" xfId="32735"/>
    <cellStyle name="Normal 2 2 3 4 3" xfId="3832"/>
    <cellStyle name="Normal 2 2 3 4 3 2" xfId="5187"/>
    <cellStyle name="Normal 2 2 3 4 3 2 2" xfId="10036"/>
    <cellStyle name="Normal 2 2 3 4 3 2 2 2" xfId="17034"/>
    <cellStyle name="Normal 2 2 3 4 3 2 2 3" xfId="24001"/>
    <cellStyle name="Normal 2 2 3 4 3 2 2 4" xfId="30968"/>
    <cellStyle name="Normal 2 2 3 4 3 2 2 5" xfId="37937"/>
    <cellStyle name="Normal 2 2 3 4 3 2 3" xfId="14714"/>
    <cellStyle name="Normal 2 2 3 4 3 2 3 2" xfId="21681"/>
    <cellStyle name="Normal 2 2 3 4 3 2 3 3" xfId="28648"/>
    <cellStyle name="Normal 2 2 3 4 3 2 3 4" xfId="35617"/>
    <cellStyle name="Normal 2 2 3 4 3 2 4" xfId="12392"/>
    <cellStyle name="Normal 2 2 3 4 3 2 5" xfId="19359"/>
    <cellStyle name="Normal 2 2 3 4 3 2 6" xfId="26326"/>
    <cellStyle name="Normal 2 2 3 4 3 2 7" xfId="33294"/>
    <cellStyle name="Normal 2 2 3 4 3 3" xfId="9438"/>
    <cellStyle name="Normal 2 2 3 4 3 3 2" xfId="16476"/>
    <cellStyle name="Normal 2 2 3 4 3 3 3" xfId="23443"/>
    <cellStyle name="Normal 2 2 3 4 3 3 4" xfId="30410"/>
    <cellStyle name="Normal 2 2 3 4 3 3 5" xfId="37379"/>
    <cellStyle name="Normal 2 2 3 4 3 4" xfId="14156"/>
    <cellStyle name="Normal 2 2 3 4 3 4 2" xfId="21123"/>
    <cellStyle name="Normal 2 2 3 4 3 4 3" xfId="28090"/>
    <cellStyle name="Normal 2 2 3 4 3 4 4" xfId="35059"/>
    <cellStyle name="Normal 2 2 3 4 3 5" xfId="11834"/>
    <cellStyle name="Normal 2 2 3 4 3 6" xfId="18801"/>
    <cellStyle name="Normal 2 2 3 4 3 7" xfId="25768"/>
    <cellStyle name="Normal 2 2 3 4 3 8" xfId="32736"/>
    <cellStyle name="Normal 2 2 3 4 4" xfId="5185"/>
    <cellStyle name="Normal 2 2 3 4 5" xfId="8012"/>
    <cellStyle name="Normal 2 2 3 5" xfId="1650"/>
    <cellStyle name="Normal 2 2 3 5 10" xfId="13466"/>
    <cellStyle name="Normal 2 2 3 5 10 2" xfId="20433"/>
    <cellStyle name="Normal 2 2 3 5 10 3" xfId="27400"/>
    <cellStyle name="Normal 2 2 3 5 10 4" xfId="34369"/>
    <cellStyle name="Normal 2 2 3 5 11" xfId="10972"/>
    <cellStyle name="Normal 2 2 3 5 12" xfId="17938"/>
    <cellStyle name="Normal 2 2 3 5 13" xfId="24906"/>
    <cellStyle name="Normal 2 2 3 5 14" xfId="31874"/>
    <cellStyle name="Normal 2 2 3 5 2" xfId="3271"/>
    <cellStyle name="Normal 2 2 3 5 2 2" xfId="3830"/>
    <cellStyle name="Normal 2 2 3 5 2 2 2" xfId="5190"/>
    <cellStyle name="Normal 2 2 3 5 2 2 2 2" xfId="10039"/>
    <cellStyle name="Normal 2 2 3 5 2 2 2 2 2" xfId="17037"/>
    <cellStyle name="Normal 2 2 3 5 2 2 2 2 3" xfId="24004"/>
    <cellStyle name="Normal 2 2 3 5 2 2 2 2 4" xfId="30971"/>
    <cellStyle name="Normal 2 2 3 5 2 2 2 2 5" xfId="37940"/>
    <cellStyle name="Normal 2 2 3 5 2 2 2 3" xfId="14717"/>
    <cellStyle name="Normal 2 2 3 5 2 2 2 3 2" xfId="21684"/>
    <cellStyle name="Normal 2 2 3 5 2 2 2 3 3" xfId="28651"/>
    <cellStyle name="Normal 2 2 3 5 2 2 2 3 4" xfId="35620"/>
    <cellStyle name="Normal 2 2 3 5 2 2 2 4" xfId="12395"/>
    <cellStyle name="Normal 2 2 3 5 2 2 2 5" xfId="19362"/>
    <cellStyle name="Normal 2 2 3 5 2 2 2 6" xfId="26329"/>
    <cellStyle name="Normal 2 2 3 5 2 2 2 7" xfId="33297"/>
    <cellStyle name="Normal 2 2 3 5 2 2 3" xfId="9436"/>
    <cellStyle name="Normal 2 2 3 5 2 2 3 2" xfId="16474"/>
    <cellStyle name="Normal 2 2 3 5 2 2 3 3" xfId="23441"/>
    <cellStyle name="Normal 2 2 3 5 2 2 3 4" xfId="30408"/>
    <cellStyle name="Normal 2 2 3 5 2 2 3 5" xfId="37377"/>
    <cellStyle name="Normal 2 2 3 5 2 2 4" xfId="14154"/>
    <cellStyle name="Normal 2 2 3 5 2 2 4 2" xfId="21121"/>
    <cellStyle name="Normal 2 2 3 5 2 2 4 3" xfId="28088"/>
    <cellStyle name="Normal 2 2 3 5 2 2 4 4" xfId="35057"/>
    <cellStyle name="Normal 2 2 3 5 2 2 5" xfId="11832"/>
    <cellStyle name="Normal 2 2 3 5 2 2 6" xfId="18799"/>
    <cellStyle name="Normal 2 2 3 5 2 2 7" xfId="25766"/>
    <cellStyle name="Normal 2 2 3 5 2 2 8" xfId="32734"/>
    <cellStyle name="Normal 2 2 3 5 2 3" xfId="5189"/>
    <cellStyle name="Normal 2 2 3 5 2 3 2" xfId="10038"/>
    <cellStyle name="Normal 2 2 3 5 2 3 2 2" xfId="17036"/>
    <cellStyle name="Normal 2 2 3 5 2 3 2 3" xfId="24003"/>
    <cellStyle name="Normal 2 2 3 5 2 3 2 4" xfId="30970"/>
    <cellStyle name="Normal 2 2 3 5 2 3 2 5" xfId="37939"/>
    <cellStyle name="Normal 2 2 3 5 2 3 3" xfId="14716"/>
    <cellStyle name="Normal 2 2 3 5 2 3 3 2" xfId="21683"/>
    <cellStyle name="Normal 2 2 3 5 2 3 3 3" xfId="28650"/>
    <cellStyle name="Normal 2 2 3 5 2 3 3 4" xfId="35619"/>
    <cellStyle name="Normal 2 2 3 5 2 3 4" xfId="12394"/>
    <cellStyle name="Normal 2 2 3 5 2 3 5" xfId="19361"/>
    <cellStyle name="Normal 2 2 3 5 2 3 6" xfId="26328"/>
    <cellStyle name="Normal 2 2 3 5 2 3 7" xfId="33296"/>
    <cellStyle name="Normal 2 2 3 5 2 4" xfId="8905"/>
    <cellStyle name="Normal 2 2 3 5 2 4 2" xfId="15957"/>
    <cellStyle name="Normal 2 2 3 5 2 4 3" xfId="22924"/>
    <cellStyle name="Normal 2 2 3 5 2 4 4" xfId="29891"/>
    <cellStyle name="Normal 2 2 3 5 2 4 5" xfId="36860"/>
    <cellStyle name="Normal 2 2 3 5 2 5" xfId="13635"/>
    <cellStyle name="Normal 2 2 3 5 2 5 2" xfId="20602"/>
    <cellStyle name="Normal 2 2 3 5 2 5 3" xfId="27569"/>
    <cellStyle name="Normal 2 2 3 5 2 5 4" xfId="34538"/>
    <cellStyle name="Normal 2 2 3 5 2 6" xfId="11313"/>
    <cellStyle name="Normal 2 2 3 5 2 7" xfId="18280"/>
    <cellStyle name="Normal 2 2 3 5 2 8" xfId="25247"/>
    <cellStyle name="Normal 2 2 3 5 2 9" xfId="32215"/>
    <cellStyle name="Normal 2 2 3 5 3" xfId="3473"/>
    <cellStyle name="Normal 2 2 3 5 3 2" xfId="5191"/>
    <cellStyle name="Normal 2 2 3 5 3 2 2" xfId="10040"/>
    <cellStyle name="Normal 2 2 3 5 3 2 2 2" xfId="17038"/>
    <cellStyle name="Normal 2 2 3 5 3 2 2 3" xfId="24005"/>
    <cellStyle name="Normal 2 2 3 5 3 2 2 4" xfId="30972"/>
    <cellStyle name="Normal 2 2 3 5 3 2 2 5" xfId="37941"/>
    <cellStyle name="Normal 2 2 3 5 3 2 3" xfId="14718"/>
    <cellStyle name="Normal 2 2 3 5 3 2 3 2" xfId="21685"/>
    <cellStyle name="Normal 2 2 3 5 3 2 3 3" xfId="28652"/>
    <cellStyle name="Normal 2 2 3 5 3 2 3 4" xfId="35621"/>
    <cellStyle name="Normal 2 2 3 5 3 2 4" xfId="12396"/>
    <cellStyle name="Normal 2 2 3 5 3 2 5" xfId="19363"/>
    <cellStyle name="Normal 2 2 3 5 3 2 6" xfId="26330"/>
    <cellStyle name="Normal 2 2 3 5 3 2 7" xfId="33298"/>
    <cellStyle name="Normal 2 2 3 5 3 3" xfId="9085"/>
    <cellStyle name="Normal 2 2 3 5 3 3 2" xfId="16124"/>
    <cellStyle name="Normal 2 2 3 5 3 3 3" xfId="23091"/>
    <cellStyle name="Normal 2 2 3 5 3 3 4" xfId="30058"/>
    <cellStyle name="Normal 2 2 3 5 3 3 5" xfId="37027"/>
    <cellStyle name="Normal 2 2 3 5 3 4" xfId="13804"/>
    <cellStyle name="Normal 2 2 3 5 3 4 2" xfId="20771"/>
    <cellStyle name="Normal 2 2 3 5 3 4 3" xfId="27738"/>
    <cellStyle name="Normal 2 2 3 5 3 4 4" xfId="34707"/>
    <cellStyle name="Normal 2 2 3 5 3 5" xfId="11482"/>
    <cellStyle name="Normal 2 2 3 5 3 6" xfId="18449"/>
    <cellStyle name="Normal 2 2 3 5 3 7" xfId="25416"/>
    <cellStyle name="Normal 2 2 3 5 3 8" xfId="32384"/>
    <cellStyle name="Normal 2 2 3 5 4" xfId="3648"/>
    <cellStyle name="Normal 2 2 3 5 4 2" xfId="5192"/>
    <cellStyle name="Normal 2 2 3 5 4 2 2" xfId="10041"/>
    <cellStyle name="Normal 2 2 3 5 4 2 2 2" xfId="17039"/>
    <cellStyle name="Normal 2 2 3 5 4 2 2 3" xfId="24006"/>
    <cellStyle name="Normal 2 2 3 5 4 2 2 4" xfId="30973"/>
    <cellStyle name="Normal 2 2 3 5 4 2 2 5" xfId="37942"/>
    <cellStyle name="Normal 2 2 3 5 4 2 3" xfId="14719"/>
    <cellStyle name="Normal 2 2 3 5 4 2 3 2" xfId="21686"/>
    <cellStyle name="Normal 2 2 3 5 4 2 3 3" xfId="28653"/>
    <cellStyle name="Normal 2 2 3 5 4 2 3 4" xfId="35622"/>
    <cellStyle name="Normal 2 2 3 5 4 2 4" xfId="12397"/>
    <cellStyle name="Normal 2 2 3 5 4 2 5" xfId="19364"/>
    <cellStyle name="Normal 2 2 3 5 4 2 6" xfId="26331"/>
    <cellStyle name="Normal 2 2 3 5 4 2 7" xfId="33299"/>
    <cellStyle name="Normal 2 2 3 5 4 3" xfId="9256"/>
    <cellStyle name="Normal 2 2 3 5 4 3 2" xfId="16295"/>
    <cellStyle name="Normal 2 2 3 5 4 3 3" xfId="23262"/>
    <cellStyle name="Normal 2 2 3 5 4 3 4" xfId="30229"/>
    <cellStyle name="Normal 2 2 3 5 4 3 5" xfId="37198"/>
    <cellStyle name="Normal 2 2 3 5 4 4" xfId="13975"/>
    <cellStyle name="Normal 2 2 3 5 4 4 2" xfId="20942"/>
    <cellStyle name="Normal 2 2 3 5 4 4 3" xfId="27909"/>
    <cellStyle name="Normal 2 2 3 5 4 4 4" xfId="34878"/>
    <cellStyle name="Normal 2 2 3 5 4 5" xfId="11653"/>
    <cellStyle name="Normal 2 2 3 5 4 6" xfId="18620"/>
    <cellStyle name="Normal 2 2 3 5 4 7" xfId="25587"/>
    <cellStyle name="Normal 2 2 3 5 4 8" xfId="32555"/>
    <cellStyle name="Normal 2 2 3 5 5" xfId="3925"/>
    <cellStyle name="Normal 2 2 3 5 5 2" xfId="5193"/>
    <cellStyle name="Normal 2 2 3 5 5 2 2" xfId="10042"/>
    <cellStyle name="Normal 2 2 3 5 5 2 2 2" xfId="17040"/>
    <cellStyle name="Normal 2 2 3 5 5 2 2 3" xfId="24007"/>
    <cellStyle name="Normal 2 2 3 5 5 2 2 4" xfId="30974"/>
    <cellStyle name="Normal 2 2 3 5 5 2 2 5" xfId="37943"/>
    <cellStyle name="Normal 2 2 3 5 5 2 3" xfId="14720"/>
    <cellStyle name="Normal 2 2 3 5 5 2 3 2" xfId="21687"/>
    <cellStyle name="Normal 2 2 3 5 5 2 3 3" xfId="28654"/>
    <cellStyle name="Normal 2 2 3 5 5 2 3 4" xfId="35623"/>
    <cellStyle name="Normal 2 2 3 5 5 2 4" xfId="12398"/>
    <cellStyle name="Normal 2 2 3 5 5 2 5" xfId="19365"/>
    <cellStyle name="Normal 2 2 3 5 5 2 6" xfId="26332"/>
    <cellStyle name="Normal 2 2 3 5 5 2 7" xfId="33300"/>
    <cellStyle name="Normal 2 2 3 5 5 3" xfId="9531"/>
    <cellStyle name="Normal 2 2 3 5 5 3 2" xfId="16567"/>
    <cellStyle name="Normal 2 2 3 5 5 3 3" xfId="23534"/>
    <cellStyle name="Normal 2 2 3 5 5 3 4" xfId="30501"/>
    <cellStyle name="Normal 2 2 3 5 5 3 5" xfId="37470"/>
    <cellStyle name="Normal 2 2 3 5 5 4" xfId="14247"/>
    <cellStyle name="Normal 2 2 3 5 5 4 2" xfId="21214"/>
    <cellStyle name="Normal 2 2 3 5 5 4 3" xfId="28181"/>
    <cellStyle name="Normal 2 2 3 5 5 4 4" xfId="35150"/>
    <cellStyle name="Normal 2 2 3 5 5 5" xfId="11925"/>
    <cellStyle name="Normal 2 2 3 5 5 6" xfId="18892"/>
    <cellStyle name="Normal 2 2 3 5 5 7" xfId="25859"/>
    <cellStyle name="Normal 2 2 3 5 5 8" xfId="32827"/>
    <cellStyle name="Normal 2 2 3 5 6" xfId="5188"/>
    <cellStyle name="Normal 2 2 3 5 6 2" xfId="10037"/>
    <cellStyle name="Normal 2 2 3 5 6 2 2" xfId="17035"/>
    <cellStyle name="Normal 2 2 3 5 6 2 3" xfId="24002"/>
    <cellStyle name="Normal 2 2 3 5 6 2 4" xfId="30969"/>
    <cellStyle name="Normal 2 2 3 5 6 2 5" xfId="37938"/>
    <cellStyle name="Normal 2 2 3 5 6 3" xfId="14715"/>
    <cellStyle name="Normal 2 2 3 5 6 3 2" xfId="21682"/>
    <cellStyle name="Normal 2 2 3 5 6 3 3" xfId="28649"/>
    <cellStyle name="Normal 2 2 3 5 6 3 4" xfId="35618"/>
    <cellStyle name="Normal 2 2 3 5 6 4" xfId="12393"/>
    <cellStyle name="Normal 2 2 3 5 6 5" xfId="19360"/>
    <cellStyle name="Normal 2 2 3 5 6 6" xfId="26327"/>
    <cellStyle name="Normal 2 2 3 5 6 7" xfId="33295"/>
    <cellStyle name="Normal 2 2 3 5 7" xfId="6819"/>
    <cellStyle name="Normal 2 2 3 5 7 2" xfId="10789"/>
    <cellStyle name="Normal 2 2 3 5 7 2 2" xfId="17763"/>
    <cellStyle name="Normal 2 2 3 5 7 2 3" xfId="24730"/>
    <cellStyle name="Normal 2 2 3 5 7 2 4" xfId="31697"/>
    <cellStyle name="Normal 2 2 3 5 7 2 5" xfId="38666"/>
    <cellStyle name="Normal 2 2 3 5 7 3" xfId="15443"/>
    <cellStyle name="Normal 2 2 3 5 7 3 2" xfId="22410"/>
    <cellStyle name="Normal 2 2 3 5 7 3 3" xfId="29377"/>
    <cellStyle name="Normal 2 2 3 5 7 3 4" xfId="36346"/>
    <cellStyle name="Normal 2 2 3 5 7 4" xfId="13121"/>
    <cellStyle name="Normal 2 2 3 5 7 5" xfId="20088"/>
    <cellStyle name="Normal 2 2 3 5 7 6" xfId="27055"/>
    <cellStyle name="Normal 2 2 3 5 7 7" xfId="34024"/>
    <cellStyle name="Normal 2 2 3 5 8" xfId="7132"/>
    <cellStyle name="Normal 2 2 3 5 8 2" xfId="15616"/>
    <cellStyle name="Normal 2 2 3 5 8 2 2" xfId="22583"/>
    <cellStyle name="Normal 2 2 3 5 8 2 3" xfId="29550"/>
    <cellStyle name="Normal 2 2 3 5 8 2 4" xfId="36519"/>
    <cellStyle name="Normal 2 2 3 5 8 3" xfId="13294"/>
    <cellStyle name="Normal 2 2 3 5 8 4" xfId="20261"/>
    <cellStyle name="Normal 2 2 3 5 8 5" xfId="27228"/>
    <cellStyle name="Normal 2 2 3 5 8 6" xfId="34197"/>
    <cellStyle name="Normal 2 2 3 5 9" xfId="8013"/>
    <cellStyle name="Normal 2 2 3 5 9 2" xfId="15788"/>
    <cellStyle name="Normal 2 2 3 5 9 2 2" xfId="22755"/>
    <cellStyle name="Normal 2 2 3 5 9 2 3" xfId="29722"/>
    <cellStyle name="Normal 2 2 3 5 9 2 4" xfId="36691"/>
    <cellStyle name="Normal 2 2 3 5 9 3" xfId="11144"/>
    <cellStyle name="Normal 2 2 3 5 9 4" xfId="18111"/>
    <cellStyle name="Normal 2 2 3 5 9 5" xfId="25078"/>
    <cellStyle name="Normal 2 2 3 5 9 6" xfId="32046"/>
    <cellStyle name="Normal 2 2 3 6" xfId="1651"/>
    <cellStyle name="Normal 2 2 3 6 10" xfId="13467"/>
    <cellStyle name="Normal 2 2 3 6 10 2" xfId="20434"/>
    <cellStyle name="Normal 2 2 3 6 10 3" xfId="27401"/>
    <cellStyle name="Normal 2 2 3 6 10 4" xfId="34370"/>
    <cellStyle name="Normal 2 2 3 6 11" xfId="10973"/>
    <cellStyle name="Normal 2 2 3 6 12" xfId="17939"/>
    <cellStyle name="Normal 2 2 3 6 13" xfId="24907"/>
    <cellStyle name="Normal 2 2 3 6 14" xfId="31875"/>
    <cellStyle name="Normal 2 2 3 6 2" xfId="3272"/>
    <cellStyle name="Normal 2 2 3 6 2 2" xfId="5195"/>
    <cellStyle name="Normal 2 2 3 6 2 2 2" xfId="10044"/>
    <cellStyle name="Normal 2 2 3 6 2 2 2 2" xfId="17042"/>
    <cellStyle name="Normal 2 2 3 6 2 2 2 3" xfId="24009"/>
    <cellStyle name="Normal 2 2 3 6 2 2 2 4" xfId="30976"/>
    <cellStyle name="Normal 2 2 3 6 2 2 2 5" xfId="37945"/>
    <cellStyle name="Normal 2 2 3 6 2 2 3" xfId="14722"/>
    <cellStyle name="Normal 2 2 3 6 2 2 3 2" xfId="21689"/>
    <cellStyle name="Normal 2 2 3 6 2 2 3 3" xfId="28656"/>
    <cellStyle name="Normal 2 2 3 6 2 2 3 4" xfId="35625"/>
    <cellStyle name="Normal 2 2 3 6 2 2 4" xfId="12400"/>
    <cellStyle name="Normal 2 2 3 6 2 2 5" xfId="19367"/>
    <cellStyle name="Normal 2 2 3 6 2 2 6" xfId="26334"/>
    <cellStyle name="Normal 2 2 3 6 2 2 7" xfId="33302"/>
    <cellStyle name="Normal 2 2 3 6 2 3" xfId="8906"/>
    <cellStyle name="Normal 2 2 3 6 2 3 2" xfId="15958"/>
    <cellStyle name="Normal 2 2 3 6 2 3 3" xfId="22925"/>
    <cellStyle name="Normal 2 2 3 6 2 3 4" xfId="29892"/>
    <cellStyle name="Normal 2 2 3 6 2 3 5" xfId="36861"/>
    <cellStyle name="Normal 2 2 3 6 2 4" xfId="13636"/>
    <cellStyle name="Normal 2 2 3 6 2 4 2" xfId="20603"/>
    <cellStyle name="Normal 2 2 3 6 2 4 3" xfId="27570"/>
    <cellStyle name="Normal 2 2 3 6 2 4 4" xfId="34539"/>
    <cellStyle name="Normal 2 2 3 6 2 5" xfId="11314"/>
    <cellStyle name="Normal 2 2 3 6 2 6" xfId="18281"/>
    <cellStyle name="Normal 2 2 3 6 2 7" xfId="25248"/>
    <cellStyle name="Normal 2 2 3 6 2 8" xfId="32216"/>
    <cellStyle name="Normal 2 2 3 6 3" xfId="3474"/>
    <cellStyle name="Normal 2 2 3 6 3 2" xfId="5196"/>
    <cellStyle name="Normal 2 2 3 6 3 2 2" xfId="10045"/>
    <cellStyle name="Normal 2 2 3 6 3 2 2 2" xfId="17043"/>
    <cellStyle name="Normal 2 2 3 6 3 2 2 3" xfId="24010"/>
    <cellStyle name="Normal 2 2 3 6 3 2 2 4" xfId="30977"/>
    <cellStyle name="Normal 2 2 3 6 3 2 2 5" xfId="37946"/>
    <cellStyle name="Normal 2 2 3 6 3 2 3" xfId="14723"/>
    <cellStyle name="Normal 2 2 3 6 3 2 3 2" xfId="21690"/>
    <cellStyle name="Normal 2 2 3 6 3 2 3 3" xfId="28657"/>
    <cellStyle name="Normal 2 2 3 6 3 2 3 4" xfId="35626"/>
    <cellStyle name="Normal 2 2 3 6 3 2 4" xfId="12401"/>
    <cellStyle name="Normal 2 2 3 6 3 2 5" xfId="19368"/>
    <cellStyle name="Normal 2 2 3 6 3 2 6" xfId="26335"/>
    <cellStyle name="Normal 2 2 3 6 3 2 7" xfId="33303"/>
    <cellStyle name="Normal 2 2 3 6 3 3" xfId="9086"/>
    <cellStyle name="Normal 2 2 3 6 3 3 2" xfId="16125"/>
    <cellStyle name="Normal 2 2 3 6 3 3 3" xfId="23092"/>
    <cellStyle name="Normal 2 2 3 6 3 3 4" xfId="30059"/>
    <cellStyle name="Normal 2 2 3 6 3 3 5" xfId="37028"/>
    <cellStyle name="Normal 2 2 3 6 3 4" xfId="13805"/>
    <cellStyle name="Normal 2 2 3 6 3 4 2" xfId="20772"/>
    <cellStyle name="Normal 2 2 3 6 3 4 3" xfId="27739"/>
    <cellStyle name="Normal 2 2 3 6 3 4 4" xfId="34708"/>
    <cellStyle name="Normal 2 2 3 6 3 5" xfId="11483"/>
    <cellStyle name="Normal 2 2 3 6 3 6" xfId="18450"/>
    <cellStyle name="Normal 2 2 3 6 3 7" xfId="25417"/>
    <cellStyle name="Normal 2 2 3 6 3 8" xfId="32385"/>
    <cellStyle name="Normal 2 2 3 6 4" xfId="3649"/>
    <cellStyle name="Normal 2 2 3 6 4 2" xfId="5197"/>
    <cellStyle name="Normal 2 2 3 6 4 2 2" xfId="10046"/>
    <cellStyle name="Normal 2 2 3 6 4 2 2 2" xfId="17044"/>
    <cellStyle name="Normal 2 2 3 6 4 2 2 3" xfId="24011"/>
    <cellStyle name="Normal 2 2 3 6 4 2 2 4" xfId="30978"/>
    <cellStyle name="Normal 2 2 3 6 4 2 2 5" xfId="37947"/>
    <cellStyle name="Normal 2 2 3 6 4 2 3" xfId="14724"/>
    <cellStyle name="Normal 2 2 3 6 4 2 3 2" xfId="21691"/>
    <cellStyle name="Normal 2 2 3 6 4 2 3 3" xfId="28658"/>
    <cellStyle name="Normal 2 2 3 6 4 2 3 4" xfId="35627"/>
    <cellStyle name="Normal 2 2 3 6 4 2 4" xfId="12402"/>
    <cellStyle name="Normal 2 2 3 6 4 2 5" xfId="19369"/>
    <cellStyle name="Normal 2 2 3 6 4 2 6" xfId="26336"/>
    <cellStyle name="Normal 2 2 3 6 4 2 7" xfId="33304"/>
    <cellStyle name="Normal 2 2 3 6 4 3" xfId="9257"/>
    <cellStyle name="Normal 2 2 3 6 4 3 2" xfId="16296"/>
    <cellStyle name="Normal 2 2 3 6 4 3 3" xfId="23263"/>
    <cellStyle name="Normal 2 2 3 6 4 3 4" xfId="30230"/>
    <cellStyle name="Normal 2 2 3 6 4 3 5" xfId="37199"/>
    <cellStyle name="Normal 2 2 3 6 4 4" xfId="13976"/>
    <cellStyle name="Normal 2 2 3 6 4 4 2" xfId="20943"/>
    <cellStyle name="Normal 2 2 3 6 4 4 3" xfId="27910"/>
    <cellStyle name="Normal 2 2 3 6 4 4 4" xfId="34879"/>
    <cellStyle name="Normal 2 2 3 6 4 5" xfId="11654"/>
    <cellStyle name="Normal 2 2 3 6 4 6" xfId="18621"/>
    <cellStyle name="Normal 2 2 3 6 4 7" xfId="25588"/>
    <cellStyle name="Normal 2 2 3 6 4 8" xfId="32556"/>
    <cellStyle name="Normal 2 2 3 6 5" xfId="3926"/>
    <cellStyle name="Normal 2 2 3 6 5 2" xfId="5198"/>
    <cellStyle name="Normal 2 2 3 6 5 2 2" xfId="10047"/>
    <cellStyle name="Normal 2 2 3 6 5 2 2 2" xfId="17045"/>
    <cellStyle name="Normal 2 2 3 6 5 2 2 3" xfId="24012"/>
    <cellStyle name="Normal 2 2 3 6 5 2 2 4" xfId="30979"/>
    <cellStyle name="Normal 2 2 3 6 5 2 2 5" xfId="37948"/>
    <cellStyle name="Normal 2 2 3 6 5 2 3" xfId="14725"/>
    <cellStyle name="Normal 2 2 3 6 5 2 3 2" xfId="21692"/>
    <cellStyle name="Normal 2 2 3 6 5 2 3 3" xfId="28659"/>
    <cellStyle name="Normal 2 2 3 6 5 2 3 4" xfId="35628"/>
    <cellStyle name="Normal 2 2 3 6 5 2 4" xfId="12403"/>
    <cellStyle name="Normal 2 2 3 6 5 2 5" xfId="19370"/>
    <cellStyle name="Normal 2 2 3 6 5 2 6" xfId="26337"/>
    <cellStyle name="Normal 2 2 3 6 5 2 7" xfId="33305"/>
    <cellStyle name="Normal 2 2 3 6 5 3" xfId="9532"/>
    <cellStyle name="Normal 2 2 3 6 5 3 2" xfId="16568"/>
    <cellStyle name="Normal 2 2 3 6 5 3 3" xfId="23535"/>
    <cellStyle name="Normal 2 2 3 6 5 3 4" xfId="30502"/>
    <cellStyle name="Normal 2 2 3 6 5 3 5" xfId="37471"/>
    <cellStyle name="Normal 2 2 3 6 5 4" xfId="14248"/>
    <cellStyle name="Normal 2 2 3 6 5 4 2" xfId="21215"/>
    <cellStyle name="Normal 2 2 3 6 5 4 3" xfId="28182"/>
    <cellStyle name="Normal 2 2 3 6 5 4 4" xfId="35151"/>
    <cellStyle name="Normal 2 2 3 6 5 5" xfId="11926"/>
    <cellStyle name="Normal 2 2 3 6 5 6" xfId="18893"/>
    <cellStyle name="Normal 2 2 3 6 5 7" xfId="25860"/>
    <cellStyle name="Normal 2 2 3 6 5 8" xfId="32828"/>
    <cellStyle name="Normal 2 2 3 6 6" xfId="5194"/>
    <cellStyle name="Normal 2 2 3 6 6 2" xfId="10043"/>
    <cellStyle name="Normal 2 2 3 6 6 2 2" xfId="17041"/>
    <cellStyle name="Normal 2 2 3 6 6 2 3" xfId="24008"/>
    <cellStyle name="Normal 2 2 3 6 6 2 4" xfId="30975"/>
    <cellStyle name="Normal 2 2 3 6 6 2 5" xfId="37944"/>
    <cellStyle name="Normal 2 2 3 6 6 3" xfId="14721"/>
    <cellStyle name="Normal 2 2 3 6 6 3 2" xfId="21688"/>
    <cellStyle name="Normal 2 2 3 6 6 3 3" xfId="28655"/>
    <cellStyle name="Normal 2 2 3 6 6 3 4" xfId="35624"/>
    <cellStyle name="Normal 2 2 3 6 6 4" xfId="12399"/>
    <cellStyle name="Normal 2 2 3 6 6 5" xfId="19366"/>
    <cellStyle name="Normal 2 2 3 6 6 6" xfId="26333"/>
    <cellStyle name="Normal 2 2 3 6 6 7" xfId="33301"/>
    <cellStyle name="Normal 2 2 3 6 7" xfId="6820"/>
    <cellStyle name="Normal 2 2 3 6 7 2" xfId="10790"/>
    <cellStyle name="Normal 2 2 3 6 7 2 2" xfId="17764"/>
    <cellStyle name="Normal 2 2 3 6 7 2 3" xfId="24731"/>
    <cellStyle name="Normal 2 2 3 6 7 2 4" xfId="31698"/>
    <cellStyle name="Normal 2 2 3 6 7 2 5" xfId="38667"/>
    <cellStyle name="Normal 2 2 3 6 7 3" xfId="15444"/>
    <cellStyle name="Normal 2 2 3 6 7 3 2" xfId="22411"/>
    <cellStyle name="Normal 2 2 3 6 7 3 3" xfId="29378"/>
    <cellStyle name="Normal 2 2 3 6 7 3 4" xfId="36347"/>
    <cellStyle name="Normal 2 2 3 6 7 4" xfId="13122"/>
    <cellStyle name="Normal 2 2 3 6 7 5" xfId="20089"/>
    <cellStyle name="Normal 2 2 3 6 7 6" xfId="27056"/>
    <cellStyle name="Normal 2 2 3 6 7 7" xfId="34025"/>
    <cellStyle name="Normal 2 2 3 6 8" xfId="7133"/>
    <cellStyle name="Normal 2 2 3 6 8 2" xfId="15617"/>
    <cellStyle name="Normal 2 2 3 6 8 2 2" xfId="22584"/>
    <cellStyle name="Normal 2 2 3 6 8 2 3" xfId="29551"/>
    <cellStyle name="Normal 2 2 3 6 8 2 4" xfId="36520"/>
    <cellStyle name="Normal 2 2 3 6 8 3" xfId="13295"/>
    <cellStyle name="Normal 2 2 3 6 8 4" xfId="20262"/>
    <cellStyle name="Normal 2 2 3 6 8 5" xfId="27229"/>
    <cellStyle name="Normal 2 2 3 6 8 6" xfId="34198"/>
    <cellStyle name="Normal 2 2 3 6 9" xfId="8014"/>
    <cellStyle name="Normal 2 2 3 6 9 2" xfId="15789"/>
    <cellStyle name="Normal 2 2 3 6 9 2 2" xfId="22756"/>
    <cellStyle name="Normal 2 2 3 6 9 2 3" xfId="29723"/>
    <cellStyle name="Normal 2 2 3 6 9 2 4" xfId="36692"/>
    <cellStyle name="Normal 2 2 3 6 9 3" xfId="11145"/>
    <cellStyle name="Normal 2 2 3 6 9 4" xfId="18112"/>
    <cellStyle name="Normal 2 2 3 6 9 5" xfId="25079"/>
    <cellStyle name="Normal 2 2 3 6 9 6" xfId="32047"/>
    <cellStyle name="Normal 2 2 3 7" xfId="3263"/>
    <cellStyle name="Normal 2 2 3 7 2" xfId="3836"/>
    <cellStyle name="Normal 2 2 3 7 2 2" xfId="5200"/>
    <cellStyle name="Normal 2 2 3 7 2 2 2" xfId="10049"/>
    <cellStyle name="Normal 2 2 3 7 2 2 2 2" xfId="17047"/>
    <cellStyle name="Normal 2 2 3 7 2 2 2 3" xfId="24014"/>
    <cellStyle name="Normal 2 2 3 7 2 2 2 4" xfId="30981"/>
    <cellStyle name="Normal 2 2 3 7 2 2 2 5" xfId="37950"/>
    <cellStyle name="Normal 2 2 3 7 2 2 3" xfId="14727"/>
    <cellStyle name="Normal 2 2 3 7 2 2 3 2" xfId="21694"/>
    <cellStyle name="Normal 2 2 3 7 2 2 3 3" xfId="28661"/>
    <cellStyle name="Normal 2 2 3 7 2 2 3 4" xfId="35630"/>
    <cellStyle name="Normal 2 2 3 7 2 2 4" xfId="12405"/>
    <cellStyle name="Normal 2 2 3 7 2 2 5" xfId="19372"/>
    <cellStyle name="Normal 2 2 3 7 2 2 6" xfId="26339"/>
    <cellStyle name="Normal 2 2 3 7 2 2 7" xfId="33307"/>
    <cellStyle name="Normal 2 2 3 7 2 3" xfId="9442"/>
    <cellStyle name="Normal 2 2 3 7 2 3 2" xfId="16480"/>
    <cellStyle name="Normal 2 2 3 7 2 3 3" xfId="23447"/>
    <cellStyle name="Normal 2 2 3 7 2 3 4" xfId="30414"/>
    <cellStyle name="Normal 2 2 3 7 2 3 5" xfId="37383"/>
    <cellStyle name="Normal 2 2 3 7 2 4" xfId="14160"/>
    <cellStyle name="Normal 2 2 3 7 2 4 2" xfId="21127"/>
    <cellStyle name="Normal 2 2 3 7 2 4 3" xfId="28094"/>
    <cellStyle name="Normal 2 2 3 7 2 4 4" xfId="35063"/>
    <cellStyle name="Normal 2 2 3 7 2 5" xfId="11838"/>
    <cellStyle name="Normal 2 2 3 7 2 6" xfId="18805"/>
    <cellStyle name="Normal 2 2 3 7 2 7" xfId="25772"/>
    <cellStyle name="Normal 2 2 3 7 2 8" xfId="32740"/>
    <cellStyle name="Normal 2 2 3 7 3" xfId="5199"/>
    <cellStyle name="Normal 2 2 3 7 3 2" xfId="10048"/>
    <cellStyle name="Normal 2 2 3 7 3 2 2" xfId="17046"/>
    <cellStyle name="Normal 2 2 3 7 3 2 3" xfId="24013"/>
    <cellStyle name="Normal 2 2 3 7 3 2 4" xfId="30980"/>
    <cellStyle name="Normal 2 2 3 7 3 2 5" xfId="37949"/>
    <cellStyle name="Normal 2 2 3 7 3 3" xfId="14726"/>
    <cellStyle name="Normal 2 2 3 7 3 3 2" xfId="21693"/>
    <cellStyle name="Normal 2 2 3 7 3 3 3" xfId="28660"/>
    <cellStyle name="Normal 2 2 3 7 3 3 4" xfId="35629"/>
    <cellStyle name="Normal 2 2 3 7 3 4" xfId="12404"/>
    <cellStyle name="Normal 2 2 3 7 3 5" xfId="19371"/>
    <cellStyle name="Normal 2 2 3 7 3 6" xfId="26338"/>
    <cellStyle name="Normal 2 2 3 7 3 7" xfId="33306"/>
    <cellStyle name="Normal 2 2 3 7 4" xfId="8897"/>
    <cellStyle name="Normal 2 2 3 7 4 2" xfId="15949"/>
    <cellStyle name="Normal 2 2 3 7 4 3" xfId="22916"/>
    <cellStyle name="Normal 2 2 3 7 4 4" xfId="29883"/>
    <cellStyle name="Normal 2 2 3 7 4 5" xfId="36852"/>
    <cellStyle name="Normal 2 2 3 7 5" xfId="13627"/>
    <cellStyle name="Normal 2 2 3 7 5 2" xfId="20594"/>
    <cellStyle name="Normal 2 2 3 7 5 3" xfId="27561"/>
    <cellStyle name="Normal 2 2 3 7 5 4" xfId="34530"/>
    <cellStyle name="Normal 2 2 3 7 6" xfId="11305"/>
    <cellStyle name="Normal 2 2 3 7 7" xfId="18272"/>
    <cellStyle name="Normal 2 2 3 7 8" xfId="25239"/>
    <cellStyle name="Normal 2 2 3 7 9" xfId="32207"/>
    <cellStyle name="Normal 2 2 3 8" xfId="3465"/>
    <cellStyle name="Normal 2 2 3 8 2" xfId="5201"/>
    <cellStyle name="Normal 2 2 3 8 2 2" xfId="10050"/>
    <cellStyle name="Normal 2 2 3 8 2 2 2" xfId="17048"/>
    <cellStyle name="Normal 2 2 3 8 2 2 3" xfId="24015"/>
    <cellStyle name="Normal 2 2 3 8 2 2 4" xfId="30982"/>
    <cellStyle name="Normal 2 2 3 8 2 2 5" xfId="37951"/>
    <cellStyle name="Normal 2 2 3 8 2 3" xfId="14728"/>
    <cellStyle name="Normal 2 2 3 8 2 3 2" xfId="21695"/>
    <cellStyle name="Normal 2 2 3 8 2 3 3" xfId="28662"/>
    <cellStyle name="Normal 2 2 3 8 2 3 4" xfId="35631"/>
    <cellStyle name="Normal 2 2 3 8 2 4" xfId="12406"/>
    <cellStyle name="Normal 2 2 3 8 2 5" xfId="19373"/>
    <cellStyle name="Normal 2 2 3 8 2 6" xfId="26340"/>
    <cellStyle name="Normal 2 2 3 8 2 7" xfId="33308"/>
    <cellStyle name="Normal 2 2 3 8 3" xfId="9077"/>
    <cellStyle name="Normal 2 2 3 8 3 2" xfId="16116"/>
    <cellStyle name="Normal 2 2 3 8 3 3" xfId="23083"/>
    <cellStyle name="Normal 2 2 3 8 3 4" xfId="30050"/>
    <cellStyle name="Normal 2 2 3 8 3 5" xfId="37019"/>
    <cellStyle name="Normal 2 2 3 8 4" xfId="13796"/>
    <cellStyle name="Normal 2 2 3 8 4 2" xfId="20763"/>
    <cellStyle name="Normal 2 2 3 8 4 3" xfId="27730"/>
    <cellStyle name="Normal 2 2 3 8 4 4" xfId="34699"/>
    <cellStyle name="Normal 2 2 3 8 5" xfId="11474"/>
    <cellStyle name="Normal 2 2 3 8 6" xfId="18441"/>
    <cellStyle name="Normal 2 2 3 8 7" xfId="25408"/>
    <cellStyle name="Normal 2 2 3 8 8" xfId="32376"/>
    <cellStyle name="Normal 2 2 3 9" xfId="3640"/>
    <cellStyle name="Normal 2 2 3 9 2" xfId="5202"/>
    <cellStyle name="Normal 2 2 3 9 2 2" xfId="10051"/>
    <cellStyle name="Normal 2 2 3 9 2 2 2" xfId="17049"/>
    <cellStyle name="Normal 2 2 3 9 2 2 3" xfId="24016"/>
    <cellStyle name="Normal 2 2 3 9 2 2 4" xfId="30983"/>
    <cellStyle name="Normal 2 2 3 9 2 2 5" xfId="37952"/>
    <cellStyle name="Normal 2 2 3 9 2 3" xfId="14729"/>
    <cellStyle name="Normal 2 2 3 9 2 3 2" xfId="21696"/>
    <cellStyle name="Normal 2 2 3 9 2 3 3" xfId="28663"/>
    <cellStyle name="Normal 2 2 3 9 2 3 4" xfId="35632"/>
    <cellStyle name="Normal 2 2 3 9 2 4" xfId="12407"/>
    <cellStyle name="Normal 2 2 3 9 2 5" xfId="19374"/>
    <cellStyle name="Normal 2 2 3 9 2 6" xfId="26341"/>
    <cellStyle name="Normal 2 2 3 9 2 7" xfId="33309"/>
    <cellStyle name="Normal 2 2 3 9 3" xfId="9248"/>
    <cellStyle name="Normal 2 2 3 9 3 2" xfId="16287"/>
    <cellStyle name="Normal 2 2 3 9 3 3" xfId="23254"/>
    <cellStyle name="Normal 2 2 3 9 3 4" xfId="30221"/>
    <cellStyle name="Normal 2 2 3 9 3 5" xfId="37190"/>
    <cellStyle name="Normal 2 2 3 9 4" xfId="13967"/>
    <cellStyle name="Normal 2 2 3 9 4 2" xfId="20934"/>
    <cellStyle name="Normal 2 2 3 9 4 3" xfId="27901"/>
    <cellStyle name="Normal 2 2 3 9 4 4" xfId="34870"/>
    <cellStyle name="Normal 2 2 3 9 5" xfId="11645"/>
    <cellStyle name="Normal 2 2 3 9 6" xfId="18612"/>
    <cellStyle name="Normal 2 2 3 9 7" xfId="25579"/>
    <cellStyle name="Normal 2 2 3 9 8" xfId="32547"/>
    <cellStyle name="Normal 2 2 4" xfId="1652"/>
    <cellStyle name="Normal 2 2 4 2" xfId="1653"/>
    <cellStyle name="Normal 2 2 4 2 2" xfId="3828"/>
    <cellStyle name="Normal 2 2 4 2 2 2" xfId="5205"/>
    <cellStyle name="Normal 2 2 4 2 2 2 2" xfId="10052"/>
    <cellStyle name="Normal 2 2 4 2 2 2 2 2" xfId="17050"/>
    <cellStyle name="Normal 2 2 4 2 2 2 2 3" xfId="24017"/>
    <cellStyle name="Normal 2 2 4 2 2 2 2 4" xfId="30984"/>
    <cellStyle name="Normal 2 2 4 2 2 2 2 5" xfId="37953"/>
    <cellStyle name="Normal 2 2 4 2 2 2 3" xfId="14730"/>
    <cellStyle name="Normal 2 2 4 2 2 2 3 2" xfId="21697"/>
    <cellStyle name="Normal 2 2 4 2 2 2 3 3" xfId="28664"/>
    <cellStyle name="Normal 2 2 4 2 2 2 3 4" xfId="35633"/>
    <cellStyle name="Normal 2 2 4 2 2 2 4" xfId="12408"/>
    <cellStyle name="Normal 2 2 4 2 2 2 5" xfId="19375"/>
    <cellStyle name="Normal 2 2 4 2 2 2 6" xfId="26342"/>
    <cellStyle name="Normal 2 2 4 2 2 2 7" xfId="33310"/>
    <cellStyle name="Normal 2 2 4 2 2 3" xfId="9434"/>
    <cellStyle name="Normal 2 2 4 2 2 3 2" xfId="16472"/>
    <cellStyle name="Normal 2 2 4 2 2 3 3" xfId="23439"/>
    <cellStyle name="Normal 2 2 4 2 2 3 4" xfId="30406"/>
    <cellStyle name="Normal 2 2 4 2 2 3 5" xfId="37375"/>
    <cellStyle name="Normal 2 2 4 2 2 4" xfId="14152"/>
    <cellStyle name="Normal 2 2 4 2 2 4 2" xfId="21119"/>
    <cellStyle name="Normal 2 2 4 2 2 4 3" xfId="28086"/>
    <cellStyle name="Normal 2 2 4 2 2 4 4" xfId="35055"/>
    <cellStyle name="Normal 2 2 4 2 2 5" xfId="11830"/>
    <cellStyle name="Normal 2 2 4 2 2 6" xfId="18797"/>
    <cellStyle name="Normal 2 2 4 2 2 7" xfId="25764"/>
    <cellStyle name="Normal 2 2 4 2 2 8" xfId="32732"/>
    <cellStyle name="Normal 2 2 4 2 3" xfId="5204"/>
    <cellStyle name="Normal 2 2 4 2 4" xfId="8016"/>
    <cellStyle name="Normal 2 2 4 3" xfId="1654"/>
    <cellStyle name="Normal 2 2 4 3 10" xfId="8017"/>
    <cellStyle name="Normal 2 2 4 3 10 2" xfId="15790"/>
    <cellStyle name="Normal 2 2 4 3 10 2 2" xfId="22757"/>
    <cellStyle name="Normal 2 2 4 3 10 2 3" xfId="29724"/>
    <cellStyle name="Normal 2 2 4 3 10 2 4" xfId="36693"/>
    <cellStyle name="Normal 2 2 4 3 10 3" xfId="11146"/>
    <cellStyle name="Normal 2 2 4 3 10 4" xfId="18113"/>
    <cellStyle name="Normal 2 2 4 3 10 5" xfId="25080"/>
    <cellStyle name="Normal 2 2 4 3 10 6" xfId="32048"/>
    <cellStyle name="Normal 2 2 4 3 11" xfId="13468"/>
    <cellStyle name="Normal 2 2 4 3 11 2" xfId="20435"/>
    <cellStyle name="Normal 2 2 4 3 11 3" xfId="27402"/>
    <cellStyle name="Normal 2 2 4 3 11 4" xfId="34371"/>
    <cellStyle name="Normal 2 2 4 3 12" xfId="10974"/>
    <cellStyle name="Normal 2 2 4 3 13" xfId="17940"/>
    <cellStyle name="Normal 2 2 4 3 14" xfId="24908"/>
    <cellStyle name="Normal 2 2 4 3 15" xfId="31876"/>
    <cellStyle name="Normal 2 2 4 3 2" xfId="1655"/>
    <cellStyle name="Normal 2 2 4 3 2 10" xfId="13469"/>
    <cellStyle name="Normal 2 2 4 3 2 10 2" xfId="20436"/>
    <cellStyle name="Normal 2 2 4 3 2 10 3" xfId="27403"/>
    <cellStyle name="Normal 2 2 4 3 2 10 4" xfId="34372"/>
    <cellStyle name="Normal 2 2 4 3 2 11" xfId="10975"/>
    <cellStyle name="Normal 2 2 4 3 2 12" xfId="17941"/>
    <cellStyle name="Normal 2 2 4 3 2 13" xfId="24909"/>
    <cellStyle name="Normal 2 2 4 3 2 14" xfId="31877"/>
    <cellStyle name="Normal 2 2 4 3 2 2" xfId="3274"/>
    <cellStyle name="Normal 2 2 4 3 2 2 2" xfId="5208"/>
    <cellStyle name="Normal 2 2 4 3 2 2 2 2" xfId="10055"/>
    <cellStyle name="Normal 2 2 4 3 2 2 2 2 2" xfId="17053"/>
    <cellStyle name="Normal 2 2 4 3 2 2 2 2 3" xfId="24020"/>
    <cellStyle name="Normal 2 2 4 3 2 2 2 2 4" xfId="30987"/>
    <cellStyle name="Normal 2 2 4 3 2 2 2 2 5" xfId="37956"/>
    <cellStyle name="Normal 2 2 4 3 2 2 2 3" xfId="14733"/>
    <cellStyle name="Normal 2 2 4 3 2 2 2 3 2" xfId="21700"/>
    <cellStyle name="Normal 2 2 4 3 2 2 2 3 3" xfId="28667"/>
    <cellStyle name="Normal 2 2 4 3 2 2 2 3 4" xfId="35636"/>
    <cellStyle name="Normal 2 2 4 3 2 2 2 4" xfId="12411"/>
    <cellStyle name="Normal 2 2 4 3 2 2 2 5" xfId="19378"/>
    <cellStyle name="Normal 2 2 4 3 2 2 2 6" xfId="26345"/>
    <cellStyle name="Normal 2 2 4 3 2 2 2 7" xfId="33313"/>
    <cellStyle name="Normal 2 2 4 3 2 2 3" xfId="8908"/>
    <cellStyle name="Normal 2 2 4 3 2 2 3 2" xfId="15960"/>
    <cellStyle name="Normal 2 2 4 3 2 2 3 3" xfId="22927"/>
    <cellStyle name="Normal 2 2 4 3 2 2 3 4" xfId="29894"/>
    <cellStyle name="Normal 2 2 4 3 2 2 3 5" xfId="36863"/>
    <cellStyle name="Normal 2 2 4 3 2 2 4" xfId="13638"/>
    <cellStyle name="Normal 2 2 4 3 2 2 4 2" xfId="20605"/>
    <cellStyle name="Normal 2 2 4 3 2 2 4 3" xfId="27572"/>
    <cellStyle name="Normal 2 2 4 3 2 2 4 4" xfId="34541"/>
    <cellStyle name="Normal 2 2 4 3 2 2 5" xfId="11316"/>
    <cellStyle name="Normal 2 2 4 3 2 2 6" xfId="18283"/>
    <cellStyle name="Normal 2 2 4 3 2 2 7" xfId="25250"/>
    <cellStyle name="Normal 2 2 4 3 2 2 8" xfId="32218"/>
    <cellStyle name="Normal 2 2 4 3 2 3" xfId="3476"/>
    <cellStyle name="Normal 2 2 4 3 2 3 2" xfId="5209"/>
    <cellStyle name="Normal 2 2 4 3 2 3 2 2" xfId="10056"/>
    <cellStyle name="Normal 2 2 4 3 2 3 2 2 2" xfId="17054"/>
    <cellStyle name="Normal 2 2 4 3 2 3 2 2 3" xfId="24021"/>
    <cellStyle name="Normal 2 2 4 3 2 3 2 2 4" xfId="30988"/>
    <cellStyle name="Normal 2 2 4 3 2 3 2 2 5" xfId="37957"/>
    <cellStyle name="Normal 2 2 4 3 2 3 2 3" xfId="14734"/>
    <cellStyle name="Normal 2 2 4 3 2 3 2 3 2" xfId="21701"/>
    <cellStyle name="Normal 2 2 4 3 2 3 2 3 3" xfId="28668"/>
    <cellStyle name="Normal 2 2 4 3 2 3 2 3 4" xfId="35637"/>
    <cellStyle name="Normal 2 2 4 3 2 3 2 4" xfId="12412"/>
    <cellStyle name="Normal 2 2 4 3 2 3 2 5" xfId="19379"/>
    <cellStyle name="Normal 2 2 4 3 2 3 2 6" xfId="26346"/>
    <cellStyle name="Normal 2 2 4 3 2 3 2 7" xfId="33314"/>
    <cellStyle name="Normal 2 2 4 3 2 3 3" xfId="9088"/>
    <cellStyle name="Normal 2 2 4 3 2 3 3 2" xfId="16127"/>
    <cellStyle name="Normal 2 2 4 3 2 3 3 3" xfId="23094"/>
    <cellStyle name="Normal 2 2 4 3 2 3 3 4" xfId="30061"/>
    <cellStyle name="Normal 2 2 4 3 2 3 3 5" xfId="37030"/>
    <cellStyle name="Normal 2 2 4 3 2 3 4" xfId="13807"/>
    <cellStyle name="Normal 2 2 4 3 2 3 4 2" xfId="20774"/>
    <cellStyle name="Normal 2 2 4 3 2 3 4 3" xfId="27741"/>
    <cellStyle name="Normal 2 2 4 3 2 3 4 4" xfId="34710"/>
    <cellStyle name="Normal 2 2 4 3 2 3 5" xfId="11485"/>
    <cellStyle name="Normal 2 2 4 3 2 3 6" xfId="18452"/>
    <cellStyle name="Normal 2 2 4 3 2 3 7" xfId="25419"/>
    <cellStyle name="Normal 2 2 4 3 2 3 8" xfId="32387"/>
    <cellStyle name="Normal 2 2 4 3 2 4" xfId="3651"/>
    <cellStyle name="Normal 2 2 4 3 2 4 2" xfId="5210"/>
    <cellStyle name="Normal 2 2 4 3 2 4 2 2" xfId="10057"/>
    <cellStyle name="Normal 2 2 4 3 2 4 2 2 2" xfId="17055"/>
    <cellStyle name="Normal 2 2 4 3 2 4 2 2 3" xfId="24022"/>
    <cellStyle name="Normal 2 2 4 3 2 4 2 2 4" xfId="30989"/>
    <cellStyle name="Normal 2 2 4 3 2 4 2 2 5" xfId="37958"/>
    <cellStyle name="Normal 2 2 4 3 2 4 2 3" xfId="14735"/>
    <cellStyle name="Normal 2 2 4 3 2 4 2 3 2" xfId="21702"/>
    <cellStyle name="Normal 2 2 4 3 2 4 2 3 3" xfId="28669"/>
    <cellStyle name="Normal 2 2 4 3 2 4 2 3 4" xfId="35638"/>
    <cellStyle name="Normal 2 2 4 3 2 4 2 4" xfId="12413"/>
    <cellStyle name="Normal 2 2 4 3 2 4 2 5" xfId="19380"/>
    <cellStyle name="Normal 2 2 4 3 2 4 2 6" xfId="26347"/>
    <cellStyle name="Normal 2 2 4 3 2 4 2 7" xfId="33315"/>
    <cellStyle name="Normal 2 2 4 3 2 4 3" xfId="9259"/>
    <cellStyle name="Normal 2 2 4 3 2 4 3 2" xfId="16298"/>
    <cellStyle name="Normal 2 2 4 3 2 4 3 3" xfId="23265"/>
    <cellStyle name="Normal 2 2 4 3 2 4 3 4" xfId="30232"/>
    <cellStyle name="Normal 2 2 4 3 2 4 3 5" xfId="37201"/>
    <cellStyle name="Normal 2 2 4 3 2 4 4" xfId="13978"/>
    <cellStyle name="Normal 2 2 4 3 2 4 4 2" xfId="20945"/>
    <cellStyle name="Normal 2 2 4 3 2 4 4 3" xfId="27912"/>
    <cellStyle name="Normal 2 2 4 3 2 4 4 4" xfId="34881"/>
    <cellStyle name="Normal 2 2 4 3 2 4 5" xfId="11656"/>
    <cellStyle name="Normal 2 2 4 3 2 4 6" xfId="18623"/>
    <cellStyle name="Normal 2 2 4 3 2 4 7" xfId="25590"/>
    <cellStyle name="Normal 2 2 4 3 2 4 8" xfId="32558"/>
    <cellStyle name="Normal 2 2 4 3 2 5" xfId="3928"/>
    <cellStyle name="Normal 2 2 4 3 2 5 2" xfId="5211"/>
    <cellStyle name="Normal 2 2 4 3 2 5 2 2" xfId="10058"/>
    <cellStyle name="Normal 2 2 4 3 2 5 2 2 2" xfId="17056"/>
    <cellStyle name="Normal 2 2 4 3 2 5 2 2 3" xfId="24023"/>
    <cellStyle name="Normal 2 2 4 3 2 5 2 2 4" xfId="30990"/>
    <cellStyle name="Normal 2 2 4 3 2 5 2 2 5" xfId="37959"/>
    <cellStyle name="Normal 2 2 4 3 2 5 2 3" xfId="14736"/>
    <cellStyle name="Normal 2 2 4 3 2 5 2 3 2" xfId="21703"/>
    <cellStyle name="Normal 2 2 4 3 2 5 2 3 3" xfId="28670"/>
    <cellStyle name="Normal 2 2 4 3 2 5 2 3 4" xfId="35639"/>
    <cellStyle name="Normal 2 2 4 3 2 5 2 4" xfId="12414"/>
    <cellStyle name="Normal 2 2 4 3 2 5 2 5" xfId="19381"/>
    <cellStyle name="Normal 2 2 4 3 2 5 2 6" xfId="26348"/>
    <cellStyle name="Normal 2 2 4 3 2 5 2 7" xfId="33316"/>
    <cellStyle name="Normal 2 2 4 3 2 5 3" xfId="9534"/>
    <cellStyle name="Normal 2 2 4 3 2 5 3 2" xfId="16570"/>
    <cellStyle name="Normal 2 2 4 3 2 5 3 3" xfId="23537"/>
    <cellStyle name="Normal 2 2 4 3 2 5 3 4" xfId="30504"/>
    <cellStyle name="Normal 2 2 4 3 2 5 3 5" xfId="37473"/>
    <cellStyle name="Normal 2 2 4 3 2 5 4" xfId="14250"/>
    <cellStyle name="Normal 2 2 4 3 2 5 4 2" xfId="21217"/>
    <cellStyle name="Normal 2 2 4 3 2 5 4 3" xfId="28184"/>
    <cellStyle name="Normal 2 2 4 3 2 5 4 4" xfId="35153"/>
    <cellStyle name="Normal 2 2 4 3 2 5 5" xfId="11928"/>
    <cellStyle name="Normal 2 2 4 3 2 5 6" xfId="18895"/>
    <cellStyle name="Normal 2 2 4 3 2 5 7" xfId="25862"/>
    <cellStyle name="Normal 2 2 4 3 2 5 8" xfId="32830"/>
    <cellStyle name="Normal 2 2 4 3 2 6" xfId="5207"/>
    <cellStyle name="Normal 2 2 4 3 2 6 2" xfId="10054"/>
    <cellStyle name="Normal 2 2 4 3 2 6 2 2" xfId="17052"/>
    <cellStyle name="Normal 2 2 4 3 2 6 2 3" xfId="24019"/>
    <cellStyle name="Normal 2 2 4 3 2 6 2 4" xfId="30986"/>
    <cellStyle name="Normal 2 2 4 3 2 6 2 5" xfId="37955"/>
    <cellStyle name="Normal 2 2 4 3 2 6 3" xfId="14732"/>
    <cellStyle name="Normal 2 2 4 3 2 6 3 2" xfId="21699"/>
    <cellStyle name="Normal 2 2 4 3 2 6 3 3" xfId="28666"/>
    <cellStyle name="Normal 2 2 4 3 2 6 3 4" xfId="35635"/>
    <cellStyle name="Normal 2 2 4 3 2 6 4" xfId="12410"/>
    <cellStyle name="Normal 2 2 4 3 2 6 5" xfId="19377"/>
    <cellStyle name="Normal 2 2 4 3 2 6 6" xfId="26344"/>
    <cellStyle name="Normal 2 2 4 3 2 6 7" xfId="33312"/>
    <cellStyle name="Normal 2 2 4 3 2 7" xfId="6822"/>
    <cellStyle name="Normal 2 2 4 3 2 7 2" xfId="10792"/>
    <cellStyle name="Normal 2 2 4 3 2 7 2 2" xfId="17766"/>
    <cellStyle name="Normal 2 2 4 3 2 7 2 3" xfId="24733"/>
    <cellStyle name="Normal 2 2 4 3 2 7 2 4" xfId="31700"/>
    <cellStyle name="Normal 2 2 4 3 2 7 2 5" xfId="38669"/>
    <cellStyle name="Normal 2 2 4 3 2 7 3" xfId="15446"/>
    <cellStyle name="Normal 2 2 4 3 2 7 3 2" xfId="22413"/>
    <cellStyle name="Normal 2 2 4 3 2 7 3 3" xfId="29380"/>
    <cellStyle name="Normal 2 2 4 3 2 7 3 4" xfId="36349"/>
    <cellStyle name="Normal 2 2 4 3 2 7 4" xfId="13124"/>
    <cellStyle name="Normal 2 2 4 3 2 7 5" xfId="20091"/>
    <cellStyle name="Normal 2 2 4 3 2 7 6" xfId="27058"/>
    <cellStyle name="Normal 2 2 4 3 2 7 7" xfId="34027"/>
    <cellStyle name="Normal 2 2 4 3 2 8" xfId="7135"/>
    <cellStyle name="Normal 2 2 4 3 2 8 2" xfId="15619"/>
    <cellStyle name="Normal 2 2 4 3 2 8 2 2" xfId="22586"/>
    <cellStyle name="Normal 2 2 4 3 2 8 2 3" xfId="29553"/>
    <cellStyle name="Normal 2 2 4 3 2 8 2 4" xfId="36522"/>
    <cellStyle name="Normal 2 2 4 3 2 8 3" xfId="13297"/>
    <cellStyle name="Normal 2 2 4 3 2 8 4" xfId="20264"/>
    <cellStyle name="Normal 2 2 4 3 2 8 5" xfId="27231"/>
    <cellStyle name="Normal 2 2 4 3 2 8 6" xfId="34200"/>
    <cellStyle name="Normal 2 2 4 3 2 9" xfId="8018"/>
    <cellStyle name="Normal 2 2 4 3 2 9 2" xfId="15791"/>
    <cellStyle name="Normal 2 2 4 3 2 9 2 2" xfId="22758"/>
    <cellStyle name="Normal 2 2 4 3 2 9 2 3" xfId="29725"/>
    <cellStyle name="Normal 2 2 4 3 2 9 2 4" xfId="36694"/>
    <cellStyle name="Normal 2 2 4 3 2 9 3" xfId="11147"/>
    <cellStyle name="Normal 2 2 4 3 2 9 4" xfId="18114"/>
    <cellStyle name="Normal 2 2 4 3 2 9 5" xfId="25081"/>
    <cellStyle name="Normal 2 2 4 3 2 9 6" xfId="32049"/>
    <cellStyle name="Normal 2 2 4 3 3" xfId="3273"/>
    <cellStyle name="Normal 2 2 4 3 3 2" xfId="5212"/>
    <cellStyle name="Normal 2 2 4 3 3 2 2" xfId="10059"/>
    <cellStyle name="Normal 2 2 4 3 3 2 2 2" xfId="17057"/>
    <cellStyle name="Normal 2 2 4 3 3 2 2 3" xfId="24024"/>
    <cellStyle name="Normal 2 2 4 3 3 2 2 4" xfId="30991"/>
    <cellStyle name="Normal 2 2 4 3 3 2 2 5" xfId="37960"/>
    <cellStyle name="Normal 2 2 4 3 3 2 3" xfId="14737"/>
    <cellStyle name="Normal 2 2 4 3 3 2 3 2" xfId="21704"/>
    <cellStyle name="Normal 2 2 4 3 3 2 3 3" xfId="28671"/>
    <cellStyle name="Normal 2 2 4 3 3 2 3 4" xfId="35640"/>
    <cellStyle name="Normal 2 2 4 3 3 2 4" xfId="12415"/>
    <cellStyle name="Normal 2 2 4 3 3 2 5" xfId="19382"/>
    <cellStyle name="Normal 2 2 4 3 3 2 6" xfId="26349"/>
    <cellStyle name="Normal 2 2 4 3 3 2 7" xfId="33317"/>
    <cellStyle name="Normal 2 2 4 3 3 3" xfId="8907"/>
    <cellStyle name="Normal 2 2 4 3 3 3 2" xfId="15959"/>
    <cellStyle name="Normal 2 2 4 3 3 3 3" xfId="22926"/>
    <cellStyle name="Normal 2 2 4 3 3 3 4" xfId="29893"/>
    <cellStyle name="Normal 2 2 4 3 3 3 5" xfId="36862"/>
    <cellStyle name="Normal 2 2 4 3 3 4" xfId="13637"/>
    <cellStyle name="Normal 2 2 4 3 3 4 2" xfId="20604"/>
    <cellStyle name="Normal 2 2 4 3 3 4 3" xfId="27571"/>
    <cellStyle name="Normal 2 2 4 3 3 4 4" xfId="34540"/>
    <cellStyle name="Normal 2 2 4 3 3 5" xfId="11315"/>
    <cellStyle name="Normal 2 2 4 3 3 6" xfId="18282"/>
    <cellStyle name="Normal 2 2 4 3 3 7" xfId="25249"/>
    <cellStyle name="Normal 2 2 4 3 3 8" xfId="32217"/>
    <cellStyle name="Normal 2 2 4 3 4" xfId="3475"/>
    <cellStyle name="Normal 2 2 4 3 4 2" xfId="5213"/>
    <cellStyle name="Normal 2 2 4 3 4 2 2" xfId="10060"/>
    <cellStyle name="Normal 2 2 4 3 4 2 2 2" xfId="17058"/>
    <cellStyle name="Normal 2 2 4 3 4 2 2 3" xfId="24025"/>
    <cellStyle name="Normal 2 2 4 3 4 2 2 4" xfId="30992"/>
    <cellStyle name="Normal 2 2 4 3 4 2 2 5" xfId="37961"/>
    <cellStyle name="Normal 2 2 4 3 4 2 3" xfId="14738"/>
    <cellStyle name="Normal 2 2 4 3 4 2 3 2" xfId="21705"/>
    <cellStyle name="Normal 2 2 4 3 4 2 3 3" xfId="28672"/>
    <cellStyle name="Normal 2 2 4 3 4 2 3 4" xfId="35641"/>
    <cellStyle name="Normal 2 2 4 3 4 2 4" xfId="12416"/>
    <cellStyle name="Normal 2 2 4 3 4 2 5" xfId="19383"/>
    <cellStyle name="Normal 2 2 4 3 4 2 6" xfId="26350"/>
    <cellStyle name="Normal 2 2 4 3 4 2 7" xfId="33318"/>
    <cellStyle name="Normal 2 2 4 3 4 3" xfId="9087"/>
    <cellStyle name="Normal 2 2 4 3 4 3 2" xfId="16126"/>
    <cellStyle name="Normal 2 2 4 3 4 3 3" xfId="23093"/>
    <cellStyle name="Normal 2 2 4 3 4 3 4" xfId="30060"/>
    <cellStyle name="Normal 2 2 4 3 4 3 5" xfId="37029"/>
    <cellStyle name="Normal 2 2 4 3 4 4" xfId="13806"/>
    <cellStyle name="Normal 2 2 4 3 4 4 2" xfId="20773"/>
    <cellStyle name="Normal 2 2 4 3 4 4 3" xfId="27740"/>
    <cellStyle name="Normal 2 2 4 3 4 4 4" xfId="34709"/>
    <cellStyle name="Normal 2 2 4 3 4 5" xfId="11484"/>
    <cellStyle name="Normal 2 2 4 3 4 6" xfId="18451"/>
    <cellStyle name="Normal 2 2 4 3 4 7" xfId="25418"/>
    <cellStyle name="Normal 2 2 4 3 4 8" xfId="32386"/>
    <cellStyle name="Normal 2 2 4 3 5" xfId="3650"/>
    <cellStyle name="Normal 2 2 4 3 5 2" xfId="5214"/>
    <cellStyle name="Normal 2 2 4 3 5 2 2" xfId="10061"/>
    <cellStyle name="Normal 2 2 4 3 5 2 2 2" xfId="17059"/>
    <cellStyle name="Normal 2 2 4 3 5 2 2 3" xfId="24026"/>
    <cellStyle name="Normal 2 2 4 3 5 2 2 4" xfId="30993"/>
    <cellStyle name="Normal 2 2 4 3 5 2 2 5" xfId="37962"/>
    <cellStyle name="Normal 2 2 4 3 5 2 3" xfId="14739"/>
    <cellStyle name="Normal 2 2 4 3 5 2 3 2" xfId="21706"/>
    <cellStyle name="Normal 2 2 4 3 5 2 3 3" xfId="28673"/>
    <cellStyle name="Normal 2 2 4 3 5 2 3 4" xfId="35642"/>
    <cellStyle name="Normal 2 2 4 3 5 2 4" xfId="12417"/>
    <cellStyle name="Normal 2 2 4 3 5 2 5" xfId="19384"/>
    <cellStyle name="Normal 2 2 4 3 5 2 6" xfId="26351"/>
    <cellStyle name="Normal 2 2 4 3 5 2 7" xfId="33319"/>
    <cellStyle name="Normal 2 2 4 3 5 3" xfId="9258"/>
    <cellStyle name="Normal 2 2 4 3 5 3 2" xfId="16297"/>
    <cellStyle name="Normal 2 2 4 3 5 3 3" xfId="23264"/>
    <cellStyle name="Normal 2 2 4 3 5 3 4" xfId="30231"/>
    <cellStyle name="Normal 2 2 4 3 5 3 5" xfId="37200"/>
    <cellStyle name="Normal 2 2 4 3 5 4" xfId="13977"/>
    <cellStyle name="Normal 2 2 4 3 5 4 2" xfId="20944"/>
    <cellStyle name="Normal 2 2 4 3 5 4 3" xfId="27911"/>
    <cellStyle name="Normal 2 2 4 3 5 4 4" xfId="34880"/>
    <cellStyle name="Normal 2 2 4 3 5 5" xfId="11655"/>
    <cellStyle name="Normal 2 2 4 3 5 6" xfId="18622"/>
    <cellStyle name="Normal 2 2 4 3 5 7" xfId="25589"/>
    <cellStyle name="Normal 2 2 4 3 5 8" xfId="32557"/>
    <cellStyle name="Normal 2 2 4 3 6" xfId="3927"/>
    <cellStyle name="Normal 2 2 4 3 6 2" xfId="5215"/>
    <cellStyle name="Normal 2 2 4 3 6 2 2" xfId="10062"/>
    <cellStyle name="Normal 2 2 4 3 6 2 2 2" xfId="17060"/>
    <cellStyle name="Normal 2 2 4 3 6 2 2 3" xfId="24027"/>
    <cellStyle name="Normal 2 2 4 3 6 2 2 4" xfId="30994"/>
    <cellStyle name="Normal 2 2 4 3 6 2 2 5" xfId="37963"/>
    <cellStyle name="Normal 2 2 4 3 6 2 3" xfId="14740"/>
    <cellStyle name="Normal 2 2 4 3 6 2 3 2" xfId="21707"/>
    <cellStyle name="Normal 2 2 4 3 6 2 3 3" xfId="28674"/>
    <cellStyle name="Normal 2 2 4 3 6 2 3 4" xfId="35643"/>
    <cellStyle name="Normal 2 2 4 3 6 2 4" xfId="12418"/>
    <cellStyle name="Normal 2 2 4 3 6 2 5" xfId="19385"/>
    <cellStyle name="Normal 2 2 4 3 6 2 6" xfId="26352"/>
    <cellStyle name="Normal 2 2 4 3 6 2 7" xfId="33320"/>
    <cellStyle name="Normal 2 2 4 3 6 3" xfId="9533"/>
    <cellStyle name="Normal 2 2 4 3 6 3 2" xfId="16569"/>
    <cellStyle name="Normal 2 2 4 3 6 3 3" xfId="23536"/>
    <cellStyle name="Normal 2 2 4 3 6 3 4" xfId="30503"/>
    <cellStyle name="Normal 2 2 4 3 6 3 5" xfId="37472"/>
    <cellStyle name="Normal 2 2 4 3 6 4" xfId="14249"/>
    <cellStyle name="Normal 2 2 4 3 6 4 2" xfId="21216"/>
    <cellStyle name="Normal 2 2 4 3 6 4 3" xfId="28183"/>
    <cellStyle name="Normal 2 2 4 3 6 4 4" xfId="35152"/>
    <cellStyle name="Normal 2 2 4 3 6 5" xfId="11927"/>
    <cellStyle name="Normal 2 2 4 3 6 6" xfId="18894"/>
    <cellStyle name="Normal 2 2 4 3 6 7" xfId="25861"/>
    <cellStyle name="Normal 2 2 4 3 6 8" xfId="32829"/>
    <cellStyle name="Normal 2 2 4 3 7" xfId="5206"/>
    <cellStyle name="Normal 2 2 4 3 7 2" xfId="10053"/>
    <cellStyle name="Normal 2 2 4 3 7 2 2" xfId="17051"/>
    <cellStyle name="Normal 2 2 4 3 7 2 3" xfId="24018"/>
    <cellStyle name="Normal 2 2 4 3 7 2 4" xfId="30985"/>
    <cellStyle name="Normal 2 2 4 3 7 2 5" xfId="37954"/>
    <cellStyle name="Normal 2 2 4 3 7 3" xfId="14731"/>
    <cellStyle name="Normal 2 2 4 3 7 3 2" xfId="21698"/>
    <cellStyle name="Normal 2 2 4 3 7 3 3" xfId="28665"/>
    <cellStyle name="Normal 2 2 4 3 7 3 4" xfId="35634"/>
    <cellStyle name="Normal 2 2 4 3 7 4" xfId="12409"/>
    <cellStyle name="Normal 2 2 4 3 7 5" xfId="19376"/>
    <cellStyle name="Normal 2 2 4 3 7 6" xfId="26343"/>
    <cellStyle name="Normal 2 2 4 3 7 7" xfId="33311"/>
    <cellStyle name="Normal 2 2 4 3 8" xfId="6821"/>
    <cellStyle name="Normal 2 2 4 3 8 2" xfId="10791"/>
    <cellStyle name="Normal 2 2 4 3 8 2 2" xfId="17765"/>
    <cellStyle name="Normal 2 2 4 3 8 2 3" xfId="24732"/>
    <cellStyle name="Normal 2 2 4 3 8 2 4" xfId="31699"/>
    <cellStyle name="Normal 2 2 4 3 8 2 5" xfId="38668"/>
    <cellStyle name="Normal 2 2 4 3 8 3" xfId="15445"/>
    <cellStyle name="Normal 2 2 4 3 8 3 2" xfId="22412"/>
    <cellStyle name="Normal 2 2 4 3 8 3 3" xfId="29379"/>
    <cellStyle name="Normal 2 2 4 3 8 3 4" xfId="36348"/>
    <cellStyle name="Normal 2 2 4 3 8 4" xfId="13123"/>
    <cellStyle name="Normal 2 2 4 3 8 5" xfId="20090"/>
    <cellStyle name="Normal 2 2 4 3 8 6" xfId="27057"/>
    <cellStyle name="Normal 2 2 4 3 8 7" xfId="34026"/>
    <cellStyle name="Normal 2 2 4 3 9" xfId="7134"/>
    <cellStyle name="Normal 2 2 4 3 9 2" xfId="15618"/>
    <cellStyle name="Normal 2 2 4 3 9 2 2" xfId="22585"/>
    <cellStyle name="Normal 2 2 4 3 9 2 3" xfId="29552"/>
    <cellStyle name="Normal 2 2 4 3 9 2 4" xfId="36521"/>
    <cellStyle name="Normal 2 2 4 3 9 3" xfId="13296"/>
    <cellStyle name="Normal 2 2 4 3 9 4" xfId="20263"/>
    <cellStyle name="Normal 2 2 4 3 9 5" xfId="27230"/>
    <cellStyle name="Normal 2 2 4 3 9 6" xfId="34199"/>
    <cellStyle name="Normal 2 2 4 4" xfId="3829"/>
    <cellStyle name="Normal 2 2 4 4 2" xfId="5216"/>
    <cellStyle name="Normal 2 2 4 4 2 2" xfId="10063"/>
    <cellStyle name="Normal 2 2 4 4 2 2 2" xfId="17061"/>
    <cellStyle name="Normal 2 2 4 4 2 2 3" xfId="24028"/>
    <cellStyle name="Normal 2 2 4 4 2 2 4" xfId="30995"/>
    <cellStyle name="Normal 2 2 4 4 2 2 5" xfId="37964"/>
    <cellStyle name="Normal 2 2 4 4 2 3" xfId="14741"/>
    <cellStyle name="Normal 2 2 4 4 2 3 2" xfId="21708"/>
    <cellStyle name="Normal 2 2 4 4 2 3 3" xfId="28675"/>
    <cellStyle name="Normal 2 2 4 4 2 3 4" xfId="35644"/>
    <cellStyle name="Normal 2 2 4 4 2 4" xfId="12419"/>
    <cellStyle name="Normal 2 2 4 4 2 5" xfId="19386"/>
    <cellStyle name="Normal 2 2 4 4 2 6" xfId="26353"/>
    <cellStyle name="Normal 2 2 4 4 2 7" xfId="33321"/>
    <cellStyle name="Normal 2 2 4 4 3" xfId="9435"/>
    <cellStyle name="Normal 2 2 4 4 3 2" xfId="16473"/>
    <cellStyle name="Normal 2 2 4 4 3 3" xfId="23440"/>
    <cellStyle name="Normal 2 2 4 4 3 4" xfId="30407"/>
    <cellStyle name="Normal 2 2 4 4 3 5" xfId="37376"/>
    <cellStyle name="Normal 2 2 4 4 4" xfId="14153"/>
    <cellStyle name="Normal 2 2 4 4 4 2" xfId="21120"/>
    <cellStyle name="Normal 2 2 4 4 4 3" xfId="28087"/>
    <cellStyle name="Normal 2 2 4 4 4 4" xfId="35056"/>
    <cellStyle name="Normal 2 2 4 4 5" xfId="11831"/>
    <cellStyle name="Normal 2 2 4 4 6" xfId="18798"/>
    <cellStyle name="Normal 2 2 4 4 7" xfId="25765"/>
    <cellStyle name="Normal 2 2 4 4 8" xfId="32733"/>
    <cellStyle name="Normal 2 2 4 5" xfId="5203"/>
    <cellStyle name="Normal 2 2 4 6" xfId="8015"/>
    <cellStyle name="Normal 2 2 5" xfId="1656"/>
    <cellStyle name="Normal 2 2 5 10" xfId="7136"/>
    <cellStyle name="Normal 2 2 5 10 2" xfId="15620"/>
    <cellStyle name="Normal 2 2 5 10 2 2" xfId="22587"/>
    <cellStyle name="Normal 2 2 5 10 2 3" xfId="29554"/>
    <cellStyle name="Normal 2 2 5 10 2 4" xfId="36523"/>
    <cellStyle name="Normal 2 2 5 10 3" xfId="13298"/>
    <cellStyle name="Normal 2 2 5 10 4" xfId="20265"/>
    <cellStyle name="Normal 2 2 5 10 5" xfId="27232"/>
    <cellStyle name="Normal 2 2 5 10 6" xfId="34201"/>
    <cellStyle name="Normal 2 2 5 11" xfId="8019"/>
    <cellStyle name="Normal 2 2 5 11 2" xfId="15792"/>
    <cellStyle name="Normal 2 2 5 11 2 2" xfId="22759"/>
    <cellStyle name="Normal 2 2 5 11 2 3" xfId="29726"/>
    <cellStyle name="Normal 2 2 5 11 2 4" xfId="36695"/>
    <cellStyle name="Normal 2 2 5 11 3" xfId="11148"/>
    <cellStyle name="Normal 2 2 5 11 4" xfId="18115"/>
    <cellStyle name="Normal 2 2 5 11 5" xfId="25082"/>
    <cellStyle name="Normal 2 2 5 11 6" xfId="32050"/>
    <cellStyle name="Normal 2 2 5 12" xfId="13470"/>
    <cellStyle name="Normal 2 2 5 12 2" xfId="20437"/>
    <cellStyle name="Normal 2 2 5 12 3" xfId="27404"/>
    <cellStyle name="Normal 2 2 5 12 4" xfId="34373"/>
    <cellStyle name="Normal 2 2 5 13" xfId="10976"/>
    <cellStyle name="Normal 2 2 5 14" xfId="17942"/>
    <cellStyle name="Normal 2 2 5 15" xfId="24910"/>
    <cellStyle name="Normal 2 2 5 16" xfId="31878"/>
    <cellStyle name="Normal 2 2 5 2" xfId="1657"/>
    <cellStyle name="Normal 2 2 5 2 10" xfId="8020"/>
    <cellStyle name="Normal 2 2 5 2 10 2" xfId="15793"/>
    <cellStyle name="Normal 2 2 5 2 10 2 2" xfId="22760"/>
    <cellStyle name="Normal 2 2 5 2 10 2 3" xfId="29727"/>
    <cellStyle name="Normal 2 2 5 2 10 2 4" xfId="36696"/>
    <cellStyle name="Normal 2 2 5 2 10 3" xfId="11149"/>
    <cellStyle name="Normal 2 2 5 2 10 4" xfId="18116"/>
    <cellStyle name="Normal 2 2 5 2 10 5" xfId="25083"/>
    <cellStyle name="Normal 2 2 5 2 10 6" xfId="32051"/>
    <cellStyle name="Normal 2 2 5 2 11" xfId="13471"/>
    <cellStyle name="Normal 2 2 5 2 11 2" xfId="20438"/>
    <cellStyle name="Normal 2 2 5 2 11 3" xfId="27405"/>
    <cellStyle name="Normal 2 2 5 2 11 4" xfId="34374"/>
    <cellStyle name="Normal 2 2 5 2 12" xfId="10977"/>
    <cellStyle name="Normal 2 2 5 2 13" xfId="17943"/>
    <cellStyle name="Normal 2 2 5 2 14" xfId="24911"/>
    <cellStyle name="Normal 2 2 5 2 15" xfId="31879"/>
    <cellStyle name="Normal 2 2 5 2 2" xfId="1658"/>
    <cellStyle name="Normal 2 2 5 2 2 10" xfId="13472"/>
    <cellStyle name="Normal 2 2 5 2 2 10 2" xfId="20439"/>
    <cellStyle name="Normal 2 2 5 2 2 10 3" xfId="27406"/>
    <cellStyle name="Normal 2 2 5 2 2 10 4" xfId="34375"/>
    <cellStyle name="Normal 2 2 5 2 2 11" xfId="10978"/>
    <cellStyle name="Normal 2 2 5 2 2 12" xfId="17944"/>
    <cellStyle name="Normal 2 2 5 2 2 13" xfId="24912"/>
    <cellStyle name="Normal 2 2 5 2 2 14" xfId="31880"/>
    <cellStyle name="Normal 2 2 5 2 2 2" xfId="3277"/>
    <cellStyle name="Normal 2 2 5 2 2 2 2" xfId="5220"/>
    <cellStyle name="Normal 2 2 5 2 2 2 2 2" xfId="10067"/>
    <cellStyle name="Normal 2 2 5 2 2 2 2 2 2" xfId="17065"/>
    <cellStyle name="Normal 2 2 5 2 2 2 2 2 3" xfId="24032"/>
    <cellStyle name="Normal 2 2 5 2 2 2 2 2 4" xfId="30999"/>
    <cellStyle name="Normal 2 2 5 2 2 2 2 2 5" xfId="37968"/>
    <cellStyle name="Normal 2 2 5 2 2 2 2 3" xfId="14745"/>
    <cellStyle name="Normal 2 2 5 2 2 2 2 3 2" xfId="21712"/>
    <cellStyle name="Normal 2 2 5 2 2 2 2 3 3" xfId="28679"/>
    <cellStyle name="Normal 2 2 5 2 2 2 2 3 4" xfId="35648"/>
    <cellStyle name="Normal 2 2 5 2 2 2 2 4" xfId="12423"/>
    <cellStyle name="Normal 2 2 5 2 2 2 2 5" xfId="19390"/>
    <cellStyle name="Normal 2 2 5 2 2 2 2 6" xfId="26357"/>
    <cellStyle name="Normal 2 2 5 2 2 2 2 7" xfId="33325"/>
    <cellStyle name="Normal 2 2 5 2 2 2 3" xfId="8911"/>
    <cellStyle name="Normal 2 2 5 2 2 2 3 2" xfId="15963"/>
    <cellStyle name="Normal 2 2 5 2 2 2 3 3" xfId="22930"/>
    <cellStyle name="Normal 2 2 5 2 2 2 3 4" xfId="29897"/>
    <cellStyle name="Normal 2 2 5 2 2 2 3 5" xfId="36866"/>
    <cellStyle name="Normal 2 2 5 2 2 2 4" xfId="13641"/>
    <cellStyle name="Normal 2 2 5 2 2 2 4 2" xfId="20608"/>
    <cellStyle name="Normal 2 2 5 2 2 2 4 3" xfId="27575"/>
    <cellStyle name="Normal 2 2 5 2 2 2 4 4" xfId="34544"/>
    <cellStyle name="Normal 2 2 5 2 2 2 5" xfId="11319"/>
    <cellStyle name="Normal 2 2 5 2 2 2 6" xfId="18286"/>
    <cellStyle name="Normal 2 2 5 2 2 2 7" xfId="25253"/>
    <cellStyle name="Normal 2 2 5 2 2 2 8" xfId="32221"/>
    <cellStyle name="Normal 2 2 5 2 2 3" xfId="3479"/>
    <cellStyle name="Normal 2 2 5 2 2 3 2" xfId="5221"/>
    <cellStyle name="Normal 2 2 5 2 2 3 2 2" xfId="10068"/>
    <cellStyle name="Normal 2 2 5 2 2 3 2 2 2" xfId="17066"/>
    <cellStyle name="Normal 2 2 5 2 2 3 2 2 3" xfId="24033"/>
    <cellStyle name="Normal 2 2 5 2 2 3 2 2 4" xfId="31000"/>
    <cellStyle name="Normal 2 2 5 2 2 3 2 2 5" xfId="37969"/>
    <cellStyle name="Normal 2 2 5 2 2 3 2 3" xfId="14746"/>
    <cellStyle name="Normal 2 2 5 2 2 3 2 3 2" xfId="21713"/>
    <cellStyle name="Normal 2 2 5 2 2 3 2 3 3" xfId="28680"/>
    <cellStyle name="Normal 2 2 5 2 2 3 2 3 4" xfId="35649"/>
    <cellStyle name="Normal 2 2 5 2 2 3 2 4" xfId="12424"/>
    <cellStyle name="Normal 2 2 5 2 2 3 2 5" xfId="19391"/>
    <cellStyle name="Normal 2 2 5 2 2 3 2 6" xfId="26358"/>
    <cellStyle name="Normal 2 2 5 2 2 3 2 7" xfId="33326"/>
    <cellStyle name="Normal 2 2 5 2 2 3 3" xfId="9091"/>
    <cellStyle name="Normal 2 2 5 2 2 3 3 2" xfId="16130"/>
    <cellStyle name="Normal 2 2 5 2 2 3 3 3" xfId="23097"/>
    <cellStyle name="Normal 2 2 5 2 2 3 3 4" xfId="30064"/>
    <cellStyle name="Normal 2 2 5 2 2 3 3 5" xfId="37033"/>
    <cellStyle name="Normal 2 2 5 2 2 3 4" xfId="13810"/>
    <cellStyle name="Normal 2 2 5 2 2 3 4 2" xfId="20777"/>
    <cellStyle name="Normal 2 2 5 2 2 3 4 3" xfId="27744"/>
    <cellStyle name="Normal 2 2 5 2 2 3 4 4" xfId="34713"/>
    <cellStyle name="Normal 2 2 5 2 2 3 5" xfId="11488"/>
    <cellStyle name="Normal 2 2 5 2 2 3 6" xfId="18455"/>
    <cellStyle name="Normal 2 2 5 2 2 3 7" xfId="25422"/>
    <cellStyle name="Normal 2 2 5 2 2 3 8" xfId="32390"/>
    <cellStyle name="Normal 2 2 5 2 2 4" xfId="3654"/>
    <cellStyle name="Normal 2 2 5 2 2 4 2" xfId="5222"/>
    <cellStyle name="Normal 2 2 5 2 2 4 2 2" xfId="10069"/>
    <cellStyle name="Normal 2 2 5 2 2 4 2 2 2" xfId="17067"/>
    <cellStyle name="Normal 2 2 5 2 2 4 2 2 3" xfId="24034"/>
    <cellStyle name="Normal 2 2 5 2 2 4 2 2 4" xfId="31001"/>
    <cellStyle name="Normal 2 2 5 2 2 4 2 2 5" xfId="37970"/>
    <cellStyle name="Normal 2 2 5 2 2 4 2 3" xfId="14747"/>
    <cellStyle name="Normal 2 2 5 2 2 4 2 3 2" xfId="21714"/>
    <cellStyle name="Normal 2 2 5 2 2 4 2 3 3" xfId="28681"/>
    <cellStyle name="Normal 2 2 5 2 2 4 2 3 4" xfId="35650"/>
    <cellStyle name="Normal 2 2 5 2 2 4 2 4" xfId="12425"/>
    <cellStyle name="Normal 2 2 5 2 2 4 2 5" xfId="19392"/>
    <cellStyle name="Normal 2 2 5 2 2 4 2 6" xfId="26359"/>
    <cellStyle name="Normal 2 2 5 2 2 4 2 7" xfId="33327"/>
    <cellStyle name="Normal 2 2 5 2 2 4 3" xfId="9262"/>
    <cellStyle name="Normal 2 2 5 2 2 4 3 2" xfId="16301"/>
    <cellStyle name="Normal 2 2 5 2 2 4 3 3" xfId="23268"/>
    <cellStyle name="Normal 2 2 5 2 2 4 3 4" xfId="30235"/>
    <cellStyle name="Normal 2 2 5 2 2 4 3 5" xfId="37204"/>
    <cellStyle name="Normal 2 2 5 2 2 4 4" xfId="13981"/>
    <cellStyle name="Normal 2 2 5 2 2 4 4 2" xfId="20948"/>
    <cellStyle name="Normal 2 2 5 2 2 4 4 3" xfId="27915"/>
    <cellStyle name="Normal 2 2 5 2 2 4 4 4" xfId="34884"/>
    <cellStyle name="Normal 2 2 5 2 2 4 5" xfId="11659"/>
    <cellStyle name="Normal 2 2 5 2 2 4 6" xfId="18626"/>
    <cellStyle name="Normal 2 2 5 2 2 4 7" xfId="25593"/>
    <cellStyle name="Normal 2 2 5 2 2 4 8" xfId="32561"/>
    <cellStyle name="Normal 2 2 5 2 2 5" xfId="3931"/>
    <cellStyle name="Normal 2 2 5 2 2 5 2" xfId="5223"/>
    <cellStyle name="Normal 2 2 5 2 2 5 2 2" xfId="10070"/>
    <cellStyle name="Normal 2 2 5 2 2 5 2 2 2" xfId="17068"/>
    <cellStyle name="Normal 2 2 5 2 2 5 2 2 3" xfId="24035"/>
    <cellStyle name="Normal 2 2 5 2 2 5 2 2 4" xfId="31002"/>
    <cellStyle name="Normal 2 2 5 2 2 5 2 2 5" xfId="37971"/>
    <cellStyle name="Normal 2 2 5 2 2 5 2 3" xfId="14748"/>
    <cellStyle name="Normal 2 2 5 2 2 5 2 3 2" xfId="21715"/>
    <cellStyle name="Normal 2 2 5 2 2 5 2 3 3" xfId="28682"/>
    <cellStyle name="Normal 2 2 5 2 2 5 2 3 4" xfId="35651"/>
    <cellStyle name="Normal 2 2 5 2 2 5 2 4" xfId="12426"/>
    <cellStyle name="Normal 2 2 5 2 2 5 2 5" xfId="19393"/>
    <cellStyle name="Normal 2 2 5 2 2 5 2 6" xfId="26360"/>
    <cellStyle name="Normal 2 2 5 2 2 5 2 7" xfId="33328"/>
    <cellStyle name="Normal 2 2 5 2 2 5 3" xfId="9537"/>
    <cellStyle name="Normal 2 2 5 2 2 5 3 2" xfId="16573"/>
    <cellStyle name="Normal 2 2 5 2 2 5 3 3" xfId="23540"/>
    <cellStyle name="Normal 2 2 5 2 2 5 3 4" xfId="30507"/>
    <cellStyle name="Normal 2 2 5 2 2 5 3 5" xfId="37476"/>
    <cellStyle name="Normal 2 2 5 2 2 5 4" xfId="14253"/>
    <cellStyle name="Normal 2 2 5 2 2 5 4 2" xfId="21220"/>
    <cellStyle name="Normal 2 2 5 2 2 5 4 3" xfId="28187"/>
    <cellStyle name="Normal 2 2 5 2 2 5 4 4" xfId="35156"/>
    <cellStyle name="Normal 2 2 5 2 2 5 5" xfId="11931"/>
    <cellStyle name="Normal 2 2 5 2 2 5 6" xfId="18898"/>
    <cellStyle name="Normal 2 2 5 2 2 5 7" xfId="25865"/>
    <cellStyle name="Normal 2 2 5 2 2 5 8" xfId="32833"/>
    <cellStyle name="Normal 2 2 5 2 2 6" xfId="5219"/>
    <cellStyle name="Normal 2 2 5 2 2 6 2" xfId="10066"/>
    <cellStyle name="Normal 2 2 5 2 2 6 2 2" xfId="17064"/>
    <cellStyle name="Normal 2 2 5 2 2 6 2 3" xfId="24031"/>
    <cellStyle name="Normal 2 2 5 2 2 6 2 4" xfId="30998"/>
    <cellStyle name="Normal 2 2 5 2 2 6 2 5" xfId="37967"/>
    <cellStyle name="Normal 2 2 5 2 2 6 3" xfId="14744"/>
    <cellStyle name="Normal 2 2 5 2 2 6 3 2" xfId="21711"/>
    <cellStyle name="Normal 2 2 5 2 2 6 3 3" xfId="28678"/>
    <cellStyle name="Normal 2 2 5 2 2 6 3 4" xfId="35647"/>
    <cellStyle name="Normal 2 2 5 2 2 6 4" xfId="12422"/>
    <cellStyle name="Normal 2 2 5 2 2 6 5" xfId="19389"/>
    <cellStyle name="Normal 2 2 5 2 2 6 6" xfId="26356"/>
    <cellStyle name="Normal 2 2 5 2 2 6 7" xfId="33324"/>
    <cellStyle name="Normal 2 2 5 2 2 7" xfId="6825"/>
    <cellStyle name="Normal 2 2 5 2 2 7 2" xfId="10795"/>
    <cellStyle name="Normal 2 2 5 2 2 7 2 2" xfId="17769"/>
    <cellStyle name="Normal 2 2 5 2 2 7 2 3" xfId="24736"/>
    <cellStyle name="Normal 2 2 5 2 2 7 2 4" xfId="31703"/>
    <cellStyle name="Normal 2 2 5 2 2 7 2 5" xfId="38672"/>
    <cellStyle name="Normal 2 2 5 2 2 7 3" xfId="15449"/>
    <cellStyle name="Normal 2 2 5 2 2 7 3 2" xfId="22416"/>
    <cellStyle name="Normal 2 2 5 2 2 7 3 3" xfId="29383"/>
    <cellStyle name="Normal 2 2 5 2 2 7 3 4" xfId="36352"/>
    <cellStyle name="Normal 2 2 5 2 2 7 4" xfId="13127"/>
    <cellStyle name="Normal 2 2 5 2 2 7 5" xfId="20094"/>
    <cellStyle name="Normal 2 2 5 2 2 7 6" xfId="27061"/>
    <cellStyle name="Normal 2 2 5 2 2 7 7" xfId="34030"/>
    <cellStyle name="Normal 2 2 5 2 2 8" xfId="7138"/>
    <cellStyle name="Normal 2 2 5 2 2 8 2" xfId="15622"/>
    <cellStyle name="Normal 2 2 5 2 2 8 2 2" xfId="22589"/>
    <cellStyle name="Normal 2 2 5 2 2 8 2 3" xfId="29556"/>
    <cellStyle name="Normal 2 2 5 2 2 8 2 4" xfId="36525"/>
    <cellStyle name="Normal 2 2 5 2 2 8 3" xfId="13300"/>
    <cellStyle name="Normal 2 2 5 2 2 8 4" xfId="20267"/>
    <cellStyle name="Normal 2 2 5 2 2 8 5" xfId="27234"/>
    <cellStyle name="Normal 2 2 5 2 2 8 6" xfId="34203"/>
    <cellStyle name="Normal 2 2 5 2 2 9" xfId="8021"/>
    <cellStyle name="Normal 2 2 5 2 2 9 2" xfId="15794"/>
    <cellStyle name="Normal 2 2 5 2 2 9 2 2" xfId="22761"/>
    <cellStyle name="Normal 2 2 5 2 2 9 2 3" xfId="29728"/>
    <cellStyle name="Normal 2 2 5 2 2 9 2 4" xfId="36697"/>
    <cellStyle name="Normal 2 2 5 2 2 9 3" xfId="11150"/>
    <cellStyle name="Normal 2 2 5 2 2 9 4" xfId="18117"/>
    <cellStyle name="Normal 2 2 5 2 2 9 5" xfId="25084"/>
    <cellStyle name="Normal 2 2 5 2 2 9 6" xfId="32052"/>
    <cellStyle name="Normal 2 2 5 2 3" xfId="3276"/>
    <cellStyle name="Normal 2 2 5 2 3 2" xfId="3826"/>
    <cellStyle name="Normal 2 2 5 2 3 2 2" xfId="5225"/>
    <cellStyle name="Normal 2 2 5 2 3 2 2 2" xfId="10072"/>
    <cellStyle name="Normal 2 2 5 2 3 2 2 2 2" xfId="17070"/>
    <cellStyle name="Normal 2 2 5 2 3 2 2 2 3" xfId="24037"/>
    <cellStyle name="Normal 2 2 5 2 3 2 2 2 4" xfId="31004"/>
    <cellStyle name="Normal 2 2 5 2 3 2 2 2 5" xfId="37973"/>
    <cellStyle name="Normal 2 2 5 2 3 2 2 3" xfId="14750"/>
    <cellStyle name="Normal 2 2 5 2 3 2 2 3 2" xfId="21717"/>
    <cellStyle name="Normal 2 2 5 2 3 2 2 3 3" xfId="28684"/>
    <cellStyle name="Normal 2 2 5 2 3 2 2 3 4" xfId="35653"/>
    <cellStyle name="Normal 2 2 5 2 3 2 2 4" xfId="12428"/>
    <cellStyle name="Normal 2 2 5 2 3 2 2 5" xfId="19395"/>
    <cellStyle name="Normal 2 2 5 2 3 2 2 6" xfId="26362"/>
    <cellStyle name="Normal 2 2 5 2 3 2 2 7" xfId="33330"/>
    <cellStyle name="Normal 2 2 5 2 3 2 3" xfId="9432"/>
    <cellStyle name="Normal 2 2 5 2 3 2 3 2" xfId="16470"/>
    <cellStyle name="Normal 2 2 5 2 3 2 3 3" xfId="23437"/>
    <cellStyle name="Normal 2 2 5 2 3 2 3 4" xfId="30404"/>
    <cellStyle name="Normal 2 2 5 2 3 2 3 5" xfId="37373"/>
    <cellStyle name="Normal 2 2 5 2 3 2 4" xfId="14150"/>
    <cellStyle name="Normal 2 2 5 2 3 2 4 2" xfId="21117"/>
    <cellStyle name="Normal 2 2 5 2 3 2 4 3" xfId="28084"/>
    <cellStyle name="Normal 2 2 5 2 3 2 4 4" xfId="35053"/>
    <cellStyle name="Normal 2 2 5 2 3 2 5" xfId="11828"/>
    <cellStyle name="Normal 2 2 5 2 3 2 6" xfId="18795"/>
    <cellStyle name="Normal 2 2 5 2 3 2 7" xfId="25762"/>
    <cellStyle name="Normal 2 2 5 2 3 2 8" xfId="32730"/>
    <cellStyle name="Normal 2 2 5 2 3 3" xfId="5224"/>
    <cellStyle name="Normal 2 2 5 2 3 3 2" xfId="10071"/>
    <cellStyle name="Normal 2 2 5 2 3 3 2 2" xfId="17069"/>
    <cellStyle name="Normal 2 2 5 2 3 3 2 3" xfId="24036"/>
    <cellStyle name="Normal 2 2 5 2 3 3 2 4" xfId="31003"/>
    <cellStyle name="Normal 2 2 5 2 3 3 2 5" xfId="37972"/>
    <cellStyle name="Normal 2 2 5 2 3 3 3" xfId="14749"/>
    <cellStyle name="Normal 2 2 5 2 3 3 3 2" xfId="21716"/>
    <cellStyle name="Normal 2 2 5 2 3 3 3 3" xfId="28683"/>
    <cellStyle name="Normal 2 2 5 2 3 3 3 4" xfId="35652"/>
    <cellStyle name="Normal 2 2 5 2 3 3 4" xfId="12427"/>
    <cellStyle name="Normal 2 2 5 2 3 3 5" xfId="19394"/>
    <cellStyle name="Normal 2 2 5 2 3 3 6" xfId="26361"/>
    <cellStyle name="Normal 2 2 5 2 3 3 7" xfId="33329"/>
    <cellStyle name="Normal 2 2 5 2 3 4" xfId="8910"/>
    <cellStyle name="Normal 2 2 5 2 3 4 2" xfId="15962"/>
    <cellStyle name="Normal 2 2 5 2 3 4 3" xfId="22929"/>
    <cellStyle name="Normal 2 2 5 2 3 4 4" xfId="29896"/>
    <cellStyle name="Normal 2 2 5 2 3 4 5" xfId="36865"/>
    <cellStyle name="Normal 2 2 5 2 3 5" xfId="13640"/>
    <cellStyle name="Normal 2 2 5 2 3 5 2" xfId="20607"/>
    <cellStyle name="Normal 2 2 5 2 3 5 3" xfId="27574"/>
    <cellStyle name="Normal 2 2 5 2 3 5 4" xfId="34543"/>
    <cellStyle name="Normal 2 2 5 2 3 6" xfId="11318"/>
    <cellStyle name="Normal 2 2 5 2 3 7" xfId="18285"/>
    <cellStyle name="Normal 2 2 5 2 3 8" xfId="25252"/>
    <cellStyle name="Normal 2 2 5 2 3 9" xfId="32220"/>
    <cellStyle name="Normal 2 2 5 2 4" xfId="3478"/>
    <cellStyle name="Normal 2 2 5 2 4 2" xfId="5226"/>
    <cellStyle name="Normal 2 2 5 2 4 2 2" xfId="10073"/>
    <cellStyle name="Normal 2 2 5 2 4 2 2 2" xfId="17071"/>
    <cellStyle name="Normal 2 2 5 2 4 2 2 3" xfId="24038"/>
    <cellStyle name="Normal 2 2 5 2 4 2 2 4" xfId="31005"/>
    <cellStyle name="Normal 2 2 5 2 4 2 2 5" xfId="37974"/>
    <cellStyle name="Normal 2 2 5 2 4 2 3" xfId="14751"/>
    <cellStyle name="Normal 2 2 5 2 4 2 3 2" xfId="21718"/>
    <cellStyle name="Normal 2 2 5 2 4 2 3 3" xfId="28685"/>
    <cellStyle name="Normal 2 2 5 2 4 2 3 4" xfId="35654"/>
    <cellStyle name="Normal 2 2 5 2 4 2 4" xfId="12429"/>
    <cellStyle name="Normal 2 2 5 2 4 2 5" xfId="19396"/>
    <cellStyle name="Normal 2 2 5 2 4 2 6" xfId="26363"/>
    <cellStyle name="Normal 2 2 5 2 4 2 7" xfId="33331"/>
    <cellStyle name="Normal 2 2 5 2 4 3" xfId="9090"/>
    <cellStyle name="Normal 2 2 5 2 4 3 2" xfId="16129"/>
    <cellStyle name="Normal 2 2 5 2 4 3 3" xfId="23096"/>
    <cellStyle name="Normal 2 2 5 2 4 3 4" xfId="30063"/>
    <cellStyle name="Normal 2 2 5 2 4 3 5" xfId="37032"/>
    <cellStyle name="Normal 2 2 5 2 4 4" xfId="13809"/>
    <cellStyle name="Normal 2 2 5 2 4 4 2" xfId="20776"/>
    <cellStyle name="Normal 2 2 5 2 4 4 3" xfId="27743"/>
    <cellStyle name="Normal 2 2 5 2 4 4 4" xfId="34712"/>
    <cellStyle name="Normal 2 2 5 2 4 5" xfId="11487"/>
    <cellStyle name="Normal 2 2 5 2 4 6" xfId="18454"/>
    <cellStyle name="Normal 2 2 5 2 4 7" xfId="25421"/>
    <cellStyle name="Normal 2 2 5 2 4 8" xfId="32389"/>
    <cellStyle name="Normal 2 2 5 2 5" xfId="3653"/>
    <cellStyle name="Normal 2 2 5 2 5 2" xfId="5227"/>
    <cellStyle name="Normal 2 2 5 2 5 2 2" xfId="10074"/>
    <cellStyle name="Normal 2 2 5 2 5 2 2 2" xfId="17072"/>
    <cellStyle name="Normal 2 2 5 2 5 2 2 3" xfId="24039"/>
    <cellStyle name="Normal 2 2 5 2 5 2 2 4" xfId="31006"/>
    <cellStyle name="Normal 2 2 5 2 5 2 2 5" xfId="37975"/>
    <cellStyle name="Normal 2 2 5 2 5 2 3" xfId="14752"/>
    <cellStyle name="Normal 2 2 5 2 5 2 3 2" xfId="21719"/>
    <cellStyle name="Normal 2 2 5 2 5 2 3 3" xfId="28686"/>
    <cellStyle name="Normal 2 2 5 2 5 2 3 4" xfId="35655"/>
    <cellStyle name="Normal 2 2 5 2 5 2 4" xfId="12430"/>
    <cellStyle name="Normal 2 2 5 2 5 2 5" xfId="19397"/>
    <cellStyle name="Normal 2 2 5 2 5 2 6" xfId="26364"/>
    <cellStyle name="Normal 2 2 5 2 5 2 7" xfId="33332"/>
    <cellStyle name="Normal 2 2 5 2 5 3" xfId="9261"/>
    <cellStyle name="Normal 2 2 5 2 5 3 2" xfId="16300"/>
    <cellStyle name="Normal 2 2 5 2 5 3 3" xfId="23267"/>
    <cellStyle name="Normal 2 2 5 2 5 3 4" xfId="30234"/>
    <cellStyle name="Normal 2 2 5 2 5 3 5" xfId="37203"/>
    <cellStyle name="Normal 2 2 5 2 5 4" xfId="13980"/>
    <cellStyle name="Normal 2 2 5 2 5 4 2" xfId="20947"/>
    <cellStyle name="Normal 2 2 5 2 5 4 3" xfId="27914"/>
    <cellStyle name="Normal 2 2 5 2 5 4 4" xfId="34883"/>
    <cellStyle name="Normal 2 2 5 2 5 5" xfId="11658"/>
    <cellStyle name="Normal 2 2 5 2 5 6" xfId="18625"/>
    <cellStyle name="Normal 2 2 5 2 5 7" xfId="25592"/>
    <cellStyle name="Normal 2 2 5 2 5 8" xfId="32560"/>
    <cellStyle name="Normal 2 2 5 2 6" xfId="3930"/>
    <cellStyle name="Normal 2 2 5 2 6 2" xfId="5228"/>
    <cellStyle name="Normal 2 2 5 2 6 2 2" xfId="10075"/>
    <cellStyle name="Normal 2 2 5 2 6 2 2 2" xfId="17073"/>
    <cellStyle name="Normal 2 2 5 2 6 2 2 3" xfId="24040"/>
    <cellStyle name="Normal 2 2 5 2 6 2 2 4" xfId="31007"/>
    <cellStyle name="Normal 2 2 5 2 6 2 2 5" xfId="37976"/>
    <cellStyle name="Normal 2 2 5 2 6 2 3" xfId="14753"/>
    <cellStyle name="Normal 2 2 5 2 6 2 3 2" xfId="21720"/>
    <cellStyle name="Normal 2 2 5 2 6 2 3 3" xfId="28687"/>
    <cellStyle name="Normal 2 2 5 2 6 2 3 4" xfId="35656"/>
    <cellStyle name="Normal 2 2 5 2 6 2 4" xfId="12431"/>
    <cellStyle name="Normal 2 2 5 2 6 2 5" xfId="19398"/>
    <cellStyle name="Normal 2 2 5 2 6 2 6" xfId="26365"/>
    <cellStyle name="Normal 2 2 5 2 6 2 7" xfId="33333"/>
    <cellStyle name="Normal 2 2 5 2 6 3" xfId="9536"/>
    <cellStyle name="Normal 2 2 5 2 6 3 2" xfId="16572"/>
    <cellStyle name="Normal 2 2 5 2 6 3 3" xfId="23539"/>
    <cellStyle name="Normal 2 2 5 2 6 3 4" xfId="30506"/>
    <cellStyle name="Normal 2 2 5 2 6 3 5" xfId="37475"/>
    <cellStyle name="Normal 2 2 5 2 6 4" xfId="14252"/>
    <cellStyle name="Normal 2 2 5 2 6 4 2" xfId="21219"/>
    <cellStyle name="Normal 2 2 5 2 6 4 3" xfId="28186"/>
    <cellStyle name="Normal 2 2 5 2 6 4 4" xfId="35155"/>
    <cellStyle name="Normal 2 2 5 2 6 5" xfId="11930"/>
    <cellStyle name="Normal 2 2 5 2 6 6" xfId="18897"/>
    <cellStyle name="Normal 2 2 5 2 6 7" xfId="25864"/>
    <cellStyle name="Normal 2 2 5 2 6 8" xfId="32832"/>
    <cellStyle name="Normal 2 2 5 2 7" xfId="5218"/>
    <cellStyle name="Normal 2 2 5 2 7 2" xfId="10065"/>
    <cellStyle name="Normal 2 2 5 2 7 2 2" xfId="17063"/>
    <cellStyle name="Normal 2 2 5 2 7 2 3" xfId="24030"/>
    <cellStyle name="Normal 2 2 5 2 7 2 4" xfId="30997"/>
    <cellStyle name="Normal 2 2 5 2 7 2 5" xfId="37966"/>
    <cellStyle name="Normal 2 2 5 2 7 3" xfId="14743"/>
    <cellStyle name="Normal 2 2 5 2 7 3 2" xfId="21710"/>
    <cellStyle name="Normal 2 2 5 2 7 3 3" xfId="28677"/>
    <cellStyle name="Normal 2 2 5 2 7 3 4" xfId="35646"/>
    <cellStyle name="Normal 2 2 5 2 7 4" xfId="12421"/>
    <cellStyle name="Normal 2 2 5 2 7 5" xfId="19388"/>
    <cellStyle name="Normal 2 2 5 2 7 6" xfId="26355"/>
    <cellStyle name="Normal 2 2 5 2 7 7" xfId="33323"/>
    <cellStyle name="Normal 2 2 5 2 8" xfId="6824"/>
    <cellStyle name="Normal 2 2 5 2 8 2" xfId="10794"/>
    <cellStyle name="Normal 2 2 5 2 8 2 2" xfId="17768"/>
    <cellStyle name="Normal 2 2 5 2 8 2 3" xfId="24735"/>
    <cellStyle name="Normal 2 2 5 2 8 2 4" xfId="31702"/>
    <cellStyle name="Normal 2 2 5 2 8 2 5" xfId="38671"/>
    <cellStyle name="Normal 2 2 5 2 8 3" xfId="15448"/>
    <cellStyle name="Normal 2 2 5 2 8 3 2" xfId="22415"/>
    <cellStyle name="Normal 2 2 5 2 8 3 3" xfId="29382"/>
    <cellStyle name="Normal 2 2 5 2 8 3 4" xfId="36351"/>
    <cellStyle name="Normal 2 2 5 2 8 4" xfId="13126"/>
    <cellStyle name="Normal 2 2 5 2 8 5" xfId="20093"/>
    <cellStyle name="Normal 2 2 5 2 8 6" xfId="27060"/>
    <cellStyle name="Normal 2 2 5 2 8 7" xfId="34029"/>
    <cellStyle name="Normal 2 2 5 2 9" xfId="7137"/>
    <cellStyle name="Normal 2 2 5 2 9 2" xfId="15621"/>
    <cellStyle name="Normal 2 2 5 2 9 2 2" xfId="22588"/>
    <cellStyle name="Normal 2 2 5 2 9 2 3" xfId="29555"/>
    <cellStyle name="Normal 2 2 5 2 9 2 4" xfId="36524"/>
    <cellStyle name="Normal 2 2 5 2 9 3" xfId="13299"/>
    <cellStyle name="Normal 2 2 5 2 9 4" xfId="20266"/>
    <cellStyle name="Normal 2 2 5 2 9 5" xfId="27233"/>
    <cellStyle name="Normal 2 2 5 2 9 6" xfId="34202"/>
    <cellStyle name="Normal 2 2 5 3" xfId="1659"/>
    <cellStyle name="Normal 2 2 5 3 10" xfId="13473"/>
    <cellStyle name="Normal 2 2 5 3 10 2" xfId="20440"/>
    <cellStyle name="Normal 2 2 5 3 10 3" xfId="27407"/>
    <cellStyle name="Normal 2 2 5 3 10 4" xfId="34376"/>
    <cellStyle name="Normal 2 2 5 3 11" xfId="10979"/>
    <cellStyle name="Normal 2 2 5 3 12" xfId="17945"/>
    <cellStyle name="Normal 2 2 5 3 13" xfId="24913"/>
    <cellStyle name="Normal 2 2 5 3 14" xfId="31881"/>
    <cellStyle name="Normal 2 2 5 3 2" xfId="3278"/>
    <cellStyle name="Normal 2 2 5 3 2 2" xfId="5230"/>
    <cellStyle name="Normal 2 2 5 3 2 2 2" xfId="10077"/>
    <cellStyle name="Normal 2 2 5 3 2 2 2 2" xfId="17075"/>
    <cellStyle name="Normal 2 2 5 3 2 2 2 3" xfId="24042"/>
    <cellStyle name="Normal 2 2 5 3 2 2 2 4" xfId="31009"/>
    <cellStyle name="Normal 2 2 5 3 2 2 2 5" xfId="37978"/>
    <cellStyle name="Normal 2 2 5 3 2 2 3" xfId="14755"/>
    <cellStyle name="Normal 2 2 5 3 2 2 3 2" xfId="21722"/>
    <cellStyle name="Normal 2 2 5 3 2 2 3 3" xfId="28689"/>
    <cellStyle name="Normal 2 2 5 3 2 2 3 4" xfId="35658"/>
    <cellStyle name="Normal 2 2 5 3 2 2 4" xfId="12433"/>
    <cellStyle name="Normal 2 2 5 3 2 2 5" xfId="19400"/>
    <cellStyle name="Normal 2 2 5 3 2 2 6" xfId="26367"/>
    <cellStyle name="Normal 2 2 5 3 2 2 7" xfId="33335"/>
    <cellStyle name="Normal 2 2 5 3 2 3" xfId="8912"/>
    <cellStyle name="Normal 2 2 5 3 2 3 2" xfId="15964"/>
    <cellStyle name="Normal 2 2 5 3 2 3 3" xfId="22931"/>
    <cellStyle name="Normal 2 2 5 3 2 3 4" xfId="29898"/>
    <cellStyle name="Normal 2 2 5 3 2 3 5" xfId="36867"/>
    <cellStyle name="Normal 2 2 5 3 2 4" xfId="13642"/>
    <cellStyle name="Normal 2 2 5 3 2 4 2" xfId="20609"/>
    <cellStyle name="Normal 2 2 5 3 2 4 3" xfId="27576"/>
    <cellStyle name="Normal 2 2 5 3 2 4 4" xfId="34545"/>
    <cellStyle name="Normal 2 2 5 3 2 5" xfId="11320"/>
    <cellStyle name="Normal 2 2 5 3 2 6" xfId="18287"/>
    <cellStyle name="Normal 2 2 5 3 2 7" xfId="25254"/>
    <cellStyle name="Normal 2 2 5 3 2 8" xfId="32222"/>
    <cellStyle name="Normal 2 2 5 3 3" xfId="3480"/>
    <cellStyle name="Normal 2 2 5 3 3 2" xfId="5231"/>
    <cellStyle name="Normal 2 2 5 3 3 2 2" xfId="10078"/>
    <cellStyle name="Normal 2 2 5 3 3 2 2 2" xfId="17076"/>
    <cellStyle name="Normal 2 2 5 3 3 2 2 3" xfId="24043"/>
    <cellStyle name="Normal 2 2 5 3 3 2 2 4" xfId="31010"/>
    <cellStyle name="Normal 2 2 5 3 3 2 2 5" xfId="37979"/>
    <cellStyle name="Normal 2 2 5 3 3 2 3" xfId="14756"/>
    <cellStyle name="Normal 2 2 5 3 3 2 3 2" xfId="21723"/>
    <cellStyle name="Normal 2 2 5 3 3 2 3 3" xfId="28690"/>
    <cellStyle name="Normal 2 2 5 3 3 2 3 4" xfId="35659"/>
    <cellStyle name="Normal 2 2 5 3 3 2 4" xfId="12434"/>
    <cellStyle name="Normal 2 2 5 3 3 2 5" xfId="19401"/>
    <cellStyle name="Normal 2 2 5 3 3 2 6" xfId="26368"/>
    <cellStyle name="Normal 2 2 5 3 3 2 7" xfId="33336"/>
    <cellStyle name="Normal 2 2 5 3 3 3" xfId="9092"/>
    <cellStyle name="Normal 2 2 5 3 3 3 2" xfId="16131"/>
    <cellStyle name="Normal 2 2 5 3 3 3 3" xfId="23098"/>
    <cellStyle name="Normal 2 2 5 3 3 3 4" xfId="30065"/>
    <cellStyle name="Normal 2 2 5 3 3 3 5" xfId="37034"/>
    <cellStyle name="Normal 2 2 5 3 3 4" xfId="13811"/>
    <cellStyle name="Normal 2 2 5 3 3 4 2" xfId="20778"/>
    <cellStyle name="Normal 2 2 5 3 3 4 3" xfId="27745"/>
    <cellStyle name="Normal 2 2 5 3 3 4 4" xfId="34714"/>
    <cellStyle name="Normal 2 2 5 3 3 5" xfId="11489"/>
    <cellStyle name="Normal 2 2 5 3 3 6" xfId="18456"/>
    <cellStyle name="Normal 2 2 5 3 3 7" xfId="25423"/>
    <cellStyle name="Normal 2 2 5 3 3 8" xfId="32391"/>
    <cellStyle name="Normal 2 2 5 3 4" xfId="3655"/>
    <cellStyle name="Normal 2 2 5 3 4 2" xfId="5232"/>
    <cellStyle name="Normal 2 2 5 3 4 2 2" xfId="10079"/>
    <cellStyle name="Normal 2 2 5 3 4 2 2 2" xfId="17077"/>
    <cellStyle name="Normal 2 2 5 3 4 2 2 3" xfId="24044"/>
    <cellStyle name="Normal 2 2 5 3 4 2 2 4" xfId="31011"/>
    <cellStyle name="Normal 2 2 5 3 4 2 2 5" xfId="37980"/>
    <cellStyle name="Normal 2 2 5 3 4 2 3" xfId="14757"/>
    <cellStyle name="Normal 2 2 5 3 4 2 3 2" xfId="21724"/>
    <cellStyle name="Normal 2 2 5 3 4 2 3 3" xfId="28691"/>
    <cellStyle name="Normal 2 2 5 3 4 2 3 4" xfId="35660"/>
    <cellStyle name="Normal 2 2 5 3 4 2 4" xfId="12435"/>
    <cellStyle name="Normal 2 2 5 3 4 2 5" xfId="19402"/>
    <cellStyle name="Normal 2 2 5 3 4 2 6" xfId="26369"/>
    <cellStyle name="Normal 2 2 5 3 4 2 7" xfId="33337"/>
    <cellStyle name="Normal 2 2 5 3 4 3" xfId="9263"/>
    <cellStyle name="Normal 2 2 5 3 4 3 2" xfId="16302"/>
    <cellStyle name="Normal 2 2 5 3 4 3 3" xfId="23269"/>
    <cellStyle name="Normal 2 2 5 3 4 3 4" xfId="30236"/>
    <cellStyle name="Normal 2 2 5 3 4 3 5" xfId="37205"/>
    <cellStyle name="Normal 2 2 5 3 4 4" xfId="13982"/>
    <cellStyle name="Normal 2 2 5 3 4 4 2" xfId="20949"/>
    <cellStyle name="Normal 2 2 5 3 4 4 3" xfId="27916"/>
    <cellStyle name="Normal 2 2 5 3 4 4 4" xfId="34885"/>
    <cellStyle name="Normal 2 2 5 3 4 5" xfId="11660"/>
    <cellStyle name="Normal 2 2 5 3 4 6" xfId="18627"/>
    <cellStyle name="Normal 2 2 5 3 4 7" xfId="25594"/>
    <cellStyle name="Normal 2 2 5 3 4 8" xfId="32562"/>
    <cellStyle name="Normal 2 2 5 3 5" xfId="3932"/>
    <cellStyle name="Normal 2 2 5 3 5 2" xfId="5233"/>
    <cellStyle name="Normal 2 2 5 3 5 2 2" xfId="10080"/>
    <cellStyle name="Normal 2 2 5 3 5 2 2 2" xfId="17078"/>
    <cellStyle name="Normal 2 2 5 3 5 2 2 3" xfId="24045"/>
    <cellStyle name="Normal 2 2 5 3 5 2 2 4" xfId="31012"/>
    <cellStyle name="Normal 2 2 5 3 5 2 2 5" xfId="37981"/>
    <cellStyle name="Normal 2 2 5 3 5 2 3" xfId="14758"/>
    <cellStyle name="Normal 2 2 5 3 5 2 3 2" xfId="21725"/>
    <cellStyle name="Normal 2 2 5 3 5 2 3 3" xfId="28692"/>
    <cellStyle name="Normal 2 2 5 3 5 2 3 4" xfId="35661"/>
    <cellStyle name="Normal 2 2 5 3 5 2 4" xfId="12436"/>
    <cellStyle name="Normal 2 2 5 3 5 2 5" xfId="19403"/>
    <cellStyle name="Normal 2 2 5 3 5 2 6" xfId="26370"/>
    <cellStyle name="Normal 2 2 5 3 5 2 7" xfId="33338"/>
    <cellStyle name="Normal 2 2 5 3 5 3" xfId="9538"/>
    <cellStyle name="Normal 2 2 5 3 5 3 2" xfId="16574"/>
    <cellStyle name="Normal 2 2 5 3 5 3 3" xfId="23541"/>
    <cellStyle name="Normal 2 2 5 3 5 3 4" xfId="30508"/>
    <cellStyle name="Normal 2 2 5 3 5 3 5" xfId="37477"/>
    <cellStyle name="Normal 2 2 5 3 5 4" xfId="14254"/>
    <cellStyle name="Normal 2 2 5 3 5 4 2" xfId="21221"/>
    <cellStyle name="Normal 2 2 5 3 5 4 3" xfId="28188"/>
    <cellStyle name="Normal 2 2 5 3 5 4 4" xfId="35157"/>
    <cellStyle name="Normal 2 2 5 3 5 5" xfId="11932"/>
    <cellStyle name="Normal 2 2 5 3 5 6" xfId="18899"/>
    <cellStyle name="Normal 2 2 5 3 5 7" xfId="25866"/>
    <cellStyle name="Normal 2 2 5 3 5 8" xfId="32834"/>
    <cellStyle name="Normal 2 2 5 3 6" xfId="5229"/>
    <cellStyle name="Normal 2 2 5 3 6 2" xfId="10076"/>
    <cellStyle name="Normal 2 2 5 3 6 2 2" xfId="17074"/>
    <cellStyle name="Normal 2 2 5 3 6 2 3" xfId="24041"/>
    <cellStyle name="Normal 2 2 5 3 6 2 4" xfId="31008"/>
    <cellStyle name="Normal 2 2 5 3 6 2 5" xfId="37977"/>
    <cellStyle name="Normal 2 2 5 3 6 3" xfId="14754"/>
    <cellStyle name="Normal 2 2 5 3 6 3 2" xfId="21721"/>
    <cellStyle name="Normal 2 2 5 3 6 3 3" xfId="28688"/>
    <cellStyle name="Normal 2 2 5 3 6 3 4" xfId="35657"/>
    <cellStyle name="Normal 2 2 5 3 6 4" xfId="12432"/>
    <cellStyle name="Normal 2 2 5 3 6 5" xfId="19399"/>
    <cellStyle name="Normal 2 2 5 3 6 6" xfId="26366"/>
    <cellStyle name="Normal 2 2 5 3 6 7" xfId="33334"/>
    <cellStyle name="Normal 2 2 5 3 7" xfId="6826"/>
    <cellStyle name="Normal 2 2 5 3 7 2" xfId="10796"/>
    <cellStyle name="Normal 2 2 5 3 7 2 2" xfId="17770"/>
    <cellStyle name="Normal 2 2 5 3 7 2 3" xfId="24737"/>
    <cellStyle name="Normal 2 2 5 3 7 2 4" xfId="31704"/>
    <cellStyle name="Normal 2 2 5 3 7 2 5" xfId="38673"/>
    <cellStyle name="Normal 2 2 5 3 7 3" xfId="15450"/>
    <cellStyle name="Normal 2 2 5 3 7 3 2" xfId="22417"/>
    <cellStyle name="Normal 2 2 5 3 7 3 3" xfId="29384"/>
    <cellStyle name="Normal 2 2 5 3 7 3 4" xfId="36353"/>
    <cellStyle name="Normal 2 2 5 3 7 4" xfId="13128"/>
    <cellStyle name="Normal 2 2 5 3 7 5" xfId="20095"/>
    <cellStyle name="Normal 2 2 5 3 7 6" xfId="27062"/>
    <cellStyle name="Normal 2 2 5 3 7 7" xfId="34031"/>
    <cellStyle name="Normal 2 2 5 3 8" xfId="7139"/>
    <cellStyle name="Normal 2 2 5 3 8 2" xfId="15623"/>
    <cellStyle name="Normal 2 2 5 3 8 2 2" xfId="22590"/>
    <cellStyle name="Normal 2 2 5 3 8 2 3" xfId="29557"/>
    <cellStyle name="Normal 2 2 5 3 8 2 4" xfId="36526"/>
    <cellStyle name="Normal 2 2 5 3 8 3" xfId="13301"/>
    <cellStyle name="Normal 2 2 5 3 8 4" xfId="20268"/>
    <cellStyle name="Normal 2 2 5 3 8 5" xfId="27235"/>
    <cellStyle name="Normal 2 2 5 3 8 6" xfId="34204"/>
    <cellStyle name="Normal 2 2 5 3 9" xfId="8022"/>
    <cellStyle name="Normal 2 2 5 3 9 2" xfId="15795"/>
    <cellStyle name="Normal 2 2 5 3 9 2 2" xfId="22762"/>
    <cellStyle name="Normal 2 2 5 3 9 2 3" xfId="29729"/>
    <cellStyle name="Normal 2 2 5 3 9 2 4" xfId="36698"/>
    <cellStyle name="Normal 2 2 5 3 9 3" xfId="11151"/>
    <cellStyle name="Normal 2 2 5 3 9 4" xfId="18118"/>
    <cellStyle name="Normal 2 2 5 3 9 5" xfId="25085"/>
    <cellStyle name="Normal 2 2 5 3 9 6" xfId="32053"/>
    <cellStyle name="Normal 2 2 5 4" xfId="3275"/>
    <cellStyle name="Normal 2 2 5 4 2" xfId="3827"/>
    <cellStyle name="Normal 2 2 5 4 2 2" xfId="5235"/>
    <cellStyle name="Normal 2 2 5 4 2 2 2" xfId="10082"/>
    <cellStyle name="Normal 2 2 5 4 2 2 2 2" xfId="17080"/>
    <cellStyle name="Normal 2 2 5 4 2 2 2 3" xfId="24047"/>
    <cellStyle name="Normal 2 2 5 4 2 2 2 4" xfId="31014"/>
    <cellStyle name="Normal 2 2 5 4 2 2 2 5" xfId="37983"/>
    <cellStyle name="Normal 2 2 5 4 2 2 3" xfId="14760"/>
    <cellStyle name="Normal 2 2 5 4 2 2 3 2" xfId="21727"/>
    <cellStyle name="Normal 2 2 5 4 2 2 3 3" xfId="28694"/>
    <cellStyle name="Normal 2 2 5 4 2 2 3 4" xfId="35663"/>
    <cellStyle name="Normal 2 2 5 4 2 2 4" xfId="12438"/>
    <cellStyle name="Normal 2 2 5 4 2 2 5" xfId="19405"/>
    <cellStyle name="Normal 2 2 5 4 2 2 6" xfId="26372"/>
    <cellStyle name="Normal 2 2 5 4 2 2 7" xfId="33340"/>
    <cellStyle name="Normal 2 2 5 4 2 3" xfId="9433"/>
    <cellStyle name="Normal 2 2 5 4 2 3 2" xfId="16471"/>
    <cellStyle name="Normal 2 2 5 4 2 3 3" xfId="23438"/>
    <cellStyle name="Normal 2 2 5 4 2 3 4" xfId="30405"/>
    <cellStyle name="Normal 2 2 5 4 2 3 5" xfId="37374"/>
    <cellStyle name="Normal 2 2 5 4 2 4" xfId="14151"/>
    <cellStyle name="Normal 2 2 5 4 2 4 2" xfId="21118"/>
    <cellStyle name="Normal 2 2 5 4 2 4 3" xfId="28085"/>
    <cellStyle name="Normal 2 2 5 4 2 4 4" xfId="35054"/>
    <cellStyle name="Normal 2 2 5 4 2 5" xfId="11829"/>
    <cellStyle name="Normal 2 2 5 4 2 6" xfId="18796"/>
    <cellStyle name="Normal 2 2 5 4 2 7" xfId="25763"/>
    <cellStyle name="Normal 2 2 5 4 2 8" xfId="32731"/>
    <cellStyle name="Normal 2 2 5 4 3" xfId="5234"/>
    <cellStyle name="Normal 2 2 5 4 3 2" xfId="10081"/>
    <cellStyle name="Normal 2 2 5 4 3 2 2" xfId="17079"/>
    <cellStyle name="Normal 2 2 5 4 3 2 3" xfId="24046"/>
    <cellStyle name="Normal 2 2 5 4 3 2 4" xfId="31013"/>
    <cellStyle name="Normal 2 2 5 4 3 2 5" xfId="37982"/>
    <cellStyle name="Normal 2 2 5 4 3 3" xfId="14759"/>
    <cellStyle name="Normal 2 2 5 4 3 3 2" xfId="21726"/>
    <cellStyle name="Normal 2 2 5 4 3 3 3" xfId="28693"/>
    <cellStyle name="Normal 2 2 5 4 3 3 4" xfId="35662"/>
    <cellStyle name="Normal 2 2 5 4 3 4" xfId="12437"/>
    <cellStyle name="Normal 2 2 5 4 3 5" xfId="19404"/>
    <cellStyle name="Normal 2 2 5 4 3 6" xfId="26371"/>
    <cellStyle name="Normal 2 2 5 4 3 7" xfId="33339"/>
    <cellStyle name="Normal 2 2 5 4 4" xfId="8909"/>
    <cellStyle name="Normal 2 2 5 4 4 2" xfId="15961"/>
    <cellStyle name="Normal 2 2 5 4 4 3" xfId="22928"/>
    <cellStyle name="Normal 2 2 5 4 4 4" xfId="29895"/>
    <cellStyle name="Normal 2 2 5 4 4 5" xfId="36864"/>
    <cellStyle name="Normal 2 2 5 4 5" xfId="13639"/>
    <cellStyle name="Normal 2 2 5 4 5 2" xfId="20606"/>
    <cellStyle name="Normal 2 2 5 4 5 3" xfId="27573"/>
    <cellStyle name="Normal 2 2 5 4 5 4" xfId="34542"/>
    <cellStyle name="Normal 2 2 5 4 6" xfId="11317"/>
    <cellStyle name="Normal 2 2 5 4 7" xfId="18284"/>
    <cellStyle name="Normal 2 2 5 4 8" xfId="25251"/>
    <cellStyle name="Normal 2 2 5 4 9" xfId="32219"/>
    <cellStyle name="Normal 2 2 5 5" xfId="3477"/>
    <cellStyle name="Normal 2 2 5 5 2" xfId="5236"/>
    <cellStyle name="Normal 2 2 5 5 2 2" xfId="10083"/>
    <cellStyle name="Normal 2 2 5 5 2 2 2" xfId="17081"/>
    <cellStyle name="Normal 2 2 5 5 2 2 3" xfId="24048"/>
    <cellStyle name="Normal 2 2 5 5 2 2 4" xfId="31015"/>
    <cellStyle name="Normal 2 2 5 5 2 2 5" xfId="37984"/>
    <cellStyle name="Normal 2 2 5 5 2 3" xfId="14761"/>
    <cellStyle name="Normal 2 2 5 5 2 3 2" xfId="21728"/>
    <cellStyle name="Normal 2 2 5 5 2 3 3" xfId="28695"/>
    <cellStyle name="Normal 2 2 5 5 2 3 4" xfId="35664"/>
    <cellStyle name="Normal 2 2 5 5 2 4" xfId="12439"/>
    <cellStyle name="Normal 2 2 5 5 2 5" xfId="19406"/>
    <cellStyle name="Normal 2 2 5 5 2 6" xfId="26373"/>
    <cellStyle name="Normal 2 2 5 5 2 7" xfId="33341"/>
    <cellStyle name="Normal 2 2 5 5 3" xfId="9089"/>
    <cellStyle name="Normal 2 2 5 5 3 2" xfId="16128"/>
    <cellStyle name="Normal 2 2 5 5 3 3" xfId="23095"/>
    <cellStyle name="Normal 2 2 5 5 3 4" xfId="30062"/>
    <cellStyle name="Normal 2 2 5 5 3 5" xfId="37031"/>
    <cellStyle name="Normal 2 2 5 5 4" xfId="13808"/>
    <cellStyle name="Normal 2 2 5 5 4 2" xfId="20775"/>
    <cellStyle name="Normal 2 2 5 5 4 3" xfId="27742"/>
    <cellStyle name="Normal 2 2 5 5 4 4" xfId="34711"/>
    <cellStyle name="Normal 2 2 5 5 5" xfId="11486"/>
    <cellStyle name="Normal 2 2 5 5 6" xfId="18453"/>
    <cellStyle name="Normal 2 2 5 5 7" xfId="25420"/>
    <cellStyle name="Normal 2 2 5 5 8" xfId="32388"/>
    <cellStyle name="Normal 2 2 5 6" xfId="3652"/>
    <cellStyle name="Normal 2 2 5 6 2" xfId="5237"/>
    <cellStyle name="Normal 2 2 5 6 2 2" xfId="10084"/>
    <cellStyle name="Normal 2 2 5 6 2 2 2" xfId="17082"/>
    <cellStyle name="Normal 2 2 5 6 2 2 3" xfId="24049"/>
    <cellStyle name="Normal 2 2 5 6 2 2 4" xfId="31016"/>
    <cellStyle name="Normal 2 2 5 6 2 2 5" xfId="37985"/>
    <cellStyle name="Normal 2 2 5 6 2 3" xfId="14762"/>
    <cellStyle name="Normal 2 2 5 6 2 3 2" xfId="21729"/>
    <cellStyle name="Normal 2 2 5 6 2 3 3" xfId="28696"/>
    <cellStyle name="Normal 2 2 5 6 2 3 4" xfId="35665"/>
    <cellStyle name="Normal 2 2 5 6 2 4" xfId="12440"/>
    <cellStyle name="Normal 2 2 5 6 2 5" xfId="19407"/>
    <cellStyle name="Normal 2 2 5 6 2 6" xfId="26374"/>
    <cellStyle name="Normal 2 2 5 6 2 7" xfId="33342"/>
    <cellStyle name="Normal 2 2 5 6 3" xfId="9260"/>
    <cellStyle name="Normal 2 2 5 6 3 2" xfId="16299"/>
    <cellStyle name="Normal 2 2 5 6 3 3" xfId="23266"/>
    <cellStyle name="Normal 2 2 5 6 3 4" xfId="30233"/>
    <cellStyle name="Normal 2 2 5 6 3 5" xfId="37202"/>
    <cellStyle name="Normal 2 2 5 6 4" xfId="13979"/>
    <cellStyle name="Normal 2 2 5 6 4 2" xfId="20946"/>
    <cellStyle name="Normal 2 2 5 6 4 3" xfId="27913"/>
    <cellStyle name="Normal 2 2 5 6 4 4" xfId="34882"/>
    <cellStyle name="Normal 2 2 5 6 5" xfId="11657"/>
    <cellStyle name="Normal 2 2 5 6 6" xfId="18624"/>
    <cellStyle name="Normal 2 2 5 6 7" xfId="25591"/>
    <cellStyle name="Normal 2 2 5 6 8" xfId="32559"/>
    <cellStyle name="Normal 2 2 5 7" xfId="3929"/>
    <cellStyle name="Normal 2 2 5 7 2" xfId="5238"/>
    <cellStyle name="Normal 2 2 5 7 2 2" xfId="10085"/>
    <cellStyle name="Normal 2 2 5 7 2 2 2" xfId="17083"/>
    <cellStyle name="Normal 2 2 5 7 2 2 3" xfId="24050"/>
    <cellStyle name="Normal 2 2 5 7 2 2 4" xfId="31017"/>
    <cellStyle name="Normal 2 2 5 7 2 2 5" xfId="37986"/>
    <cellStyle name="Normal 2 2 5 7 2 3" xfId="14763"/>
    <cellStyle name="Normal 2 2 5 7 2 3 2" xfId="21730"/>
    <cellStyle name="Normal 2 2 5 7 2 3 3" xfId="28697"/>
    <cellStyle name="Normal 2 2 5 7 2 3 4" xfId="35666"/>
    <cellStyle name="Normal 2 2 5 7 2 4" xfId="12441"/>
    <cellStyle name="Normal 2 2 5 7 2 5" xfId="19408"/>
    <cellStyle name="Normal 2 2 5 7 2 6" xfId="26375"/>
    <cellStyle name="Normal 2 2 5 7 2 7" xfId="33343"/>
    <cellStyle name="Normal 2 2 5 7 3" xfId="9535"/>
    <cellStyle name="Normal 2 2 5 7 3 2" xfId="16571"/>
    <cellStyle name="Normal 2 2 5 7 3 3" xfId="23538"/>
    <cellStyle name="Normal 2 2 5 7 3 4" xfId="30505"/>
    <cellStyle name="Normal 2 2 5 7 3 5" xfId="37474"/>
    <cellStyle name="Normal 2 2 5 7 4" xfId="14251"/>
    <cellStyle name="Normal 2 2 5 7 4 2" xfId="21218"/>
    <cellStyle name="Normal 2 2 5 7 4 3" xfId="28185"/>
    <cellStyle name="Normal 2 2 5 7 4 4" xfId="35154"/>
    <cellStyle name="Normal 2 2 5 7 5" xfId="11929"/>
    <cellStyle name="Normal 2 2 5 7 6" xfId="18896"/>
    <cellStyle name="Normal 2 2 5 7 7" xfId="25863"/>
    <cellStyle name="Normal 2 2 5 7 8" xfId="32831"/>
    <cellStyle name="Normal 2 2 5 8" xfId="5217"/>
    <cellStyle name="Normal 2 2 5 8 2" xfId="10064"/>
    <cellStyle name="Normal 2 2 5 8 2 2" xfId="17062"/>
    <cellStyle name="Normal 2 2 5 8 2 3" xfId="24029"/>
    <cellStyle name="Normal 2 2 5 8 2 4" xfId="30996"/>
    <cellStyle name="Normal 2 2 5 8 2 5" xfId="37965"/>
    <cellStyle name="Normal 2 2 5 8 3" xfId="14742"/>
    <cellStyle name="Normal 2 2 5 8 3 2" xfId="21709"/>
    <cellStyle name="Normal 2 2 5 8 3 3" xfId="28676"/>
    <cellStyle name="Normal 2 2 5 8 3 4" xfId="35645"/>
    <cellStyle name="Normal 2 2 5 8 4" xfId="12420"/>
    <cellStyle name="Normal 2 2 5 8 5" xfId="19387"/>
    <cellStyle name="Normal 2 2 5 8 6" xfId="26354"/>
    <cellStyle name="Normal 2 2 5 8 7" xfId="33322"/>
    <cellStyle name="Normal 2 2 5 9" xfId="6823"/>
    <cellStyle name="Normal 2 2 5 9 2" xfId="10793"/>
    <cellStyle name="Normal 2 2 5 9 2 2" xfId="17767"/>
    <cellStyle name="Normal 2 2 5 9 2 3" xfId="24734"/>
    <cellStyle name="Normal 2 2 5 9 2 4" xfId="31701"/>
    <cellStyle name="Normal 2 2 5 9 2 5" xfId="38670"/>
    <cellStyle name="Normal 2 2 5 9 3" xfId="15447"/>
    <cellStyle name="Normal 2 2 5 9 3 2" xfId="22414"/>
    <cellStyle name="Normal 2 2 5 9 3 3" xfId="29381"/>
    <cellStyle name="Normal 2 2 5 9 3 4" xfId="36350"/>
    <cellStyle name="Normal 2 2 5 9 4" xfId="13125"/>
    <cellStyle name="Normal 2 2 5 9 5" xfId="20092"/>
    <cellStyle name="Normal 2 2 5 9 6" xfId="27059"/>
    <cellStyle name="Normal 2 2 5 9 7" xfId="34028"/>
    <cellStyle name="Normal 2 2 6" xfId="1660"/>
    <cellStyle name="Normal 2 2 6 10" xfId="8023"/>
    <cellStyle name="Normal 2 2 6 10 2" xfId="15796"/>
    <cellStyle name="Normal 2 2 6 10 2 2" xfId="22763"/>
    <cellStyle name="Normal 2 2 6 10 2 3" xfId="29730"/>
    <cellStyle name="Normal 2 2 6 10 2 4" xfId="36699"/>
    <cellStyle name="Normal 2 2 6 10 3" xfId="11152"/>
    <cellStyle name="Normal 2 2 6 10 4" xfId="18119"/>
    <cellStyle name="Normal 2 2 6 10 5" xfId="25086"/>
    <cellStyle name="Normal 2 2 6 10 6" xfId="32054"/>
    <cellStyle name="Normal 2 2 6 11" xfId="13474"/>
    <cellStyle name="Normal 2 2 6 11 2" xfId="20441"/>
    <cellStyle name="Normal 2 2 6 11 3" xfId="27408"/>
    <cellStyle name="Normal 2 2 6 11 4" xfId="34377"/>
    <cellStyle name="Normal 2 2 6 12" xfId="10980"/>
    <cellStyle name="Normal 2 2 6 13" xfId="17946"/>
    <cellStyle name="Normal 2 2 6 14" xfId="24914"/>
    <cellStyle name="Normal 2 2 6 15" xfId="31882"/>
    <cellStyle name="Normal 2 2 6 2" xfId="1661"/>
    <cellStyle name="Normal 2 2 6 2 10" xfId="13475"/>
    <cellStyle name="Normal 2 2 6 2 10 2" xfId="20442"/>
    <cellStyle name="Normal 2 2 6 2 10 3" xfId="27409"/>
    <cellStyle name="Normal 2 2 6 2 10 4" xfId="34378"/>
    <cellStyle name="Normal 2 2 6 2 11" xfId="10981"/>
    <cellStyle name="Normal 2 2 6 2 12" xfId="17947"/>
    <cellStyle name="Normal 2 2 6 2 13" xfId="24915"/>
    <cellStyle name="Normal 2 2 6 2 14" xfId="31883"/>
    <cellStyle name="Normal 2 2 6 2 2" xfId="3280"/>
    <cellStyle name="Normal 2 2 6 2 2 2" xfId="3824"/>
    <cellStyle name="Normal 2 2 6 2 2 2 2" xfId="5242"/>
    <cellStyle name="Normal 2 2 6 2 2 2 2 2" xfId="10089"/>
    <cellStyle name="Normal 2 2 6 2 2 2 2 2 2" xfId="17087"/>
    <cellStyle name="Normal 2 2 6 2 2 2 2 2 3" xfId="24054"/>
    <cellStyle name="Normal 2 2 6 2 2 2 2 2 4" xfId="31021"/>
    <cellStyle name="Normal 2 2 6 2 2 2 2 2 5" xfId="37990"/>
    <cellStyle name="Normal 2 2 6 2 2 2 2 3" xfId="14767"/>
    <cellStyle name="Normal 2 2 6 2 2 2 2 3 2" xfId="21734"/>
    <cellStyle name="Normal 2 2 6 2 2 2 2 3 3" xfId="28701"/>
    <cellStyle name="Normal 2 2 6 2 2 2 2 3 4" xfId="35670"/>
    <cellStyle name="Normal 2 2 6 2 2 2 2 4" xfId="12445"/>
    <cellStyle name="Normal 2 2 6 2 2 2 2 5" xfId="19412"/>
    <cellStyle name="Normal 2 2 6 2 2 2 2 6" xfId="26379"/>
    <cellStyle name="Normal 2 2 6 2 2 2 2 7" xfId="33347"/>
    <cellStyle name="Normal 2 2 6 2 2 2 3" xfId="9430"/>
    <cellStyle name="Normal 2 2 6 2 2 2 3 2" xfId="16468"/>
    <cellStyle name="Normal 2 2 6 2 2 2 3 3" xfId="23435"/>
    <cellStyle name="Normal 2 2 6 2 2 2 3 4" xfId="30402"/>
    <cellStyle name="Normal 2 2 6 2 2 2 3 5" xfId="37371"/>
    <cellStyle name="Normal 2 2 6 2 2 2 4" xfId="14148"/>
    <cellStyle name="Normal 2 2 6 2 2 2 4 2" xfId="21115"/>
    <cellStyle name="Normal 2 2 6 2 2 2 4 3" xfId="28082"/>
    <cellStyle name="Normal 2 2 6 2 2 2 4 4" xfId="35051"/>
    <cellStyle name="Normal 2 2 6 2 2 2 5" xfId="11826"/>
    <cellStyle name="Normal 2 2 6 2 2 2 6" xfId="18793"/>
    <cellStyle name="Normal 2 2 6 2 2 2 7" xfId="25760"/>
    <cellStyle name="Normal 2 2 6 2 2 2 8" xfId="32728"/>
    <cellStyle name="Normal 2 2 6 2 2 3" xfId="5241"/>
    <cellStyle name="Normal 2 2 6 2 2 3 2" xfId="10088"/>
    <cellStyle name="Normal 2 2 6 2 2 3 2 2" xfId="17086"/>
    <cellStyle name="Normal 2 2 6 2 2 3 2 3" xfId="24053"/>
    <cellStyle name="Normal 2 2 6 2 2 3 2 4" xfId="31020"/>
    <cellStyle name="Normal 2 2 6 2 2 3 2 5" xfId="37989"/>
    <cellStyle name="Normal 2 2 6 2 2 3 3" xfId="14766"/>
    <cellStyle name="Normal 2 2 6 2 2 3 3 2" xfId="21733"/>
    <cellStyle name="Normal 2 2 6 2 2 3 3 3" xfId="28700"/>
    <cellStyle name="Normal 2 2 6 2 2 3 3 4" xfId="35669"/>
    <cellStyle name="Normal 2 2 6 2 2 3 4" xfId="12444"/>
    <cellStyle name="Normal 2 2 6 2 2 3 5" xfId="19411"/>
    <cellStyle name="Normal 2 2 6 2 2 3 6" xfId="26378"/>
    <cellStyle name="Normal 2 2 6 2 2 3 7" xfId="33346"/>
    <cellStyle name="Normal 2 2 6 2 2 4" xfId="8914"/>
    <cellStyle name="Normal 2 2 6 2 2 4 2" xfId="15966"/>
    <cellStyle name="Normal 2 2 6 2 2 4 3" xfId="22933"/>
    <cellStyle name="Normal 2 2 6 2 2 4 4" xfId="29900"/>
    <cellStyle name="Normal 2 2 6 2 2 4 5" xfId="36869"/>
    <cellStyle name="Normal 2 2 6 2 2 5" xfId="13644"/>
    <cellStyle name="Normal 2 2 6 2 2 5 2" xfId="20611"/>
    <cellStyle name="Normal 2 2 6 2 2 5 3" xfId="27578"/>
    <cellStyle name="Normal 2 2 6 2 2 5 4" xfId="34547"/>
    <cellStyle name="Normal 2 2 6 2 2 6" xfId="11322"/>
    <cellStyle name="Normal 2 2 6 2 2 7" xfId="18289"/>
    <cellStyle name="Normal 2 2 6 2 2 8" xfId="25256"/>
    <cellStyle name="Normal 2 2 6 2 2 9" xfId="32224"/>
    <cellStyle name="Normal 2 2 6 2 3" xfId="3482"/>
    <cellStyle name="Normal 2 2 6 2 3 2" xfId="5243"/>
    <cellStyle name="Normal 2 2 6 2 3 2 2" xfId="10090"/>
    <cellStyle name="Normal 2 2 6 2 3 2 2 2" xfId="17088"/>
    <cellStyle name="Normal 2 2 6 2 3 2 2 3" xfId="24055"/>
    <cellStyle name="Normal 2 2 6 2 3 2 2 4" xfId="31022"/>
    <cellStyle name="Normal 2 2 6 2 3 2 2 5" xfId="37991"/>
    <cellStyle name="Normal 2 2 6 2 3 2 3" xfId="14768"/>
    <cellStyle name="Normal 2 2 6 2 3 2 3 2" xfId="21735"/>
    <cellStyle name="Normal 2 2 6 2 3 2 3 3" xfId="28702"/>
    <cellStyle name="Normal 2 2 6 2 3 2 3 4" xfId="35671"/>
    <cellStyle name="Normal 2 2 6 2 3 2 4" xfId="12446"/>
    <cellStyle name="Normal 2 2 6 2 3 2 5" xfId="19413"/>
    <cellStyle name="Normal 2 2 6 2 3 2 6" xfId="26380"/>
    <cellStyle name="Normal 2 2 6 2 3 2 7" xfId="33348"/>
    <cellStyle name="Normal 2 2 6 2 3 3" xfId="9094"/>
    <cellStyle name="Normal 2 2 6 2 3 3 2" xfId="16133"/>
    <cellStyle name="Normal 2 2 6 2 3 3 3" xfId="23100"/>
    <cellStyle name="Normal 2 2 6 2 3 3 4" xfId="30067"/>
    <cellStyle name="Normal 2 2 6 2 3 3 5" xfId="37036"/>
    <cellStyle name="Normal 2 2 6 2 3 4" xfId="13813"/>
    <cellStyle name="Normal 2 2 6 2 3 4 2" xfId="20780"/>
    <cellStyle name="Normal 2 2 6 2 3 4 3" xfId="27747"/>
    <cellStyle name="Normal 2 2 6 2 3 4 4" xfId="34716"/>
    <cellStyle name="Normal 2 2 6 2 3 5" xfId="11491"/>
    <cellStyle name="Normal 2 2 6 2 3 6" xfId="18458"/>
    <cellStyle name="Normal 2 2 6 2 3 7" xfId="25425"/>
    <cellStyle name="Normal 2 2 6 2 3 8" xfId="32393"/>
    <cellStyle name="Normal 2 2 6 2 4" xfId="3657"/>
    <cellStyle name="Normal 2 2 6 2 4 2" xfId="5244"/>
    <cellStyle name="Normal 2 2 6 2 4 2 2" xfId="10091"/>
    <cellStyle name="Normal 2 2 6 2 4 2 2 2" xfId="17089"/>
    <cellStyle name="Normal 2 2 6 2 4 2 2 3" xfId="24056"/>
    <cellStyle name="Normal 2 2 6 2 4 2 2 4" xfId="31023"/>
    <cellStyle name="Normal 2 2 6 2 4 2 2 5" xfId="37992"/>
    <cellStyle name="Normal 2 2 6 2 4 2 3" xfId="14769"/>
    <cellStyle name="Normal 2 2 6 2 4 2 3 2" xfId="21736"/>
    <cellStyle name="Normal 2 2 6 2 4 2 3 3" xfId="28703"/>
    <cellStyle name="Normal 2 2 6 2 4 2 3 4" xfId="35672"/>
    <cellStyle name="Normal 2 2 6 2 4 2 4" xfId="12447"/>
    <cellStyle name="Normal 2 2 6 2 4 2 5" xfId="19414"/>
    <cellStyle name="Normal 2 2 6 2 4 2 6" xfId="26381"/>
    <cellStyle name="Normal 2 2 6 2 4 2 7" xfId="33349"/>
    <cellStyle name="Normal 2 2 6 2 4 3" xfId="9265"/>
    <cellStyle name="Normal 2 2 6 2 4 3 2" xfId="16304"/>
    <cellStyle name="Normal 2 2 6 2 4 3 3" xfId="23271"/>
    <cellStyle name="Normal 2 2 6 2 4 3 4" xfId="30238"/>
    <cellStyle name="Normal 2 2 6 2 4 3 5" xfId="37207"/>
    <cellStyle name="Normal 2 2 6 2 4 4" xfId="13984"/>
    <cellStyle name="Normal 2 2 6 2 4 4 2" xfId="20951"/>
    <cellStyle name="Normal 2 2 6 2 4 4 3" xfId="27918"/>
    <cellStyle name="Normal 2 2 6 2 4 4 4" xfId="34887"/>
    <cellStyle name="Normal 2 2 6 2 4 5" xfId="11662"/>
    <cellStyle name="Normal 2 2 6 2 4 6" xfId="18629"/>
    <cellStyle name="Normal 2 2 6 2 4 7" xfId="25596"/>
    <cellStyle name="Normal 2 2 6 2 4 8" xfId="32564"/>
    <cellStyle name="Normal 2 2 6 2 5" xfId="3934"/>
    <cellStyle name="Normal 2 2 6 2 5 2" xfId="5245"/>
    <cellStyle name="Normal 2 2 6 2 5 2 2" xfId="10092"/>
    <cellStyle name="Normal 2 2 6 2 5 2 2 2" xfId="17090"/>
    <cellStyle name="Normal 2 2 6 2 5 2 2 3" xfId="24057"/>
    <cellStyle name="Normal 2 2 6 2 5 2 2 4" xfId="31024"/>
    <cellStyle name="Normal 2 2 6 2 5 2 2 5" xfId="37993"/>
    <cellStyle name="Normal 2 2 6 2 5 2 3" xfId="14770"/>
    <cellStyle name="Normal 2 2 6 2 5 2 3 2" xfId="21737"/>
    <cellStyle name="Normal 2 2 6 2 5 2 3 3" xfId="28704"/>
    <cellStyle name="Normal 2 2 6 2 5 2 3 4" xfId="35673"/>
    <cellStyle name="Normal 2 2 6 2 5 2 4" xfId="12448"/>
    <cellStyle name="Normal 2 2 6 2 5 2 5" xfId="19415"/>
    <cellStyle name="Normal 2 2 6 2 5 2 6" xfId="26382"/>
    <cellStyle name="Normal 2 2 6 2 5 2 7" xfId="33350"/>
    <cellStyle name="Normal 2 2 6 2 5 3" xfId="9540"/>
    <cellStyle name="Normal 2 2 6 2 5 3 2" xfId="16576"/>
    <cellStyle name="Normal 2 2 6 2 5 3 3" xfId="23543"/>
    <cellStyle name="Normal 2 2 6 2 5 3 4" xfId="30510"/>
    <cellStyle name="Normal 2 2 6 2 5 3 5" xfId="37479"/>
    <cellStyle name="Normal 2 2 6 2 5 4" xfId="14256"/>
    <cellStyle name="Normal 2 2 6 2 5 4 2" xfId="21223"/>
    <cellStyle name="Normal 2 2 6 2 5 4 3" xfId="28190"/>
    <cellStyle name="Normal 2 2 6 2 5 4 4" xfId="35159"/>
    <cellStyle name="Normal 2 2 6 2 5 5" xfId="11934"/>
    <cellStyle name="Normal 2 2 6 2 5 6" xfId="18901"/>
    <cellStyle name="Normal 2 2 6 2 5 7" xfId="25868"/>
    <cellStyle name="Normal 2 2 6 2 5 8" xfId="32836"/>
    <cellStyle name="Normal 2 2 6 2 6" xfId="5240"/>
    <cellStyle name="Normal 2 2 6 2 6 2" xfId="10087"/>
    <cellStyle name="Normal 2 2 6 2 6 2 2" xfId="17085"/>
    <cellStyle name="Normal 2 2 6 2 6 2 3" xfId="24052"/>
    <cellStyle name="Normal 2 2 6 2 6 2 4" xfId="31019"/>
    <cellStyle name="Normal 2 2 6 2 6 2 5" xfId="37988"/>
    <cellStyle name="Normal 2 2 6 2 6 3" xfId="14765"/>
    <cellStyle name="Normal 2 2 6 2 6 3 2" xfId="21732"/>
    <cellStyle name="Normal 2 2 6 2 6 3 3" xfId="28699"/>
    <cellStyle name="Normal 2 2 6 2 6 3 4" xfId="35668"/>
    <cellStyle name="Normal 2 2 6 2 6 4" xfId="12443"/>
    <cellStyle name="Normal 2 2 6 2 6 5" xfId="19410"/>
    <cellStyle name="Normal 2 2 6 2 6 6" xfId="26377"/>
    <cellStyle name="Normal 2 2 6 2 6 7" xfId="33345"/>
    <cellStyle name="Normal 2 2 6 2 7" xfId="6828"/>
    <cellStyle name="Normal 2 2 6 2 7 2" xfId="10798"/>
    <cellStyle name="Normal 2 2 6 2 7 2 2" xfId="17772"/>
    <cellStyle name="Normal 2 2 6 2 7 2 3" xfId="24739"/>
    <cellStyle name="Normal 2 2 6 2 7 2 4" xfId="31706"/>
    <cellStyle name="Normal 2 2 6 2 7 2 5" xfId="38675"/>
    <cellStyle name="Normal 2 2 6 2 7 3" xfId="15452"/>
    <cellStyle name="Normal 2 2 6 2 7 3 2" xfId="22419"/>
    <cellStyle name="Normal 2 2 6 2 7 3 3" xfId="29386"/>
    <cellStyle name="Normal 2 2 6 2 7 3 4" xfId="36355"/>
    <cellStyle name="Normal 2 2 6 2 7 4" xfId="13130"/>
    <cellStyle name="Normal 2 2 6 2 7 5" xfId="20097"/>
    <cellStyle name="Normal 2 2 6 2 7 6" xfId="27064"/>
    <cellStyle name="Normal 2 2 6 2 7 7" xfId="34033"/>
    <cellStyle name="Normal 2 2 6 2 8" xfId="7141"/>
    <cellStyle name="Normal 2 2 6 2 8 2" xfId="15625"/>
    <cellStyle name="Normal 2 2 6 2 8 2 2" xfId="22592"/>
    <cellStyle name="Normal 2 2 6 2 8 2 3" xfId="29559"/>
    <cellStyle name="Normal 2 2 6 2 8 2 4" xfId="36528"/>
    <cellStyle name="Normal 2 2 6 2 8 3" xfId="13303"/>
    <cellStyle name="Normal 2 2 6 2 8 4" xfId="20270"/>
    <cellStyle name="Normal 2 2 6 2 8 5" xfId="27237"/>
    <cellStyle name="Normal 2 2 6 2 8 6" xfId="34206"/>
    <cellStyle name="Normal 2 2 6 2 9" xfId="8024"/>
    <cellStyle name="Normal 2 2 6 2 9 2" xfId="15797"/>
    <cellStyle name="Normal 2 2 6 2 9 2 2" xfId="22764"/>
    <cellStyle name="Normal 2 2 6 2 9 2 3" xfId="29731"/>
    <cellStyle name="Normal 2 2 6 2 9 2 4" xfId="36700"/>
    <cellStyle name="Normal 2 2 6 2 9 3" xfId="11153"/>
    <cellStyle name="Normal 2 2 6 2 9 4" xfId="18120"/>
    <cellStyle name="Normal 2 2 6 2 9 5" xfId="25087"/>
    <cellStyle name="Normal 2 2 6 2 9 6" xfId="32055"/>
    <cellStyle name="Normal 2 2 6 3" xfId="3279"/>
    <cellStyle name="Normal 2 2 6 3 2" xfId="3825"/>
    <cellStyle name="Normal 2 2 6 3 2 2" xfId="5247"/>
    <cellStyle name="Normal 2 2 6 3 2 2 2" xfId="10094"/>
    <cellStyle name="Normal 2 2 6 3 2 2 2 2" xfId="17092"/>
    <cellStyle name="Normal 2 2 6 3 2 2 2 3" xfId="24059"/>
    <cellStyle name="Normal 2 2 6 3 2 2 2 4" xfId="31026"/>
    <cellStyle name="Normal 2 2 6 3 2 2 2 5" xfId="37995"/>
    <cellStyle name="Normal 2 2 6 3 2 2 3" xfId="14772"/>
    <cellStyle name="Normal 2 2 6 3 2 2 3 2" xfId="21739"/>
    <cellStyle name="Normal 2 2 6 3 2 2 3 3" xfId="28706"/>
    <cellStyle name="Normal 2 2 6 3 2 2 3 4" xfId="35675"/>
    <cellStyle name="Normal 2 2 6 3 2 2 4" xfId="12450"/>
    <cellStyle name="Normal 2 2 6 3 2 2 5" xfId="19417"/>
    <cellStyle name="Normal 2 2 6 3 2 2 6" xfId="26384"/>
    <cellStyle name="Normal 2 2 6 3 2 2 7" xfId="33352"/>
    <cellStyle name="Normal 2 2 6 3 2 3" xfId="9431"/>
    <cellStyle name="Normal 2 2 6 3 2 3 2" xfId="16469"/>
    <cellStyle name="Normal 2 2 6 3 2 3 3" xfId="23436"/>
    <cellStyle name="Normal 2 2 6 3 2 3 4" xfId="30403"/>
    <cellStyle name="Normal 2 2 6 3 2 3 5" xfId="37372"/>
    <cellStyle name="Normal 2 2 6 3 2 4" xfId="14149"/>
    <cellStyle name="Normal 2 2 6 3 2 4 2" xfId="21116"/>
    <cellStyle name="Normal 2 2 6 3 2 4 3" xfId="28083"/>
    <cellStyle name="Normal 2 2 6 3 2 4 4" xfId="35052"/>
    <cellStyle name="Normal 2 2 6 3 2 5" xfId="11827"/>
    <cellStyle name="Normal 2 2 6 3 2 6" xfId="18794"/>
    <cellStyle name="Normal 2 2 6 3 2 7" xfId="25761"/>
    <cellStyle name="Normal 2 2 6 3 2 8" xfId="32729"/>
    <cellStyle name="Normal 2 2 6 3 3" xfId="5246"/>
    <cellStyle name="Normal 2 2 6 3 3 2" xfId="10093"/>
    <cellStyle name="Normal 2 2 6 3 3 2 2" xfId="17091"/>
    <cellStyle name="Normal 2 2 6 3 3 2 3" xfId="24058"/>
    <cellStyle name="Normal 2 2 6 3 3 2 4" xfId="31025"/>
    <cellStyle name="Normal 2 2 6 3 3 2 5" xfId="37994"/>
    <cellStyle name="Normal 2 2 6 3 3 3" xfId="14771"/>
    <cellStyle name="Normal 2 2 6 3 3 3 2" xfId="21738"/>
    <cellStyle name="Normal 2 2 6 3 3 3 3" xfId="28705"/>
    <cellStyle name="Normal 2 2 6 3 3 3 4" xfId="35674"/>
    <cellStyle name="Normal 2 2 6 3 3 4" xfId="12449"/>
    <cellStyle name="Normal 2 2 6 3 3 5" xfId="19416"/>
    <cellStyle name="Normal 2 2 6 3 3 6" xfId="26383"/>
    <cellStyle name="Normal 2 2 6 3 3 7" xfId="33351"/>
    <cellStyle name="Normal 2 2 6 3 4" xfId="6829"/>
    <cellStyle name="Normal 2 2 6 3 5" xfId="8913"/>
    <cellStyle name="Normal 2 2 6 3 5 2" xfId="15965"/>
    <cellStyle name="Normal 2 2 6 3 5 2 2" xfId="22932"/>
    <cellStyle name="Normal 2 2 6 3 5 2 3" xfId="29899"/>
    <cellStyle name="Normal 2 2 6 3 5 2 4" xfId="36868"/>
    <cellStyle name="Normal 2 2 6 3 5 3" xfId="11321"/>
    <cellStyle name="Normal 2 2 6 3 5 4" xfId="18288"/>
    <cellStyle name="Normal 2 2 6 3 5 5" xfId="25255"/>
    <cellStyle name="Normal 2 2 6 3 5 6" xfId="32223"/>
    <cellStyle name="Normal 2 2 6 3 6" xfId="13643"/>
    <cellStyle name="Normal 2 2 6 3 6 2" xfId="20610"/>
    <cellStyle name="Normal 2 2 6 3 6 3" xfId="27577"/>
    <cellStyle name="Normal 2 2 6 3 6 4" xfId="34546"/>
    <cellStyle name="Normal 2 2 6 4" xfId="3481"/>
    <cellStyle name="Normal 2 2 6 4 2" xfId="5248"/>
    <cellStyle name="Normal 2 2 6 4 2 2" xfId="10095"/>
    <cellStyle name="Normal 2 2 6 4 2 2 2" xfId="17093"/>
    <cellStyle name="Normal 2 2 6 4 2 2 3" xfId="24060"/>
    <cellStyle name="Normal 2 2 6 4 2 2 4" xfId="31027"/>
    <cellStyle name="Normal 2 2 6 4 2 2 5" xfId="37996"/>
    <cellStyle name="Normal 2 2 6 4 2 3" xfId="14773"/>
    <cellStyle name="Normal 2 2 6 4 2 3 2" xfId="21740"/>
    <cellStyle name="Normal 2 2 6 4 2 3 3" xfId="28707"/>
    <cellStyle name="Normal 2 2 6 4 2 3 4" xfId="35676"/>
    <cellStyle name="Normal 2 2 6 4 2 4" xfId="12451"/>
    <cellStyle name="Normal 2 2 6 4 2 5" xfId="19418"/>
    <cellStyle name="Normal 2 2 6 4 2 6" xfId="26385"/>
    <cellStyle name="Normal 2 2 6 4 2 7" xfId="33353"/>
    <cellStyle name="Normal 2 2 6 4 3" xfId="9093"/>
    <cellStyle name="Normal 2 2 6 4 3 2" xfId="16132"/>
    <cellStyle name="Normal 2 2 6 4 3 3" xfId="23099"/>
    <cellStyle name="Normal 2 2 6 4 3 4" xfId="30066"/>
    <cellStyle name="Normal 2 2 6 4 3 5" xfId="37035"/>
    <cellStyle name="Normal 2 2 6 4 4" xfId="13812"/>
    <cellStyle name="Normal 2 2 6 4 4 2" xfId="20779"/>
    <cellStyle name="Normal 2 2 6 4 4 3" xfId="27746"/>
    <cellStyle name="Normal 2 2 6 4 4 4" xfId="34715"/>
    <cellStyle name="Normal 2 2 6 4 5" xfId="11490"/>
    <cellStyle name="Normal 2 2 6 4 6" xfId="18457"/>
    <cellStyle name="Normal 2 2 6 4 7" xfId="25424"/>
    <cellStyle name="Normal 2 2 6 4 8" xfId="32392"/>
    <cellStyle name="Normal 2 2 6 5" xfId="3656"/>
    <cellStyle name="Normal 2 2 6 5 2" xfId="5249"/>
    <cellStyle name="Normal 2 2 6 5 2 2" xfId="10096"/>
    <cellStyle name="Normal 2 2 6 5 2 2 2" xfId="17094"/>
    <cellStyle name="Normal 2 2 6 5 2 2 3" xfId="24061"/>
    <cellStyle name="Normal 2 2 6 5 2 2 4" xfId="31028"/>
    <cellStyle name="Normal 2 2 6 5 2 2 5" xfId="37997"/>
    <cellStyle name="Normal 2 2 6 5 2 3" xfId="14774"/>
    <cellStyle name="Normal 2 2 6 5 2 3 2" xfId="21741"/>
    <cellStyle name="Normal 2 2 6 5 2 3 3" xfId="28708"/>
    <cellStyle name="Normal 2 2 6 5 2 3 4" xfId="35677"/>
    <cellStyle name="Normal 2 2 6 5 2 4" xfId="12452"/>
    <cellStyle name="Normal 2 2 6 5 2 5" xfId="19419"/>
    <cellStyle name="Normal 2 2 6 5 2 6" xfId="26386"/>
    <cellStyle name="Normal 2 2 6 5 2 7" xfId="33354"/>
    <cellStyle name="Normal 2 2 6 5 3" xfId="9264"/>
    <cellStyle name="Normal 2 2 6 5 3 2" xfId="16303"/>
    <cellStyle name="Normal 2 2 6 5 3 3" xfId="23270"/>
    <cellStyle name="Normal 2 2 6 5 3 4" xfId="30237"/>
    <cellStyle name="Normal 2 2 6 5 3 5" xfId="37206"/>
    <cellStyle name="Normal 2 2 6 5 4" xfId="13983"/>
    <cellStyle name="Normal 2 2 6 5 4 2" xfId="20950"/>
    <cellStyle name="Normal 2 2 6 5 4 3" xfId="27917"/>
    <cellStyle name="Normal 2 2 6 5 4 4" xfId="34886"/>
    <cellStyle name="Normal 2 2 6 5 5" xfId="11661"/>
    <cellStyle name="Normal 2 2 6 5 6" xfId="18628"/>
    <cellStyle name="Normal 2 2 6 5 7" xfId="25595"/>
    <cellStyle name="Normal 2 2 6 5 8" xfId="32563"/>
    <cellStyle name="Normal 2 2 6 6" xfId="3933"/>
    <cellStyle name="Normal 2 2 6 6 2" xfId="5250"/>
    <cellStyle name="Normal 2 2 6 6 2 2" xfId="10097"/>
    <cellStyle name="Normal 2 2 6 6 2 2 2" xfId="17095"/>
    <cellStyle name="Normal 2 2 6 6 2 2 3" xfId="24062"/>
    <cellStyle name="Normal 2 2 6 6 2 2 4" xfId="31029"/>
    <cellStyle name="Normal 2 2 6 6 2 2 5" xfId="37998"/>
    <cellStyle name="Normal 2 2 6 6 2 3" xfId="14775"/>
    <cellStyle name="Normal 2 2 6 6 2 3 2" xfId="21742"/>
    <cellStyle name="Normal 2 2 6 6 2 3 3" xfId="28709"/>
    <cellStyle name="Normal 2 2 6 6 2 3 4" xfId="35678"/>
    <cellStyle name="Normal 2 2 6 6 2 4" xfId="12453"/>
    <cellStyle name="Normal 2 2 6 6 2 5" xfId="19420"/>
    <cellStyle name="Normal 2 2 6 6 2 6" xfId="26387"/>
    <cellStyle name="Normal 2 2 6 6 2 7" xfId="33355"/>
    <cellStyle name="Normal 2 2 6 6 3" xfId="9539"/>
    <cellStyle name="Normal 2 2 6 6 3 2" xfId="16575"/>
    <cellStyle name="Normal 2 2 6 6 3 3" xfId="23542"/>
    <cellStyle name="Normal 2 2 6 6 3 4" xfId="30509"/>
    <cellStyle name="Normal 2 2 6 6 3 5" xfId="37478"/>
    <cellStyle name="Normal 2 2 6 6 4" xfId="14255"/>
    <cellStyle name="Normal 2 2 6 6 4 2" xfId="21222"/>
    <cellStyle name="Normal 2 2 6 6 4 3" xfId="28189"/>
    <cellStyle name="Normal 2 2 6 6 4 4" xfId="35158"/>
    <cellStyle name="Normal 2 2 6 6 5" xfId="11933"/>
    <cellStyle name="Normal 2 2 6 6 6" xfId="18900"/>
    <cellStyle name="Normal 2 2 6 6 7" xfId="25867"/>
    <cellStyle name="Normal 2 2 6 6 8" xfId="32835"/>
    <cellStyle name="Normal 2 2 6 7" xfId="5239"/>
    <cellStyle name="Normal 2 2 6 7 2" xfId="10086"/>
    <cellStyle name="Normal 2 2 6 7 2 2" xfId="17084"/>
    <cellStyle name="Normal 2 2 6 7 2 3" xfId="24051"/>
    <cellStyle name="Normal 2 2 6 7 2 4" xfId="31018"/>
    <cellStyle name="Normal 2 2 6 7 2 5" xfId="37987"/>
    <cellStyle name="Normal 2 2 6 7 3" xfId="14764"/>
    <cellStyle name="Normal 2 2 6 7 3 2" xfId="21731"/>
    <cellStyle name="Normal 2 2 6 7 3 3" xfId="28698"/>
    <cellStyle name="Normal 2 2 6 7 3 4" xfId="35667"/>
    <cellStyle name="Normal 2 2 6 7 4" xfId="12442"/>
    <cellStyle name="Normal 2 2 6 7 5" xfId="19409"/>
    <cellStyle name="Normal 2 2 6 7 6" xfId="26376"/>
    <cellStyle name="Normal 2 2 6 7 7" xfId="33344"/>
    <cellStyle name="Normal 2 2 6 8" xfId="6827"/>
    <cellStyle name="Normal 2 2 6 8 2" xfId="10797"/>
    <cellStyle name="Normal 2 2 6 8 2 2" xfId="17771"/>
    <cellStyle name="Normal 2 2 6 8 2 3" xfId="24738"/>
    <cellStyle name="Normal 2 2 6 8 2 4" xfId="31705"/>
    <cellStyle name="Normal 2 2 6 8 2 5" xfId="38674"/>
    <cellStyle name="Normal 2 2 6 8 3" xfId="15451"/>
    <cellStyle name="Normal 2 2 6 8 3 2" xfId="22418"/>
    <cellStyle name="Normal 2 2 6 8 3 3" xfId="29385"/>
    <cellStyle name="Normal 2 2 6 8 3 4" xfId="36354"/>
    <cellStyle name="Normal 2 2 6 8 4" xfId="13129"/>
    <cellStyle name="Normal 2 2 6 8 5" xfId="20096"/>
    <cellStyle name="Normal 2 2 6 8 6" xfId="27063"/>
    <cellStyle name="Normal 2 2 6 8 7" xfId="34032"/>
    <cellStyle name="Normal 2 2 6 9" xfId="7140"/>
    <cellStyle name="Normal 2 2 6 9 2" xfId="15624"/>
    <cellStyle name="Normal 2 2 6 9 2 2" xfId="22591"/>
    <cellStyle name="Normal 2 2 6 9 2 3" xfId="29558"/>
    <cellStyle name="Normal 2 2 6 9 2 4" xfId="36527"/>
    <cellStyle name="Normal 2 2 6 9 3" xfId="13302"/>
    <cellStyle name="Normal 2 2 6 9 4" xfId="20269"/>
    <cellStyle name="Normal 2 2 6 9 5" xfId="27236"/>
    <cellStyle name="Normal 2 2 6 9 6" xfId="34205"/>
    <cellStyle name="Normal 2 2 7" xfId="1662"/>
    <cellStyle name="Normal 2 2 7 10" xfId="13476"/>
    <cellStyle name="Normal 2 2 7 10 2" xfId="20443"/>
    <cellStyle name="Normal 2 2 7 10 3" xfId="27410"/>
    <cellStyle name="Normal 2 2 7 10 4" xfId="34379"/>
    <cellStyle name="Normal 2 2 7 11" xfId="10982"/>
    <cellStyle name="Normal 2 2 7 12" xfId="17948"/>
    <cellStyle name="Normal 2 2 7 13" xfId="24916"/>
    <cellStyle name="Normal 2 2 7 14" xfId="31884"/>
    <cellStyle name="Normal 2 2 7 2" xfId="3281"/>
    <cellStyle name="Normal 2 2 7 2 2" xfId="3823"/>
    <cellStyle name="Normal 2 2 7 2 2 2" xfId="5253"/>
    <cellStyle name="Normal 2 2 7 2 2 2 2" xfId="10100"/>
    <cellStyle name="Normal 2 2 7 2 2 2 2 2" xfId="17098"/>
    <cellStyle name="Normal 2 2 7 2 2 2 2 3" xfId="24065"/>
    <cellStyle name="Normal 2 2 7 2 2 2 2 4" xfId="31032"/>
    <cellStyle name="Normal 2 2 7 2 2 2 2 5" xfId="38001"/>
    <cellStyle name="Normal 2 2 7 2 2 2 3" xfId="14778"/>
    <cellStyle name="Normal 2 2 7 2 2 2 3 2" xfId="21745"/>
    <cellStyle name="Normal 2 2 7 2 2 2 3 3" xfId="28712"/>
    <cellStyle name="Normal 2 2 7 2 2 2 3 4" xfId="35681"/>
    <cellStyle name="Normal 2 2 7 2 2 2 4" xfId="12456"/>
    <cellStyle name="Normal 2 2 7 2 2 2 5" xfId="19423"/>
    <cellStyle name="Normal 2 2 7 2 2 2 6" xfId="26390"/>
    <cellStyle name="Normal 2 2 7 2 2 2 7" xfId="33358"/>
    <cellStyle name="Normal 2 2 7 2 2 3" xfId="9429"/>
    <cellStyle name="Normal 2 2 7 2 2 3 2" xfId="16467"/>
    <cellStyle name="Normal 2 2 7 2 2 3 3" xfId="23434"/>
    <cellStyle name="Normal 2 2 7 2 2 3 4" xfId="30401"/>
    <cellStyle name="Normal 2 2 7 2 2 3 5" xfId="37370"/>
    <cellStyle name="Normal 2 2 7 2 2 4" xfId="14147"/>
    <cellStyle name="Normal 2 2 7 2 2 4 2" xfId="21114"/>
    <cellStyle name="Normal 2 2 7 2 2 4 3" xfId="28081"/>
    <cellStyle name="Normal 2 2 7 2 2 4 4" xfId="35050"/>
    <cellStyle name="Normal 2 2 7 2 2 5" xfId="11825"/>
    <cellStyle name="Normal 2 2 7 2 2 6" xfId="18792"/>
    <cellStyle name="Normal 2 2 7 2 2 7" xfId="25759"/>
    <cellStyle name="Normal 2 2 7 2 2 8" xfId="32727"/>
    <cellStyle name="Normal 2 2 7 2 3" xfId="5252"/>
    <cellStyle name="Normal 2 2 7 2 3 2" xfId="10099"/>
    <cellStyle name="Normal 2 2 7 2 3 2 2" xfId="17097"/>
    <cellStyle name="Normal 2 2 7 2 3 2 3" xfId="24064"/>
    <cellStyle name="Normal 2 2 7 2 3 2 4" xfId="31031"/>
    <cellStyle name="Normal 2 2 7 2 3 2 5" xfId="38000"/>
    <cellStyle name="Normal 2 2 7 2 3 3" xfId="14777"/>
    <cellStyle name="Normal 2 2 7 2 3 3 2" xfId="21744"/>
    <cellStyle name="Normal 2 2 7 2 3 3 3" xfId="28711"/>
    <cellStyle name="Normal 2 2 7 2 3 3 4" xfId="35680"/>
    <cellStyle name="Normal 2 2 7 2 3 4" xfId="12455"/>
    <cellStyle name="Normal 2 2 7 2 3 5" xfId="19422"/>
    <cellStyle name="Normal 2 2 7 2 3 6" xfId="26389"/>
    <cellStyle name="Normal 2 2 7 2 3 7" xfId="33357"/>
    <cellStyle name="Normal 2 2 7 2 4" xfId="8915"/>
    <cellStyle name="Normal 2 2 7 2 4 2" xfId="15967"/>
    <cellStyle name="Normal 2 2 7 2 4 3" xfId="22934"/>
    <cellStyle name="Normal 2 2 7 2 4 4" xfId="29901"/>
    <cellStyle name="Normal 2 2 7 2 4 5" xfId="36870"/>
    <cellStyle name="Normal 2 2 7 2 5" xfId="13645"/>
    <cellStyle name="Normal 2 2 7 2 5 2" xfId="20612"/>
    <cellStyle name="Normal 2 2 7 2 5 3" xfId="27579"/>
    <cellStyle name="Normal 2 2 7 2 5 4" xfId="34548"/>
    <cellStyle name="Normal 2 2 7 2 6" xfId="11323"/>
    <cellStyle name="Normal 2 2 7 2 7" xfId="18290"/>
    <cellStyle name="Normal 2 2 7 2 8" xfId="25257"/>
    <cellStyle name="Normal 2 2 7 2 9" xfId="32225"/>
    <cellStyle name="Normal 2 2 7 3" xfId="3483"/>
    <cellStyle name="Normal 2 2 7 3 2" xfId="5254"/>
    <cellStyle name="Normal 2 2 7 3 2 2" xfId="10101"/>
    <cellStyle name="Normal 2 2 7 3 2 2 2" xfId="17099"/>
    <cellStyle name="Normal 2 2 7 3 2 2 3" xfId="24066"/>
    <cellStyle name="Normal 2 2 7 3 2 2 4" xfId="31033"/>
    <cellStyle name="Normal 2 2 7 3 2 2 5" xfId="38002"/>
    <cellStyle name="Normal 2 2 7 3 2 3" xfId="14779"/>
    <cellStyle name="Normal 2 2 7 3 2 3 2" xfId="21746"/>
    <cellStyle name="Normal 2 2 7 3 2 3 3" xfId="28713"/>
    <cellStyle name="Normal 2 2 7 3 2 3 4" xfId="35682"/>
    <cellStyle name="Normal 2 2 7 3 2 4" xfId="12457"/>
    <cellStyle name="Normal 2 2 7 3 2 5" xfId="19424"/>
    <cellStyle name="Normal 2 2 7 3 2 6" xfId="26391"/>
    <cellStyle name="Normal 2 2 7 3 2 7" xfId="33359"/>
    <cellStyle name="Normal 2 2 7 3 3" xfId="9095"/>
    <cellStyle name="Normal 2 2 7 3 3 2" xfId="16134"/>
    <cellStyle name="Normal 2 2 7 3 3 3" xfId="23101"/>
    <cellStyle name="Normal 2 2 7 3 3 4" xfId="30068"/>
    <cellStyle name="Normal 2 2 7 3 3 5" xfId="37037"/>
    <cellStyle name="Normal 2 2 7 3 4" xfId="13814"/>
    <cellStyle name="Normal 2 2 7 3 4 2" xfId="20781"/>
    <cellStyle name="Normal 2 2 7 3 4 3" xfId="27748"/>
    <cellStyle name="Normal 2 2 7 3 4 4" xfId="34717"/>
    <cellStyle name="Normal 2 2 7 3 5" xfId="11492"/>
    <cellStyle name="Normal 2 2 7 3 6" xfId="18459"/>
    <cellStyle name="Normal 2 2 7 3 7" xfId="25426"/>
    <cellStyle name="Normal 2 2 7 3 8" xfId="32394"/>
    <cellStyle name="Normal 2 2 7 4" xfId="3658"/>
    <cellStyle name="Normal 2 2 7 4 2" xfId="5255"/>
    <cellStyle name="Normal 2 2 7 4 2 2" xfId="10102"/>
    <cellStyle name="Normal 2 2 7 4 2 2 2" xfId="17100"/>
    <cellStyle name="Normal 2 2 7 4 2 2 3" xfId="24067"/>
    <cellStyle name="Normal 2 2 7 4 2 2 4" xfId="31034"/>
    <cellStyle name="Normal 2 2 7 4 2 2 5" xfId="38003"/>
    <cellStyle name="Normal 2 2 7 4 2 3" xfId="14780"/>
    <cellStyle name="Normal 2 2 7 4 2 3 2" xfId="21747"/>
    <cellStyle name="Normal 2 2 7 4 2 3 3" xfId="28714"/>
    <cellStyle name="Normal 2 2 7 4 2 3 4" xfId="35683"/>
    <cellStyle name="Normal 2 2 7 4 2 4" xfId="12458"/>
    <cellStyle name="Normal 2 2 7 4 2 5" xfId="19425"/>
    <cellStyle name="Normal 2 2 7 4 2 6" xfId="26392"/>
    <cellStyle name="Normal 2 2 7 4 2 7" xfId="33360"/>
    <cellStyle name="Normal 2 2 7 4 3" xfId="9266"/>
    <cellStyle name="Normal 2 2 7 4 3 2" xfId="16305"/>
    <cellStyle name="Normal 2 2 7 4 3 3" xfId="23272"/>
    <cellStyle name="Normal 2 2 7 4 3 4" xfId="30239"/>
    <cellStyle name="Normal 2 2 7 4 3 5" xfId="37208"/>
    <cellStyle name="Normal 2 2 7 4 4" xfId="13985"/>
    <cellStyle name="Normal 2 2 7 4 4 2" xfId="20952"/>
    <cellStyle name="Normal 2 2 7 4 4 3" xfId="27919"/>
    <cellStyle name="Normal 2 2 7 4 4 4" xfId="34888"/>
    <cellStyle name="Normal 2 2 7 4 5" xfId="11663"/>
    <cellStyle name="Normal 2 2 7 4 6" xfId="18630"/>
    <cellStyle name="Normal 2 2 7 4 7" xfId="25597"/>
    <cellStyle name="Normal 2 2 7 4 8" xfId="32565"/>
    <cellStyle name="Normal 2 2 7 5" xfId="3935"/>
    <cellStyle name="Normal 2 2 7 5 2" xfId="5256"/>
    <cellStyle name="Normal 2 2 7 5 2 2" xfId="10103"/>
    <cellStyle name="Normal 2 2 7 5 2 2 2" xfId="17101"/>
    <cellStyle name="Normal 2 2 7 5 2 2 3" xfId="24068"/>
    <cellStyle name="Normal 2 2 7 5 2 2 4" xfId="31035"/>
    <cellStyle name="Normal 2 2 7 5 2 2 5" xfId="38004"/>
    <cellStyle name="Normal 2 2 7 5 2 3" xfId="14781"/>
    <cellStyle name="Normal 2 2 7 5 2 3 2" xfId="21748"/>
    <cellStyle name="Normal 2 2 7 5 2 3 3" xfId="28715"/>
    <cellStyle name="Normal 2 2 7 5 2 3 4" xfId="35684"/>
    <cellStyle name="Normal 2 2 7 5 2 4" xfId="12459"/>
    <cellStyle name="Normal 2 2 7 5 2 5" xfId="19426"/>
    <cellStyle name="Normal 2 2 7 5 2 6" xfId="26393"/>
    <cellStyle name="Normal 2 2 7 5 2 7" xfId="33361"/>
    <cellStyle name="Normal 2 2 7 5 3" xfId="9541"/>
    <cellStyle name="Normal 2 2 7 5 3 2" xfId="16577"/>
    <cellStyle name="Normal 2 2 7 5 3 3" xfId="23544"/>
    <cellStyle name="Normal 2 2 7 5 3 4" xfId="30511"/>
    <cellStyle name="Normal 2 2 7 5 3 5" xfId="37480"/>
    <cellStyle name="Normal 2 2 7 5 4" xfId="14257"/>
    <cellStyle name="Normal 2 2 7 5 4 2" xfId="21224"/>
    <cellStyle name="Normal 2 2 7 5 4 3" xfId="28191"/>
    <cellStyle name="Normal 2 2 7 5 4 4" xfId="35160"/>
    <cellStyle name="Normal 2 2 7 5 5" xfId="11935"/>
    <cellStyle name="Normal 2 2 7 5 6" xfId="18902"/>
    <cellStyle name="Normal 2 2 7 5 7" xfId="25869"/>
    <cellStyle name="Normal 2 2 7 5 8" xfId="32837"/>
    <cellStyle name="Normal 2 2 7 6" xfId="5251"/>
    <cellStyle name="Normal 2 2 7 6 2" xfId="10098"/>
    <cellStyle name="Normal 2 2 7 6 2 2" xfId="17096"/>
    <cellStyle name="Normal 2 2 7 6 2 3" xfId="24063"/>
    <cellStyle name="Normal 2 2 7 6 2 4" xfId="31030"/>
    <cellStyle name="Normal 2 2 7 6 2 5" xfId="37999"/>
    <cellStyle name="Normal 2 2 7 6 3" xfId="14776"/>
    <cellStyle name="Normal 2 2 7 6 3 2" xfId="21743"/>
    <cellStyle name="Normal 2 2 7 6 3 3" xfId="28710"/>
    <cellStyle name="Normal 2 2 7 6 3 4" xfId="35679"/>
    <cellStyle name="Normal 2 2 7 6 4" xfId="12454"/>
    <cellStyle name="Normal 2 2 7 6 5" xfId="19421"/>
    <cellStyle name="Normal 2 2 7 6 6" xfId="26388"/>
    <cellStyle name="Normal 2 2 7 6 7" xfId="33356"/>
    <cellStyle name="Normal 2 2 7 7" xfId="6830"/>
    <cellStyle name="Normal 2 2 7 7 2" xfId="10799"/>
    <cellStyle name="Normal 2 2 7 7 2 2" xfId="17773"/>
    <cellStyle name="Normal 2 2 7 7 2 3" xfId="24740"/>
    <cellStyle name="Normal 2 2 7 7 2 4" xfId="31707"/>
    <cellStyle name="Normal 2 2 7 7 2 5" xfId="38676"/>
    <cellStyle name="Normal 2 2 7 7 3" xfId="15453"/>
    <cellStyle name="Normal 2 2 7 7 3 2" xfId="22420"/>
    <cellStyle name="Normal 2 2 7 7 3 3" xfId="29387"/>
    <cellStyle name="Normal 2 2 7 7 3 4" xfId="36356"/>
    <cellStyle name="Normal 2 2 7 7 4" xfId="13131"/>
    <cellStyle name="Normal 2 2 7 7 5" xfId="20098"/>
    <cellStyle name="Normal 2 2 7 7 6" xfId="27065"/>
    <cellStyle name="Normal 2 2 7 7 7" xfId="34034"/>
    <cellStyle name="Normal 2 2 7 8" xfId="7142"/>
    <cellStyle name="Normal 2 2 7 8 2" xfId="15626"/>
    <cellStyle name="Normal 2 2 7 8 2 2" xfId="22593"/>
    <cellStyle name="Normal 2 2 7 8 2 3" xfId="29560"/>
    <cellStyle name="Normal 2 2 7 8 2 4" xfId="36529"/>
    <cellStyle name="Normal 2 2 7 8 3" xfId="13304"/>
    <cellStyle name="Normal 2 2 7 8 4" xfId="20271"/>
    <cellStyle name="Normal 2 2 7 8 5" xfId="27238"/>
    <cellStyle name="Normal 2 2 7 8 6" xfId="34207"/>
    <cellStyle name="Normal 2 2 7 9" xfId="8025"/>
    <cellStyle name="Normal 2 2 7 9 2" xfId="15798"/>
    <cellStyle name="Normal 2 2 7 9 2 2" xfId="22765"/>
    <cellStyle name="Normal 2 2 7 9 2 3" xfId="29732"/>
    <cellStyle name="Normal 2 2 7 9 2 4" xfId="36701"/>
    <cellStyle name="Normal 2 2 7 9 3" xfId="11154"/>
    <cellStyle name="Normal 2 2 7 9 4" xfId="18121"/>
    <cellStyle name="Normal 2 2 7 9 5" xfId="25088"/>
    <cellStyle name="Normal 2 2 7 9 6" xfId="32056"/>
    <cellStyle name="Normal 2 2 8" xfId="1663"/>
    <cellStyle name="Normal 2 2 8 10" xfId="13477"/>
    <cellStyle name="Normal 2 2 8 10 2" xfId="20444"/>
    <cellStyle name="Normal 2 2 8 10 3" xfId="27411"/>
    <cellStyle name="Normal 2 2 8 10 4" xfId="34380"/>
    <cellStyle name="Normal 2 2 8 11" xfId="10983"/>
    <cellStyle name="Normal 2 2 8 12" xfId="17949"/>
    <cellStyle name="Normal 2 2 8 13" xfId="24917"/>
    <cellStyle name="Normal 2 2 8 14" xfId="31885"/>
    <cellStyle name="Normal 2 2 8 2" xfId="3282"/>
    <cellStyle name="Normal 2 2 8 2 2" xfId="5258"/>
    <cellStyle name="Normal 2 2 8 2 2 2" xfId="10105"/>
    <cellStyle name="Normal 2 2 8 2 2 2 2" xfId="17103"/>
    <cellStyle name="Normal 2 2 8 2 2 2 3" xfId="24070"/>
    <cellStyle name="Normal 2 2 8 2 2 2 4" xfId="31037"/>
    <cellStyle name="Normal 2 2 8 2 2 2 5" xfId="38006"/>
    <cellStyle name="Normal 2 2 8 2 2 3" xfId="14783"/>
    <cellStyle name="Normal 2 2 8 2 2 3 2" xfId="21750"/>
    <cellStyle name="Normal 2 2 8 2 2 3 3" xfId="28717"/>
    <cellStyle name="Normal 2 2 8 2 2 3 4" xfId="35686"/>
    <cellStyle name="Normal 2 2 8 2 2 4" xfId="12461"/>
    <cellStyle name="Normal 2 2 8 2 2 5" xfId="19428"/>
    <cellStyle name="Normal 2 2 8 2 2 6" xfId="26395"/>
    <cellStyle name="Normal 2 2 8 2 2 7" xfId="33363"/>
    <cellStyle name="Normal 2 2 8 2 3" xfId="8916"/>
    <cellStyle name="Normal 2 2 8 2 3 2" xfId="15968"/>
    <cellStyle name="Normal 2 2 8 2 3 3" xfId="22935"/>
    <cellStyle name="Normal 2 2 8 2 3 4" xfId="29902"/>
    <cellStyle name="Normal 2 2 8 2 3 5" xfId="36871"/>
    <cellStyle name="Normal 2 2 8 2 4" xfId="13646"/>
    <cellStyle name="Normal 2 2 8 2 4 2" xfId="20613"/>
    <cellStyle name="Normal 2 2 8 2 4 3" xfId="27580"/>
    <cellStyle name="Normal 2 2 8 2 4 4" xfId="34549"/>
    <cellStyle name="Normal 2 2 8 2 5" xfId="11324"/>
    <cellStyle name="Normal 2 2 8 2 6" xfId="18291"/>
    <cellStyle name="Normal 2 2 8 2 7" xfId="25258"/>
    <cellStyle name="Normal 2 2 8 2 8" xfId="32226"/>
    <cellStyle name="Normal 2 2 8 3" xfId="3484"/>
    <cellStyle name="Normal 2 2 8 3 2" xfId="5259"/>
    <cellStyle name="Normal 2 2 8 3 2 2" xfId="10106"/>
    <cellStyle name="Normal 2 2 8 3 2 2 2" xfId="17104"/>
    <cellStyle name="Normal 2 2 8 3 2 2 3" xfId="24071"/>
    <cellStyle name="Normal 2 2 8 3 2 2 4" xfId="31038"/>
    <cellStyle name="Normal 2 2 8 3 2 2 5" xfId="38007"/>
    <cellStyle name="Normal 2 2 8 3 2 3" xfId="14784"/>
    <cellStyle name="Normal 2 2 8 3 2 3 2" xfId="21751"/>
    <cellStyle name="Normal 2 2 8 3 2 3 3" xfId="28718"/>
    <cellStyle name="Normal 2 2 8 3 2 3 4" xfId="35687"/>
    <cellStyle name="Normal 2 2 8 3 2 4" xfId="12462"/>
    <cellStyle name="Normal 2 2 8 3 2 5" xfId="19429"/>
    <cellStyle name="Normal 2 2 8 3 2 6" xfId="26396"/>
    <cellStyle name="Normal 2 2 8 3 2 7" xfId="33364"/>
    <cellStyle name="Normal 2 2 8 3 3" xfId="9096"/>
    <cellStyle name="Normal 2 2 8 3 3 2" xfId="16135"/>
    <cellStyle name="Normal 2 2 8 3 3 3" xfId="23102"/>
    <cellStyle name="Normal 2 2 8 3 3 4" xfId="30069"/>
    <cellStyle name="Normal 2 2 8 3 3 5" xfId="37038"/>
    <cellStyle name="Normal 2 2 8 3 4" xfId="13815"/>
    <cellStyle name="Normal 2 2 8 3 4 2" xfId="20782"/>
    <cellStyle name="Normal 2 2 8 3 4 3" xfId="27749"/>
    <cellStyle name="Normal 2 2 8 3 4 4" xfId="34718"/>
    <cellStyle name="Normal 2 2 8 3 5" xfId="11493"/>
    <cellStyle name="Normal 2 2 8 3 6" xfId="18460"/>
    <cellStyle name="Normal 2 2 8 3 7" xfId="25427"/>
    <cellStyle name="Normal 2 2 8 3 8" xfId="32395"/>
    <cellStyle name="Normal 2 2 8 4" xfId="3659"/>
    <cellStyle name="Normal 2 2 8 4 2" xfId="5260"/>
    <cellStyle name="Normal 2 2 8 4 2 2" xfId="10107"/>
    <cellStyle name="Normal 2 2 8 4 2 2 2" xfId="17105"/>
    <cellStyle name="Normal 2 2 8 4 2 2 3" xfId="24072"/>
    <cellStyle name="Normal 2 2 8 4 2 2 4" xfId="31039"/>
    <cellStyle name="Normal 2 2 8 4 2 2 5" xfId="38008"/>
    <cellStyle name="Normal 2 2 8 4 2 3" xfId="14785"/>
    <cellStyle name="Normal 2 2 8 4 2 3 2" xfId="21752"/>
    <cellStyle name="Normal 2 2 8 4 2 3 3" xfId="28719"/>
    <cellStyle name="Normal 2 2 8 4 2 3 4" xfId="35688"/>
    <cellStyle name="Normal 2 2 8 4 2 4" xfId="12463"/>
    <cellStyle name="Normal 2 2 8 4 2 5" xfId="19430"/>
    <cellStyle name="Normal 2 2 8 4 2 6" xfId="26397"/>
    <cellStyle name="Normal 2 2 8 4 2 7" xfId="33365"/>
    <cellStyle name="Normal 2 2 8 4 3" xfId="9267"/>
    <cellStyle name="Normal 2 2 8 4 3 2" xfId="16306"/>
    <cellStyle name="Normal 2 2 8 4 3 3" xfId="23273"/>
    <cellStyle name="Normal 2 2 8 4 3 4" xfId="30240"/>
    <cellStyle name="Normal 2 2 8 4 3 5" xfId="37209"/>
    <cellStyle name="Normal 2 2 8 4 4" xfId="13986"/>
    <cellStyle name="Normal 2 2 8 4 4 2" xfId="20953"/>
    <cellStyle name="Normal 2 2 8 4 4 3" xfId="27920"/>
    <cellStyle name="Normal 2 2 8 4 4 4" xfId="34889"/>
    <cellStyle name="Normal 2 2 8 4 5" xfId="11664"/>
    <cellStyle name="Normal 2 2 8 4 6" xfId="18631"/>
    <cellStyle name="Normal 2 2 8 4 7" xfId="25598"/>
    <cellStyle name="Normal 2 2 8 4 8" xfId="32566"/>
    <cellStyle name="Normal 2 2 8 5" xfId="3936"/>
    <cellStyle name="Normal 2 2 8 5 2" xfId="5261"/>
    <cellStyle name="Normal 2 2 8 5 2 2" xfId="10108"/>
    <cellStyle name="Normal 2 2 8 5 2 2 2" xfId="17106"/>
    <cellStyle name="Normal 2 2 8 5 2 2 3" xfId="24073"/>
    <cellStyle name="Normal 2 2 8 5 2 2 4" xfId="31040"/>
    <cellStyle name="Normal 2 2 8 5 2 2 5" xfId="38009"/>
    <cellStyle name="Normal 2 2 8 5 2 3" xfId="14786"/>
    <cellStyle name="Normal 2 2 8 5 2 3 2" xfId="21753"/>
    <cellStyle name="Normal 2 2 8 5 2 3 3" xfId="28720"/>
    <cellStyle name="Normal 2 2 8 5 2 3 4" xfId="35689"/>
    <cellStyle name="Normal 2 2 8 5 2 4" xfId="12464"/>
    <cellStyle name="Normal 2 2 8 5 2 5" xfId="19431"/>
    <cellStyle name="Normal 2 2 8 5 2 6" xfId="26398"/>
    <cellStyle name="Normal 2 2 8 5 2 7" xfId="33366"/>
    <cellStyle name="Normal 2 2 8 5 3" xfId="9542"/>
    <cellStyle name="Normal 2 2 8 5 3 2" xfId="16578"/>
    <cellStyle name="Normal 2 2 8 5 3 3" xfId="23545"/>
    <cellStyle name="Normal 2 2 8 5 3 4" xfId="30512"/>
    <cellStyle name="Normal 2 2 8 5 3 5" xfId="37481"/>
    <cellStyle name="Normal 2 2 8 5 4" xfId="14258"/>
    <cellStyle name="Normal 2 2 8 5 4 2" xfId="21225"/>
    <cellStyle name="Normal 2 2 8 5 4 3" xfId="28192"/>
    <cellStyle name="Normal 2 2 8 5 4 4" xfId="35161"/>
    <cellStyle name="Normal 2 2 8 5 5" xfId="11936"/>
    <cellStyle name="Normal 2 2 8 5 6" xfId="18903"/>
    <cellStyle name="Normal 2 2 8 5 7" xfId="25870"/>
    <cellStyle name="Normal 2 2 8 5 8" xfId="32838"/>
    <cellStyle name="Normal 2 2 8 6" xfId="5257"/>
    <cellStyle name="Normal 2 2 8 6 2" xfId="10104"/>
    <cellStyle name="Normal 2 2 8 6 2 2" xfId="17102"/>
    <cellStyle name="Normal 2 2 8 6 2 3" xfId="24069"/>
    <cellStyle name="Normal 2 2 8 6 2 4" xfId="31036"/>
    <cellStyle name="Normal 2 2 8 6 2 5" xfId="38005"/>
    <cellStyle name="Normal 2 2 8 6 3" xfId="14782"/>
    <cellStyle name="Normal 2 2 8 6 3 2" xfId="21749"/>
    <cellStyle name="Normal 2 2 8 6 3 3" xfId="28716"/>
    <cellStyle name="Normal 2 2 8 6 3 4" xfId="35685"/>
    <cellStyle name="Normal 2 2 8 6 4" xfId="12460"/>
    <cellStyle name="Normal 2 2 8 6 5" xfId="19427"/>
    <cellStyle name="Normal 2 2 8 6 6" xfId="26394"/>
    <cellStyle name="Normal 2 2 8 6 7" xfId="33362"/>
    <cellStyle name="Normal 2 2 8 7" xfId="6831"/>
    <cellStyle name="Normal 2 2 8 7 2" xfId="10800"/>
    <cellStyle name="Normal 2 2 8 7 2 2" xfId="17774"/>
    <cellStyle name="Normal 2 2 8 7 2 3" xfId="24741"/>
    <cellStyle name="Normal 2 2 8 7 2 4" xfId="31708"/>
    <cellStyle name="Normal 2 2 8 7 2 5" xfId="38677"/>
    <cellStyle name="Normal 2 2 8 7 3" xfId="15454"/>
    <cellStyle name="Normal 2 2 8 7 3 2" xfId="22421"/>
    <cellStyle name="Normal 2 2 8 7 3 3" xfId="29388"/>
    <cellStyle name="Normal 2 2 8 7 3 4" xfId="36357"/>
    <cellStyle name="Normal 2 2 8 7 4" xfId="13132"/>
    <cellStyle name="Normal 2 2 8 7 5" xfId="20099"/>
    <cellStyle name="Normal 2 2 8 7 6" xfId="27066"/>
    <cellStyle name="Normal 2 2 8 7 7" xfId="34035"/>
    <cellStyle name="Normal 2 2 8 8" xfId="7143"/>
    <cellStyle name="Normal 2 2 8 8 2" xfId="15627"/>
    <cellStyle name="Normal 2 2 8 8 2 2" xfId="22594"/>
    <cellStyle name="Normal 2 2 8 8 2 3" xfId="29561"/>
    <cellStyle name="Normal 2 2 8 8 2 4" xfId="36530"/>
    <cellStyle name="Normal 2 2 8 8 3" xfId="13305"/>
    <cellStyle name="Normal 2 2 8 8 4" xfId="20272"/>
    <cellStyle name="Normal 2 2 8 8 5" xfId="27239"/>
    <cellStyle name="Normal 2 2 8 8 6" xfId="34208"/>
    <cellStyle name="Normal 2 2 8 9" xfId="8026"/>
    <cellStyle name="Normal 2 2 8 9 2" xfId="15799"/>
    <cellStyle name="Normal 2 2 8 9 2 2" xfId="22766"/>
    <cellStyle name="Normal 2 2 8 9 2 3" xfId="29733"/>
    <cellStyle name="Normal 2 2 8 9 2 4" xfId="36702"/>
    <cellStyle name="Normal 2 2 8 9 3" xfId="11155"/>
    <cellStyle name="Normal 2 2 8 9 4" xfId="18122"/>
    <cellStyle name="Normal 2 2 8 9 5" xfId="25089"/>
    <cellStyle name="Normal 2 2 8 9 6" xfId="32057"/>
    <cellStyle name="Normal 2 2 9" xfId="1664"/>
    <cellStyle name="Normal 2 2 9 10" xfId="13478"/>
    <cellStyle name="Normal 2 2 9 10 2" xfId="20445"/>
    <cellStyle name="Normal 2 2 9 10 3" xfId="27412"/>
    <cellStyle name="Normal 2 2 9 10 4" xfId="34381"/>
    <cellStyle name="Normal 2 2 9 11" xfId="10984"/>
    <cellStyle name="Normal 2 2 9 12" xfId="17950"/>
    <cellStyle name="Normal 2 2 9 13" xfId="24918"/>
    <cellStyle name="Normal 2 2 9 14" xfId="31886"/>
    <cellStyle name="Normal 2 2 9 2" xfId="3283"/>
    <cellStyle name="Normal 2 2 9 2 2" xfId="5263"/>
    <cellStyle name="Normal 2 2 9 2 2 2" xfId="10110"/>
    <cellStyle name="Normal 2 2 9 2 2 2 2" xfId="17108"/>
    <cellStyle name="Normal 2 2 9 2 2 2 3" xfId="24075"/>
    <cellStyle name="Normal 2 2 9 2 2 2 4" xfId="31042"/>
    <cellStyle name="Normal 2 2 9 2 2 2 5" xfId="38011"/>
    <cellStyle name="Normal 2 2 9 2 2 3" xfId="14788"/>
    <cellStyle name="Normal 2 2 9 2 2 3 2" xfId="21755"/>
    <cellStyle name="Normal 2 2 9 2 2 3 3" xfId="28722"/>
    <cellStyle name="Normal 2 2 9 2 2 3 4" xfId="35691"/>
    <cellStyle name="Normal 2 2 9 2 2 4" xfId="12466"/>
    <cellStyle name="Normal 2 2 9 2 2 5" xfId="19433"/>
    <cellStyle name="Normal 2 2 9 2 2 6" xfId="26400"/>
    <cellStyle name="Normal 2 2 9 2 2 7" xfId="33368"/>
    <cellStyle name="Normal 2 2 9 2 3" xfId="8917"/>
    <cellStyle name="Normal 2 2 9 2 3 2" xfId="15969"/>
    <cellStyle name="Normal 2 2 9 2 3 3" xfId="22936"/>
    <cellStyle name="Normal 2 2 9 2 3 4" xfId="29903"/>
    <cellStyle name="Normal 2 2 9 2 3 5" xfId="36872"/>
    <cellStyle name="Normal 2 2 9 2 4" xfId="13647"/>
    <cellStyle name="Normal 2 2 9 2 4 2" xfId="20614"/>
    <cellStyle name="Normal 2 2 9 2 4 3" xfId="27581"/>
    <cellStyle name="Normal 2 2 9 2 4 4" xfId="34550"/>
    <cellStyle name="Normal 2 2 9 2 5" xfId="11325"/>
    <cellStyle name="Normal 2 2 9 2 6" xfId="18292"/>
    <cellStyle name="Normal 2 2 9 2 7" xfId="25259"/>
    <cellStyle name="Normal 2 2 9 2 8" xfId="32227"/>
    <cellStyle name="Normal 2 2 9 3" xfId="3485"/>
    <cellStyle name="Normal 2 2 9 3 2" xfId="5264"/>
    <cellStyle name="Normal 2 2 9 3 2 2" xfId="10111"/>
    <cellStyle name="Normal 2 2 9 3 2 2 2" xfId="17109"/>
    <cellStyle name="Normal 2 2 9 3 2 2 3" xfId="24076"/>
    <cellStyle name="Normal 2 2 9 3 2 2 4" xfId="31043"/>
    <cellStyle name="Normal 2 2 9 3 2 2 5" xfId="38012"/>
    <cellStyle name="Normal 2 2 9 3 2 3" xfId="14789"/>
    <cellStyle name="Normal 2 2 9 3 2 3 2" xfId="21756"/>
    <cellStyle name="Normal 2 2 9 3 2 3 3" xfId="28723"/>
    <cellStyle name="Normal 2 2 9 3 2 3 4" xfId="35692"/>
    <cellStyle name="Normal 2 2 9 3 2 4" xfId="12467"/>
    <cellStyle name="Normal 2 2 9 3 2 5" xfId="19434"/>
    <cellStyle name="Normal 2 2 9 3 2 6" xfId="26401"/>
    <cellStyle name="Normal 2 2 9 3 2 7" xfId="33369"/>
    <cellStyle name="Normal 2 2 9 3 3" xfId="9097"/>
    <cellStyle name="Normal 2 2 9 3 3 2" xfId="16136"/>
    <cellStyle name="Normal 2 2 9 3 3 3" xfId="23103"/>
    <cellStyle name="Normal 2 2 9 3 3 4" xfId="30070"/>
    <cellStyle name="Normal 2 2 9 3 3 5" xfId="37039"/>
    <cellStyle name="Normal 2 2 9 3 4" xfId="13816"/>
    <cellStyle name="Normal 2 2 9 3 4 2" xfId="20783"/>
    <cellStyle name="Normal 2 2 9 3 4 3" xfId="27750"/>
    <cellStyle name="Normal 2 2 9 3 4 4" xfId="34719"/>
    <cellStyle name="Normal 2 2 9 3 5" xfId="11494"/>
    <cellStyle name="Normal 2 2 9 3 6" xfId="18461"/>
    <cellStyle name="Normal 2 2 9 3 7" xfId="25428"/>
    <cellStyle name="Normal 2 2 9 3 8" xfId="32396"/>
    <cellStyle name="Normal 2 2 9 4" xfId="3660"/>
    <cellStyle name="Normal 2 2 9 4 2" xfId="5265"/>
    <cellStyle name="Normal 2 2 9 4 2 2" xfId="10112"/>
    <cellStyle name="Normal 2 2 9 4 2 2 2" xfId="17110"/>
    <cellStyle name="Normal 2 2 9 4 2 2 3" xfId="24077"/>
    <cellStyle name="Normal 2 2 9 4 2 2 4" xfId="31044"/>
    <cellStyle name="Normal 2 2 9 4 2 2 5" xfId="38013"/>
    <cellStyle name="Normal 2 2 9 4 2 3" xfId="14790"/>
    <cellStyle name="Normal 2 2 9 4 2 3 2" xfId="21757"/>
    <cellStyle name="Normal 2 2 9 4 2 3 3" xfId="28724"/>
    <cellStyle name="Normal 2 2 9 4 2 3 4" xfId="35693"/>
    <cellStyle name="Normal 2 2 9 4 2 4" xfId="12468"/>
    <cellStyle name="Normal 2 2 9 4 2 5" xfId="19435"/>
    <cellStyle name="Normal 2 2 9 4 2 6" xfId="26402"/>
    <cellStyle name="Normal 2 2 9 4 2 7" xfId="33370"/>
    <cellStyle name="Normal 2 2 9 4 3" xfId="9268"/>
    <cellStyle name="Normal 2 2 9 4 3 2" xfId="16307"/>
    <cellStyle name="Normal 2 2 9 4 3 3" xfId="23274"/>
    <cellStyle name="Normal 2 2 9 4 3 4" xfId="30241"/>
    <cellStyle name="Normal 2 2 9 4 3 5" xfId="37210"/>
    <cellStyle name="Normal 2 2 9 4 4" xfId="13987"/>
    <cellStyle name="Normal 2 2 9 4 4 2" xfId="20954"/>
    <cellStyle name="Normal 2 2 9 4 4 3" xfId="27921"/>
    <cellStyle name="Normal 2 2 9 4 4 4" xfId="34890"/>
    <cellStyle name="Normal 2 2 9 4 5" xfId="11665"/>
    <cellStyle name="Normal 2 2 9 4 6" xfId="18632"/>
    <cellStyle name="Normal 2 2 9 4 7" xfId="25599"/>
    <cellStyle name="Normal 2 2 9 4 8" xfId="32567"/>
    <cellStyle name="Normal 2 2 9 5" xfId="3937"/>
    <cellStyle name="Normal 2 2 9 5 2" xfId="5266"/>
    <cellStyle name="Normal 2 2 9 5 2 2" xfId="10113"/>
    <cellStyle name="Normal 2 2 9 5 2 2 2" xfId="17111"/>
    <cellStyle name="Normal 2 2 9 5 2 2 3" xfId="24078"/>
    <cellStyle name="Normal 2 2 9 5 2 2 4" xfId="31045"/>
    <cellStyle name="Normal 2 2 9 5 2 2 5" xfId="38014"/>
    <cellStyle name="Normal 2 2 9 5 2 3" xfId="14791"/>
    <cellStyle name="Normal 2 2 9 5 2 3 2" xfId="21758"/>
    <cellStyle name="Normal 2 2 9 5 2 3 3" xfId="28725"/>
    <cellStyle name="Normal 2 2 9 5 2 3 4" xfId="35694"/>
    <cellStyle name="Normal 2 2 9 5 2 4" xfId="12469"/>
    <cellStyle name="Normal 2 2 9 5 2 5" xfId="19436"/>
    <cellStyle name="Normal 2 2 9 5 2 6" xfId="26403"/>
    <cellStyle name="Normal 2 2 9 5 2 7" xfId="33371"/>
    <cellStyle name="Normal 2 2 9 5 3" xfId="9543"/>
    <cellStyle name="Normal 2 2 9 5 3 2" xfId="16579"/>
    <cellStyle name="Normal 2 2 9 5 3 3" xfId="23546"/>
    <cellStyle name="Normal 2 2 9 5 3 4" xfId="30513"/>
    <cellStyle name="Normal 2 2 9 5 3 5" xfId="37482"/>
    <cellStyle name="Normal 2 2 9 5 4" xfId="14259"/>
    <cellStyle name="Normal 2 2 9 5 4 2" xfId="21226"/>
    <cellStyle name="Normal 2 2 9 5 4 3" xfId="28193"/>
    <cellStyle name="Normal 2 2 9 5 4 4" xfId="35162"/>
    <cellStyle name="Normal 2 2 9 5 5" xfId="11937"/>
    <cellStyle name="Normal 2 2 9 5 6" xfId="18904"/>
    <cellStyle name="Normal 2 2 9 5 7" xfId="25871"/>
    <cellStyle name="Normal 2 2 9 5 8" xfId="32839"/>
    <cellStyle name="Normal 2 2 9 6" xfId="5262"/>
    <cellStyle name="Normal 2 2 9 6 2" xfId="10109"/>
    <cellStyle name="Normal 2 2 9 6 2 2" xfId="17107"/>
    <cellStyle name="Normal 2 2 9 6 2 3" xfId="24074"/>
    <cellStyle name="Normal 2 2 9 6 2 4" xfId="31041"/>
    <cellStyle name="Normal 2 2 9 6 2 5" xfId="38010"/>
    <cellStyle name="Normal 2 2 9 6 3" xfId="14787"/>
    <cellStyle name="Normal 2 2 9 6 3 2" xfId="21754"/>
    <cellStyle name="Normal 2 2 9 6 3 3" xfId="28721"/>
    <cellStyle name="Normal 2 2 9 6 3 4" xfId="35690"/>
    <cellStyle name="Normal 2 2 9 6 4" xfId="12465"/>
    <cellStyle name="Normal 2 2 9 6 5" xfId="19432"/>
    <cellStyle name="Normal 2 2 9 6 6" xfId="26399"/>
    <cellStyle name="Normal 2 2 9 6 7" xfId="33367"/>
    <cellStyle name="Normal 2 2 9 7" xfId="6832"/>
    <cellStyle name="Normal 2 2 9 7 2" xfId="10801"/>
    <cellStyle name="Normal 2 2 9 7 2 2" xfId="17775"/>
    <cellStyle name="Normal 2 2 9 7 2 3" xfId="24742"/>
    <cellStyle name="Normal 2 2 9 7 2 4" xfId="31709"/>
    <cellStyle name="Normal 2 2 9 7 2 5" xfId="38678"/>
    <cellStyle name="Normal 2 2 9 7 3" xfId="15455"/>
    <cellStyle name="Normal 2 2 9 7 3 2" xfId="22422"/>
    <cellStyle name="Normal 2 2 9 7 3 3" xfId="29389"/>
    <cellStyle name="Normal 2 2 9 7 3 4" xfId="36358"/>
    <cellStyle name="Normal 2 2 9 7 4" xfId="13133"/>
    <cellStyle name="Normal 2 2 9 7 5" xfId="20100"/>
    <cellStyle name="Normal 2 2 9 7 6" xfId="27067"/>
    <cellStyle name="Normal 2 2 9 7 7" xfId="34036"/>
    <cellStyle name="Normal 2 2 9 8" xfId="7144"/>
    <cellStyle name="Normal 2 2 9 8 2" xfId="15628"/>
    <cellStyle name="Normal 2 2 9 8 2 2" xfId="22595"/>
    <cellStyle name="Normal 2 2 9 8 2 3" xfId="29562"/>
    <cellStyle name="Normal 2 2 9 8 2 4" xfId="36531"/>
    <cellStyle name="Normal 2 2 9 8 3" xfId="13306"/>
    <cellStyle name="Normal 2 2 9 8 4" xfId="20273"/>
    <cellStyle name="Normal 2 2 9 8 5" xfId="27240"/>
    <cellStyle name="Normal 2 2 9 8 6" xfId="34209"/>
    <cellStyle name="Normal 2 2 9 9" xfId="8027"/>
    <cellStyle name="Normal 2 2 9 9 2" xfId="15800"/>
    <cellStyle name="Normal 2 2 9 9 2 2" xfId="22767"/>
    <cellStyle name="Normal 2 2 9 9 2 3" xfId="29734"/>
    <cellStyle name="Normal 2 2 9 9 2 4" xfId="36703"/>
    <cellStyle name="Normal 2 2 9 9 3" xfId="11156"/>
    <cellStyle name="Normal 2 2 9 9 4" xfId="18123"/>
    <cellStyle name="Normal 2 2 9 9 5" xfId="25090"/>
    <cellStyle name="Normal 2 2 9 9 6" xfId="32058"/>
    <cellStyle name="Normal 2 2_Sheet1" xfId="1665"/>
    <cellStyle name="Normal 2 20" xfId="24877"/>
    <cellStyle name="Normal 2 21" xfId="31845"/>
    <cellStyle name="Normal 2 3" xfId="1666"/>
    <cellStyle name="Normal 2 3 10" xfId="4090"/>
    <cellStyle name="Normal 2 3 11" xfId="5267"/>
    <cellStyle name="Normal 2 3 12" xfId="8028"/>
    <cellStyle name="Normal 2 3 2" xfId="1667"/>
    <cellStyle name="Normal 2 3 2 10" xfId="5268"/>
    <cellStyle name="Normal 2 3 2 11" xfId="8029"/>
    <cellStyle name="Normal 2 3 2 2" xfId="1668"/>
    <cellStyle name="Normal 2 3 2 2 10" xfId="5269"/>
    <cellStyle name="Normal 2 3 2 2 10 2" xfId="10114"/>
    <cellStyle name="Normal 2 3 2 2 10 2 2" xfId="17112"/>
    <cellStyle name="Normal 2 3 2 2 10 2 3" xfId="24079"/>
    <cellStyle name="Normal 2 3 2 2 10 2 4" xfId="31046"/>
    <cellStyle name="Normal 2 3 2 2 10 2 5" xfId="38015"/>
    <cellStyle name="Normal 2 3 2 2 10 3" xfId="14792"/>
    <cellStyle name="Normal 2 3 2 2 10 3 2" xfId="21759"/>
    <cellStyle name="Normal 2 3 2 2 10 3 3" xfId="28726"/>
    <cellStyle name="Normal 2 3 2 2 10 3 4" xfId="35695"/>
    <cellStyle name="Normal 2 3 2 2 10 4" xfId="12470"/>
    <cellStyle name="Normal 2 3 2 2 10 5" xfId="19437"/>
    <cellStyle name="Normal 2 3 2 2 10 6" xfId="26404"/>
    <cellStyle name="Normal 2 3 2 2 10 7" xfId="33372"/>
    <cellStyle name="Normal 2 3 2 2 11" xfId="6833"/>
    <cellStyle name="Normal 2 3 2 2 11 2" xfId="10802"/>
    <cellStyle name="Normal 2 3 2 2 11 2 2" xfId="17776"/>
    <cellStyle name="Normal 2 3 2 2 11 2 3" xfId="24743"/>
    <cellStyle name="Normal 2 3 2 2 11 2 4" xfId="31710"/>
    <cellStyle name="Normal 2 3 2 2 11 2 5" xfId="38679"/>
    <cellStyle name="Normal 2 3 2 2 11 3" xfId="15456"/>
    <cellStyle name="Normal 2 3 2 2 11 3 2" xfId="22423"/>
    <cellStyle name="Normal 2 3 2 2 11 3 3" xfId="29390"/>
    <cellStyle name="Normal 2 3 2 2 11 3 4" xfId="36359"/>
    <cellStyle name="Normal 2 3 2 2 11 4" xfId="13134"/>
    <cellStyle name="Normal 2 3 2 2 11 5" xfId="20101"/>
    <cellStyle name="Normal 2 3 2 2 11 6" xfId="27068"/>
    <cellStyle name="Normal 2 3 2 2 11 7" xfId="34037"/>
    <cellStyle name="Normal 2 3 2 2 12" xfId="7145"/>
    <cellStyle name="Normal 2 3 2 2 12 2" xfId="15629"/>
    <cellStyle name="Normal 2 3 2 2 12 2 2" xfId="22596"/>
    <cellStyle name="Normal 2 3 2 2 12 2 3" xfId="29563"/>
    <cellStyle name="Normal 2 3 2 2 12 2 4" xfId="36532"/>
    <cellStyle name="Normal 2 3 2 2 12 3" xfId="13307"/>
    <cellStyle name="Normal 2 3 2 2 12 4" xfId="20274"/>
    <cellStyle name="Normal 2 3 2 2 12 5" xfId="27241"/>
    <cellStyle name="Normal 2 3 2 2 12 6" xfId="34210"/>
    <cellStyle name="Normal 2 3 2 2 13" xfId="8030"/>
    <cellStyle name="Normal 2 3 2 2 13 2" xfId="15801"/>
    <cellStyle name="Normal 2 3 2 2 13 2 2" xfId="22768"/>
    <cellStyle name="Normal 2 3 2 2 13 2 3" xfId="29735"/>
    <cellStyle name="Normal 2 3 2 2 13 2 4" xfId="36704"/>
    <cellStyle name="Normal 2 3 2 2 13 3" xfId="11157"/>
    <cellStyle name="Normal 2 3 2 2 13 4" xfId="18124"/>
    <cellStyle name="Normal 2 3 2 2 13 5" xfId="25091"/>
    <cellStyle name="Normal 2 3 2 2 13 6" xfId="32059"/>
    <cellStyle name="Normal 2 3 2 2 14" xfId="13479"/>
    <cellStyle name="Normal 2 3 2 2 14 2" xfId="20446"/>
    <cellStyle name="Normal 2 3 2 2 14 3" xfId="27413"/>
    <cellStyle name="Normal 2 3 2 2 14 4" xfId="34382"/>
    <cellStyle name="Normal 2 3 2 2 15" xfId="10985"/>
    <cellStyle name="Normal 2 3 2 2 16" xfId="17951"/>
    <cellStyle name="Normal 2 3 2 2 17" xfId="24919"/>
    <cellStyle name="Normal 2 3 2 2 18" xfId="31887"/>
    <cellStyle name="Normal 2 3 2 2 2" xfId="1669"/>
    <cellStyle name="Normal 2 3 2 2 2 10" xfId="7146"/>
    <cellStyle name="Normal 2 3 2 2 2 10 2" xfId="15630"/>
    <cellStyle name="Normal 2 3 2 2 2 10 2 2" xfId="22597"/>
    <cellStyle name="Normal 2 3 2 2 2 10 2 3" xfId="29564"/>
    <cellStyle name="Normal 2 3 2 2 2 10 2 4" xfId="36533"/>
    <cellStyle name="Normal 2 3 2 2 2 10 3" xfId="13308"/>
    <cellStyle name="Normal 2 3 2 2 2 10 4" xfId="20275"/>
    <cellStyle name="Normal 2 3 2 2 2 10 5" xfId="27242"/>
    <cellStyle name="Normal 2 3 2 2 2 10 6" xfId="34211"/>
    <cellStyle name="Normal 2 3 2 2 2 11" xfId="8031"/>
    <cellStyle name="Normal 2 3 2 2 2 11 2" xfId="15802"/>
    <cellStyle name="Normal 2 3 2 2 2 11 2 2" xfId="22769"/>
    <cellStyle name="Normal 2 3 2 2 2 11 2 3" xfId="29736"/>
    <cellStyle name="Normal 2 3 2 2 2 11 2 4" xfId="36705"/>
    <cellStyle name="Normal 2 3 2 2 2 11 3" xfId="11158"/>
    <cellStyle name="Normal 2 3 2 2 2 11 4" xfId="18125"/>
    <cellStyle name="Normal 2 3 2 2 2 11 5" xfId="25092"/>
    <cellStyle name="Normal 2 3 2 2 2 11 6" xfId="32060"/>
    <cellStyle name="Normal 2 3 2 2 2 12" xfId="13480"/>
    <cellStyle name="Normal 2 3 2 2 2 12 2" xfId="20447"/>
    <cellStyle name="Normal 2 3 2 2 2 12 3" xfId="27414"/>
    <cellStyle name="Normal 2 3 2 2 2 12 4" xfId="34383"/>
    <cellStyle name="Normal 2 3 2 2 2 13" xfId="10986"/>
    <cellStyle name="Normal 2 3 2 2 2 14" xfId="17952"/>
    <cellStyle name="Normal 2 3 2 2 2 15" xfId="24920"/>
    <cellStyle name="Normal 2 3 2 2 2 16" xfId="31888"/>
    <cellStyle name="Normal 2 3 2 2 2 2" xfId="1670"/>
    <cellStyle name="Normal 2 3 2 2 2 2 10" xfId="13481"/>
    <cellStyle name="Normal 2 3 2 2 2 2 10 2" xfId="20448"/>
    <cellStyle name="Normal 2 3 2 2 2 2 10 3" xfId="27415"/>
    <cellStyle name="Normal 2 3 2 2 2 2 10 4" xfId="34384"/>
    <cellStyle name="Normal 2 3 2 2 2 2 11" xfId="10987"/>
    <cellStyle name="Normal 2 3 2 2 2 2 12" xfId="17953"/>
    <cellStyle name="Normal 2 3 2 2 2 2 13" xfId="24921"/>
    <cellStyle name="Normal 2 3 2 2 2 2 14" xfId="31889"/>
    <cellStyle name="Normal 2 3 2 2 2 2 2" xfId="3286"/>
    <cellStyle name="Normal 2 3 2 2 2 2 2 2" xfId="3818"/>
    <cellStyle name="Normal 2 3 2 2 2 2 2 2 2" xfId="5273"/>
    <cellStyle name="Normal 2 3 2 2 2 2 2 2 2 2" xfId="10118"/>
    <cellStyle name="Normal 2 3 2 2 2 2 2 2 2 2 2" xfId="17116"/>
    <cellStyle name="Normal 2 3 2 2 2 2 2 2 2 2 3" xfId="24083"/>
    <cellStyle name="Normal 2 3 2 2 2 2 2 2 2 2 4" xfId="31050"/>
    <cellStyle name="Normal 2 3 2 2 2 2 2 2 2 2 5" xfId="38019"/>
    <cellStyle name="Normal 2 3 2 2 2 2 2 2 2 3" xfId="14796"/>
    <cellStyle name="Normal 2 3 2 2 2 2 2 2 2 3 2" xfId="21763"/>
    <cellStyle name="Normal 2 3 2 2 2 2 2 2 2 3 3" xfId="28730"/>
    <cellStyle name="Normal 2 3 2 2 2 2 2 2 2 3 4" xfId="35699"/>
    <cellStyle name="Normal 2 3 2 2 2 2 2 2 2 4" xfId="12474"/>
    <cellStyle name="Normal 2 3 2 2 2 2 2 2 2 5" xfId="19441"/>
    <cellStyle name="Normal 2 3 2 2 2 2 2 2 2 6" xfId="26408"/>
    <cellStyle name="Normal 2 3 2 2 2 2 2 2 2 7" xfId="33376"/>
    <cellStyle name="Normal 2 3 2 2 2 2 2 2 3" xfId="9424"/>
    <cellStyle name="Normal 2 3 2 2 2 2 2 2 3 2" xfId="16462"/>
    <cellStyle name="Normal 2 3 2 2 2 2 2 2 3 3" xfId="23429"/>
    <cellStyle name="Normal 2 3 2 2 2 2 2 2 3 4" xfId="30396"/>
    <cellStyle name="Normal 2 3 2 2 2 2 2 2 3 5" xfId="37365"/>
    <cellStyle name="Normal 2 3 2 2 2 2 2 2 4" xfId="14142"/>
    <cellStyle name="Normal 2 3 2 2 2 2 2 2 4 2" xfId="21109"/>
    <cellStyle name="Normal 2 3 2 2 2 2 2 2 4 3" xfId="28076"/>
    <cellStyle name="Normal 2 3 2 2 2 2 2 2 4 4" xfId="35045"/>
    <cellStyle name="Normal 2 3 2 2 2 2 2 2 5" xfId="11820"/>
    <cellStyle name="Normal 2 3 2 2 2 2 2 2 6" xfId="18787"/>
    <cellStyle name="Normal 2 3 2 2 2 2 2 2 7" xfId="25754"/>
    <cellStyle name="Normal 2 3 2 2 2 2 2 2 8" xfId="32722"/>
    <cellStyle name="Normal 2 3 2 2 2 2 2 3" xfId="5272"/>
    <cellStyle name="Normal 2 3 2 2 2 2 2 3 2" xfId="10117"/>
    <cellStyle name="Normal 2 3 2 2 2 2 2 3 2 2" xfId="17115"/>
    <cellStyle name="Normal 2 3 2 2 2 2 2 3 2 3" xfId="24082"/>
    <cellStyle name="Normal 2 3 2 2 2 2 2 3 2 4" xfId="31049"/>
    <cellStyle name="Normal 2 3 2 2 2 2 2 3 2 5" xfId="38018"/>
    <cellStyle name="Normal 2 3 2 2 2 2 2 3 3" xfId="14795"/>
    <cellStyle name="Normal 2 3 2 2 2 2 2 3 3 2" xfId="21762"/>
    <cellStyle name="Normal 2 3 2 2 2 2 2 3 3 3" xfId="28729"/>
    <cellStyle name="Normal 2 3 2 2 2 2 2 3 3 4" xfId="35698"/>
    <cellStyle name="Normal 2 3 2 2 2 2 2 3 4" xfId="12473"/>
    <cellStyle name="Normal 2 3 2 2 2 2 2 3 5" xfId="19440"/>
    <cellStyle name="Normal 2 3 2 2 2 2 2 3 6" xfId="26407"/>
    <cellStyle name="Normal 2 3 2 2 2 2 2 3 7" xfId="33375"/>
    <cellStyle name="Normal 2 3 2 2 2 2 2 4" xfId="8920"/>
    <cellStyle name="Normal 2 3 2 2 2 2 2 4 2" xfId="15972"/>
    <cellStyle name="Normal 2 3 2 2 2 2 2 4 3" xfId="22939"/>
    <cellStyle name="Normal 2 3 2 2 2 2 2 4 4" xfId="29906"/>
    <cellStyle name="Normal 2 3 2 2 2 2 2 4 5" xfId="36875"/>
    <cellStyle name="Normal 2 3 2 2 2 2 2 5" xfId="13650"/>
    <cellStyle name="Normal 2 3 2 2 2 2 2 5 2" xfId="20617"/>
    <cellStyle name="Normal 2 3 2 2 2 2 2 5 3" xfId="27584"/>
    <cellStyle name="Normal 2 3 2 2 2 2 2 5 4" xfId="34553"/>
    <cellStyle name="Normal 2 3 2 2 2 2 2 6" xfId="11328"/>
    <cellStyle name="Normal 2 3 2 2 2 2 2 7" xfId="18295"/>
    <cellStyle name="Normal 2 3 2 2 2 2 2 8" xfId="25262"/>
    <cellStyle name="Normal 2 3 2 2 2 2 2 9" xfId="32230"/>
    <cellStyle name="Normal 2 3 2 2 2 2 3" xfId="3488"/>
    <cellStyle name="Normal 2 3 2 2 2 2 3 2" xfId="5274"/>
    <cellStyle name="Normal 2 3 2 2 2 2 3 2 2" xfId="10119"/>
    <cellStyle name="Normal 2 3 2 2 2 2 3 2 2 2" xfId="17117"/>
    <cellStyle name="Normal 2 3 2 2 2 2 3 2 2 3" xfId="24084"/>
    <cellStyle name="Normal 2 3 2 2 2 2 3 2 2 4" xfId="31051"/>
    <cellStyle name="Normal 2 3 2 2 2 2 3 2 2 5" xfId="38020"/>
    <cellStyle name="Normal 2 3 2 2 2 2 3 2 3" xfId="14797"/>
    <cellStyle name="Normal 2 3 2 2 2 2 3 2 3 2" xfId="21764"/>
    <cellStyle name="Normal 2 3 2 2 2 2 3 2 3 3" xfId="28731"/>
    <cellStyle name="Normal 2 3 2 2 2 2 3 2 3 4" xfId="35700"/>
    <cellStyle name="Normal 2 3 2 2 2 2 3 2 4" xfId="12475"/>
    <cellStyle name="Normal 2 3 2 2 2 2 3 2 5" xfId="19442"/>
    <cellStyle name="Normal 2 3 2 2 2 2 3 2 6" xfId="26409"/>
    <cellStyle name="Normal 2 3 2 2 2 2 3 2 7" xfId="33377"/>
    <cellStyle name="Normal 2 3 2 2 2 2 3 3" xfId="9100"/>
    <cellStyle name="Normal 2 3 2 2 2 2 3 3 2" xfId="16139"/>
    <cellStyle name="Normal 2 3 2 2 2 2 3 3 3" xfId="23106"/>
    <cellStyle name="Normal 2 3 2 2 2 2 3 3 4" xfId="30073"/>
    <cellStyle name="Normal 2 3 2 2 2 2 3 3 5" xfId="37042"/>
    <cellStyle name="Normal 2 3 2 2 2 2 3 4" xfId="13819"/>
    <cellStyle name="Normal 2 3 2 2 2 2 3 4 2" xfId="20786"/>
    <cellStyle name="Normal 2 3 2 2 2 2 3 4 3" xfId="27753"/>
    <cellStyle name="Normal 2 3 2 2 2 2 3 4 4" xfId="34722"/>
    <cellStyle name="Normal 2 3 2 2 2 2 3 5" xfId="11497"/>
    <cellStyle name="Normal 2 3 2 2 2 2 3 6" xfId="18464"/>
    <cellStyle name="Normal 2 3 2 2 2 2 3 7" xfId="25431"/>
    <cellStyle name="Normal 2 3 2 2 2 2 3 8" xfId="32399"/>
    <cellStyle name="Normal 2 3 2 2 2 2 4" xfId="3663"/>
    <cellStyle name="Normal 2 3 2 2 2 2 4 2" xfId="5275"/>
    <cellStyle name="Normal 2 3 2 2 2 2 4 2 2" xfId="10120"/>
    <cellStyle name="Normal 2 3 2 2 2 2 4 2 2 2" xfId="17118"/>
    <cellStyle name="Normal 2 3 2 2 2 2 4 2 2 3" xfId="24085"/>
    <cellStyle name="Normal 2 3 2 2 2 2 4 2 2 4" xfId="31052"/>
    <cellStyle name="Normal 2 3 2 2 2 2 4 2 2 5" xfId="38021"/>
    <cellStyle name="Normal 2 3 2 2 2 2 4 2 3" xfId="14798"/>
    <cellStyle name="Normal 2 3 2 2 2 2 4 2 3 2" xfId="21765"/>
    <cellStyle name="Normal 2 3 2 2 2 2 4 2 3 3" xfId="28732"/>
    <cellStyle name="Normal 2 3 2 2 2 2 4 2 3 4" xfId="35701"/>
    <cellStyle name="Normal 2 3 2 2 2 2 4 2 4" xfId="12476"/>
    <cellStyle name="Normal 2 3 2 2 2 2 4 2 5" xfId="19443"/>
    <cellStyle name="Normal 2 3 2 2 2 2 4 2 6" xfId="26410"/>
    <cellStyle name="Normal 2 3 2 2 2 2 4 2 7" xfId="33378"/>
    <cellStyle name="Normal 2 3 2 2 2 2 4 3" xfId="9271"/>
    <cellStyle name="Normal 2 3 2 2 2 2 4 3 2" xfId="16310"/>
    <cellStyle name="Normal 2 3 2 2 2 2 4 3 3" xfId="23277"/>
    <cellStyle name="Normal 2 3 2 2 2 2 4 3 4" xfId="30244"/>
    <cellStyle name="Normal 2 3 2 2 2 2 4 3 5" xfId="37213"/>
    <cellStyle name="Normal 2 3 2 2 2 2 4 4" xfId="13990"/>
    <cellStyle name="Normal 2 3 2 2 2 2 4 4 2" xfId="20957"/>
    <cellStyle name="Normal 2 3 2 2 2 2 4 4 3" xfId="27924"/>
    <cellStyle name="Normal 2 3 2 2 2 2 4 4 4" xfId="34893"/>
    <cellStyle name="Normal 2 3 2 2 2 2 4 5" xfId="11668"/>
    <cellStyle name="Normal 2 3 2 2 2 2 4 6" xfId="18635"/>
    <cellStyle name="Normal 2 3 2 2 2 2 4 7" xfId="25602"/>
    <cellStyle name="Normal 2 3 2 2 2 2 4 8" xfId="32570"/>
    <cellStyle name="Normal 2 3 2 2 2 2 5" xfId="3940"/>
    <cellStyle name="Normal 2 3 2 2 2 2 5 2" xfId="5276"/>
    <cellStyle name="Normal 2 3 2 2 2 2 5 2 2" xfId="10121"/>
    <cellStyle name="Normal 2 3 2 2 2 2 5 2 2 2" xfId="17119"/>
    <cellStyle name="Normal 2 3 2 2 2 2 5 2 2 3" xfId="24086"/>
    <cellStyle name="Normal 2 3 2 2 2 2 5 2 2 4" xfId="31053"/>
    <cellStyle name="Normal 2 3 2 2 2 2 5 2 2 5" xfId="38022"/>
    <cellStyle name="Normal 2 3 2 2 2 2 5 2 3" xfId="14799"/>
    <cellStyle name="Normal 2 3 2 2 2 2 5 2 3 2" xfId="21766"/>
    <cellStyle name="Normal 2 3 2 2 2 2 5 2 3 3" xfId="28733"/>
    <cellStyle name="Normal 2 3 2 2 2 2 5 2 3 4" xfId="35702"/>
    <cellStyle name="Normal 2 3 2 2 2 2 5 2 4" xfId="12477"/>
    <cellStyle name="Normal 2 3 2 2 2 2 5 2 5" xfId="19444"/>
    <cellStyle name="Normal 2 3 2 2 2 2 5 2 6" xfId="26411"/>
    <cellStyle name="Normal 2 3 2 2 2 2 5 2 7" xfId="33379"/>
    <cellStyle name="Normal 2 3 2 2 2 2 5 3" xfId="9546"/>
    <cellStyle name="Normal 2 3 2 2 2 2 5 3 2" xfId="16582"/>
    <cellStyle name="Normal 2 3 2 2 2 2 5 3 3" xfId="23549"/>
    <cellStyle name="Normal 2 3 2 2 2 2 5 3 4" xfId="30516"/>
    <cellStyle name="Normal 2 3 2 2 2 2 5 3 5" xfId="37485"/>
    <cellStyle name="Normal 2 3 2 2 2 2 5 4" xfId="14262"/>
    <cellStyle name="Normal 2 3 2 2 2 2 5 4 2" xfId="21229"/>
    <cellStyle name="Normal 2 3 2 2 2 2 5 4 3" xfId="28196"/>
    <cellStyle name="Normal 2 3 2 2 2 2 5 4 4" xfId="35165"/>
    <cellStyle name="Normal 2 3 2 2 2 2 5 5" xfId="11940"/>
    <cellStyle name="Normal 2 3 2 2 2 2 5 6" xfId="18907"/>
    <cellStyle name="Normal 2 3 2 2 2 2 5 7" xfId="25874"/>
    <cellStyle name="Normal 2 3 2 2 2 2 5 8" xfId="32842"/>
    <cellStyle name="Normal 2 3 2 2 2 2 6" xfId="5271"/>
    <cellStyle name="Normal 2 3 2 2 2 2 6 2" xfId="10116"/>
    <cellStyle name="Normal 2 3 2 2 2 2 6 2 2" xfId="17114"/>
    <cellStyle name="Normal 2 3 2 2 2 2 6 2 3" xfId="24081"/>
    <cellStyle name="Normal 2 3 2 2 2 2 6 2 4" xfId="31048"/>
    <cellStyle name="Normal 2 3 2 2 2 2 6 2 5" xfId="38017"/>
    <cellStyle name="Normal 2 3 2 2 2 2 6 3" xfId="14794"/>
    <cellStyle name="Normal 2 3 2 2 2 2 6 3 2" xfId="21761"/>
    <cellStyle name="Normal 2 3 2 2 2 2 6 3 3" xfId="28728"/>
    <cellStyle name="Normal 2 3 2 2 2 2 6 3 4" xfId="35697"/>
    <cellStyle name="Normal 2 3 2 2 2 2 6 4" xfId="12472"/>
    <cellStyle name="Normal 2 3 2 2 2 2 6 5" xfId="19439"/>
    <cellStyle name="Normal 2 3 2 2 2 2 6 6" xfId="26406"/>
    <cellStyle name="Normal 2 3 2 2 2 2 6 7" xfId="33374"/>
    <cellStyle name="Normal 2 3 2 2 2 2 7" xfId="6835"/>
    <cellStyle name="Normal 2 3 2 2 2 2 7 2" xfId="10804"/>
    <cellStyle name="Normal 2 3 2 2 2 2 7 2 2" xfId="17778"/>
    <cellStyle name="Normal 2 3 2 2 2 2 7 2 3" xfId="24745"/>
    <cellStyle name="Normal 2 3 2 2 2 2 7 2 4" xfId="31712"/>
    <cellStyle name="Normal 2 3 2 2 2 2 7 2 5" xfId="38681"/>
    <cellStyle name="Normal 2 3 2 2 2 2 7 3" xfId="15458"/>
    <cellStyle name="Normal 2 3 2 2 2 2 7 3 2" xfId="22425"/>
    <cellStyle name="Normal 2 3 2 2 2 2 7 3 3" xfId="29392"/>
    <cellStyle name="Normal 2 3 2 2 2 2 7 3 4" xfId="36361"/>
    <cellStyle name="Normal 2 3 2 2 2 2 7 4" xfId="13136"/>
    <cellStyle name="Normal 2 3 2 2 2 2 7 5" xfId="20103"/>
    <cellStyle name="Normal 2 3 2 2 2 2 7 6" xfId="27070"/>
    <cellStyle name="Normal 2 3 2 2 2 2 7 7" xfId="34039"/>
    <cellStyle name="Normal 2 3 2 2 2 2 8" xfId="7147"/>
    <cellStyle name="Normal 2 3 2 2 2 2 8 2" xfId="15631"/>
    <cellStyle name="Normal 2 3 2 2 2 2 8 2 2" xfId="22598"/>
    <cellStyle name="Normal 2 3 2 2 2 2 8 2 3" xfId="29565"/>
    <cellStyle name="Normal 2 3 2 2 2 2 8 2 4" xfId="36534"/>
    <cellStyle name="Normal 2 3 2 2 2 2 8 3" xfId="13309"/>
    <cellStyle name="Normal 2 3 2 2 2 2 8 4" xfId="20276"/>
    <cellStyle name="Normal 2 3 2 2 2 2 8 5" xfId="27243"/>
    <cellStyle name="Normal 2 3 2 2 2 2 8 6" xfId="34212"/>
    <cellStyle name="Normal 2 3 2 2 2 2 9" xfId="8032"/>
    <cellStyle name="Normal 2 3 2 2 2 2 9 2" xfId="15803"/>
    <cellStyle name="Normal 2 3 2 2 2 2 9 2 2" xfId="22770"/>
    <cellStyle name="Normal 2 3 2 2 2 2 9 2 3" xfId="29737"/>
    <cellStyle name="Normal 2 3 2 2 2 2 9 2 4" xfId="36706"/>
    <cellStyle name="Normal 2 3 2 2 2 2 9 3" xfId="11159"/>
    <cellStyle name="Normal 2 3 2 2 2 2 9 4" xfId="18126"/>
    <cellStyle name="Normal 2 3 2 2 2 2 9 5" xfId="25093"/>
    <cellStyle name="Normal 2 3 2 2 2 2 9 6" xfId="32061"/>
    <cellStyle name="Normal 2 3 2 2 2 3" xfId="1671"/>
    <cellStyle name="Normal 2 3 2 2 2 3 10" xfId="13482"/>
    <cellStyle name="Normal 2 3 2 2 2 3 10 2" xfId="20449"/>
    <cellStyle name="Normal 2 3 2 2 2 3 10 3" xfId="27416"/>
    <cellStyle name="Normal 2 3 2 2 2 3 10 4" xfId="34385"/>
    <cellStyle name="Normal 2 3 2 2 2 3 11" xfId="10988"/>
    <cellStyle name="Normal 2 3 2 2 2 3 12" xfId="17954"/>
    <cellStyle name="Normal 2 3 2 2 2 3 13" xfId="24922"/>
    <cellStyle name="Normal 2 3 2 2 2 3 14" xfId="31890"/>
    <cellStyle name="Normal 2 3 2 2 2 3 2" xfId="3287"/>
    <cellStyle name="Normal 2 3 2 2 2 3 2 2" xfId="5278"/>
    <cellStyle name="Normal 2 3 2 2 2 3 2 2 2" xfId="10123"/>
    <cellStyle name="Normal 2 3 2 2 2 3 2 2 2 2" xfId="17121"/>
    <cellStyle name="Normal 2 3 2 2 2 3 2 2 2 3" xfId="24088"/>
    <cellStyle name="Normal 2 3 2 2 2 3 2 2 2 4" xfId="31055"/>
    <cellStyle name="Normal 2 3 2 2 2 3 2 2 2 5" xfId="38024"/>
    <cellStyle name="Normal 2 3 2 2 2 3 2 2 3" xfId="14801"/>
    <cellStyle name="Normal 2 3 2 2 2 3 2 2 3 2" xfId="21768"/>
    <cellStyle name="Normal 2 3 2 2 2 3 2 2 3 3" xfId="28735"/>
    <cellStyle name="Normal 2 3 2 2 2 3 2 2 3 4" xfId="35704"/>
    <cellStyle name="Normal 2 3 2 2 2 3 2 2 4" xfId="12479"/>
    <cellStyle name="Normal 2 3 2 2 2 3 2 2 5" xfId="19446"/>
    <cellStyle name="Normal 2 3 2 2 2 3 2 2 6" xfId="26413"/>
    <cellStyle name="Normal 2 3 2 2 2 3 2 2 7" xfId="33381"/>
    <cellStyle name="Normal 2 3 2 2 2 3 2 3" xfId="8921"/>
    <cellStyle name="Normal 2 3 2 2 2 3 2 3 2" xfId="15973"/>
    <cellStyle name="Normal 2 3 2 2 2 3 2 3 3" xfId="22940"/>
    <cellStyle name="Normal 2 3 2 2 2 3 2 3 4" xfId="29907"/>
    <cellStyle name="Normal 2 3 2 2 2 3 2 3 5" xfId="36876"/>
    <cellStyle name="Normal 2 3 2 2 2 3 2 4" xfId="13651"/>
    <cellStyle name="Normal 2 3 2 2 2 3 2 4 2" xfId="20618"/>
    <cellStyle name="Normal 2 3 2 2 2 3 2 4 3" xfId="27585"/>
    <cellStyle name="Normal 2 3 2 2 2 3 2 4 4" xfId="34554"/>
    <cellStyle name="Normal 2 3 2 2 2 3 2 5" xfId="11329"/>
    <cellStyle name="Normal 2 3 2 2 2 3 2 6" xfId="18296"/>
    <cellStyle name="Normal 2 3 2 2 2 3 2 7" xfId="25263"/>
    <cellStyle name="Normal 2 3 2 2 2 3 2 8" xfId="32231"/>
    <cellStyle name="Normal 2 3 2 2 2 3 3" xfId="3489"/>
    <cellStyle name="Normal 2 3 2 2 2 3 3 2" xfId="5279"/>
    <cellStyle name="Normal 2 3 2 2 2 3 3 2 2" xfId="10124"/>
    <cellStyle name="Normal 2 3 2 2 2 3 3 2 2 2" xfId="17122"/>
    <cellStyle name="Normal 2 3 2 2 2 3 3 2 2 3" xfId="24089"/>
    <cellStyle name="Normal 2 3 2 2 2 3 3 2 2 4" xfId="31056"/>
    <cellStyle name="Normal 2 3 2 2 2 3 3 2 2 5" xfId="38025"/>
    <cellStyle name="Normal 2 3 2 2 2 3 3 2 3" xfId="14802"/>
    <cellStyle name="Normal 2 3 2 2 2 3 3 2 3 2" xfId="21769"/>
    <cellStyle name="Normal 2 3 2 2 2 3 3 2 3 3" xfId="28736"/>
    <cellStyle name="Normal 2 3 2 2 2 3 3 2 3 4" xfId="35705"/>
    <cellStyle name="Normal 2 3 2 2 2 3 3 2 4" xfId="12480"/>
    <cellStyle name="Normal 2 3 2 2 2 3 3 2 5" xfId="19447"/>
    <cellStyle name="Normal 2 3 2 2 2 3 3 2 6" xfId="26414"/>
    <cellStyle name="Normal 2 3 2 2 2 3 3 2 7" xfId="33382"/>
    <cellStyle name="Normal 2 3 2 2 2 3 3 3" xfId="9101"/>
    <cellStyle name="Normal 2 3 2 2 2 3 3 3 2" xfId="16140"/>
    <cellStyle name="Normal 2 3 2 2 2 3 3 3 3" xfId="23107"/>
    <cellStyle name="Normal 2 3 2 2 2 3 3 3 4" xfId="30074"/>
    <cellStyle name="Normal 2 3 2 2 2 3 3 3 5" xfId="37043"/>
    <cellStyle name="Normal 2 3 2 2 2 3 3 4" xfId="13820"/>
    <cellStyle name="Normal 2 3 2 2 2 3 3 4 2" xfId="20787"/>
    <cellStyle name="Normal 2 3 2 2 2 3 3 4 3" xfId="27754"/>
    <cellStyle name="Normal 2 3 2 2 2 3 3 4 4" xfId="34723"/>
    <cellStyle name="Normal 2 3 2 2 2 3 3 5" xfId="11498"/>
    <cellStyle name="Normal 2 3 2 2 2 3 3 6" xfId="18465"/>
    <cellStyle name="Normal 2 3 2 2 2 3 3 7" xfId="25432"/>
    <cellStyle name="Normal 2 3 2 2 2 3 3 8" xfId="32400"/>
    <cellStyle name="Normal 2 3 2 2 2 3 4" xfId="3664"/>
    <cellStyle name="Normal 2 3 2 2 2 3 4 2" xfId="5280"/>
    <cellStyle name="Normal 2 3 2 2 2 3 4 2 2" xfId="10125"/>
    <cellStyle name="Normal 2 3 2 2 2 3 4 2 2 2" xfId="17123"/>
    <cellStyle name="Normal 2 3 2 2 2 3 4 2 2 3" xfId="24090"/>
    <cellStyle name="Normal 2 3 2 2 2 3 4 2 2 4" xfId="31057"/>
    <cellStyle name="Normal 2 3 2 2 2 3 4 2 2 5" xfId="38026"/>
    <cellStyle name="Normal 2 3 2 2 2 3 4 2 3" xfId="14803"/>
    <cellStyle name="Normal 2 3 2 2 2 3 4 2 3 2" xfId="21770"/>
    <cellStyle name="Normal 2 3 2 2 2 3 4 2 3 3" xfId="28737"/>
    <cellStyle name="Normal 2 3 2 2 2 3 4 2 3 4" xfId="35706"/>
    <cellStyle name="Normal 2 3 2 2 2 3 4 2 4" xfId="12481"/>
    <cellStyle name="Normal 2 3 2 2 2 3 4 2 5" xfId="19448"/>
    <cellStyle name="Normal 2 3 2 2 2 3 4 2 6" xfId="26415"/>
    <cellStyle name="Normal 2 3 2 2 2 3 4 2 7" xfId="33383"/>
    <cellStyle name="Normal 2 3 2 2 2 3 4 3" xfId="9272"/>
    <cellStyle name="Normal 2 3 2 2 2 3 4 3 2" xfId="16311"/>
    <cellStyle name="Normal 2 3 2 2 2 3 4 3 3" xfId="23278"/>
    <cellStyle name="Normal 2 3 2 2 2 3 4 3 4" xfId="30245"/>
    <cellStyle name="Normal 2 3 2 2 2 3 4 3 5" xfId="37214"/>
    <cellStyle name="Normal 2 3 2 2 2 3 4 4" xfId="13991"/>
    <cellStyle name="Normal 2 3 2 2 2 3 4 4 2" xfId="20958"/>
    <cellStyle name="Normal 2 3 2 2 2 3 4 4 3" xfId="27925"/>
    <cellStyle name="Normal 2 3 2 2 2 3 4 4 4" xfId="34894"/>
    <cellStyle name="Normal 2 3 2 2 2 3 4 5" xfId="11669"/>
    <cellStyle name="Normal 2 3 2 2 2 3 4 6" xfId="18636"/>
    <cellStyle name="Normal 2 3 2 2 2 3 4 7" xfId="25603"/>
    <cellStyle name="Normal 2 3 2 2 2 3 4 8" xfId="32571"/>
    <cellStyle name="Normal 2 3 2 2 2 3 5" xfId="3941"/>
    <cellStyle name="Normal 2 3 2 2 2 3 5 2" xfId="5281"/>
    <cellStyle name="Normal 2 3 2 2 2 3 5 2 2" xfId="10126"/>
    <cellStyle name="Normal 2 3 2 2 2 3 5 2 2 2" xfId="17124"/>
    <cellStyle name="Normal 2 3 2 2 2 3 5 2 2 3" xfId="24091"/>
    <cellStyle name="Normal 2 3 2 2 2 3 5 2 2 4" xfId="31058"/>
    <cellStyle name="Normal 2 3 2 2 2 3 5 2 2 5" xfId="38027"/>
    <cellStyle name="Normal 2 3 2 2 2 3 5 2 3" xfId="14804"/>
    <cellStyle name="Normal 2 3 2 2 2 3 5 2 3 2" xfId="21771"/>
    <cellStyle name="Normal 2 3 2 2 2 3 5 2 3 3" xfId="28738"/>
    <cellStyle name="Normal 2 3 2 2 2 3 5 2 3 4" xfId="35707"/>
    <cellStyle name="Normal 2 3 2 2 2 3 5 2 4" xfId="12482"/>
    <cellStyle name="Normal 2 3 2 2 2 3 5 2 5" xfId="19449"/>
    <cellStyle name="Normal 2 3 2 2 2 3 5 2 6" xfId="26416"/>
    <cellStyle name="Normal 2 3 2 2 2 3 5 2 7" xfId="33384"/>
    <cellStyle name="Normal 2 3 2 2 2 3 5 3" xfId="9547"/>
    <cellStyle name="Normal 2 3 2 2 2 3 5 3 2" xfId="16583"/>
    <cellStyle name="Normal 2 3 2 2 2 3 5 3 3" xfId="23550"/>
    <cellStyle name="Normal 2 3 2 2 2 3 5 3 4" xfId="30517"/>
    <cellStyle name="Normal 2 3 2 2 2 3 5 3 5" xfId="37486"/>
    <cellStyle name="Normal 2 3 2 2 2 3 5 4" xfId="14263"/>
    <cellStyle name="Normal 2 3 2 2 2 3 5 4 2" xfId="21230"/>
    <cellStyle name="Normal 2 3 2 2 2 3 5 4 3" xfId="28197"/>
    <cellStyle name="Normal 2 3 2 2 2 3 5 4 4" xfId="35166"/>
    <cellStyle name="Normal 2 3 2 2 2 3 5 5" xfId="11941"/>
    <cellStyle name="Normal 2 3 2 2 2 3 5 6" xfId="18908"/>
    <cellStyle name="Normal 2 3 2 2 2 3 5 7" xfId="25875"/>
    <cellStyle name="Normal 2 3 2 2 2 3 5 8" xfId="32843"/>
    <cellStyle name="Normal 2 3 2 2 2 3 6" xfId="5277"/>
    <cellStyle name="Normal 2 3 2 2 2 3 6 2" xfId="10122"/>
    <cellStyle name="Normal 2 3 2 2 2 3 6 2 2" xfId="17120"/>
    <cellStyle name="Normal 2 3 2 2 2 3 6 2 3" xfId="24087"/>
    <cellStyle name="Normal 2 3 2 2 2 3 6 2 4" xfId="31054"/>
    <cellStyle name="Normal 2 3 2 2 2 3 6 2 5" xfId="38023"/>
    <cellStyle name="Normal 2 3 2 2 2 3 6 3" xfId="14800"/>
    <cellStyle name="Normal 2 3 2 2 2 3 6 3 2" xfId="21767"/>
    <cellStyle name="Normal 2 3 2 2 2 3 6 3 3" xfId="28734"/>
    <cellStyle name="Normal 2 3 2 2 2 3 6 3 4" xfId="35703"/>
    <cellStyle name="Normal 2 3 2 2 2 3 6 4" xfId="12478"/>
    <cellStyle name="Normal 2 3 2 2 2 3 6 5" xfId="19445"/>
    <cellStyle name="Normal 2 3 2 2 2 3 6 6" xfId="26412"/>
    <cellStyle name="Normal 2 3 2 2 2 3 6 7" xfId="33380"/>
    <cellStyle name="Normal 2 3 2 2 2 3 7" xfId="6836"/>
    <cellStyle name="Normal 2 3 2 2 2 3 7 2" xfId="10805"/>
    <cellStyle name="Normal 2 3 2 2 2 3 7 2 2" xfId="17779"/>
    <cellStyle name="Normal 2 3 2 2 2 3 7 2 3" xfId="24746"/>
    <cellStyle name="Normal 2 3 2 2 2 3 7 2 4" xfId="31713"/>
    <cellStyle name="Normal 2 3 2 2 2 3 7 2 5" xfId="38682"/>
    <cellStyle name="Normal 2 3 2 2 2 3 7 3" xfId="15459"/>
    <cellStyle name="Normal 2 3 2 2 2 3 7 3 2" xfId="22426"/>
    <cellStyle name="Normal 2 3 2 2 2 3 7 3 3" xfId="29393"/>
    <cellStyle name="Normal 2 3 2 2 2 3 7 3 4" xfId="36362"/>
    <cellStyle name="Normal 2 3 2 2 2 3 7 4" xfId="13137"/>
    <cellStyle name="Normal 2 3 2 2 2 3 7 5" xfId="20104"/>
    <cellStyle name="Normal 2 3 2 2 2 3 7 6" xfId="27071"/>
    <cellStyle name="Normal 2 3 2 2 2 3 7 7" xfId="34040"/>
    <cellStyle name="Normal 2 3 2 2 2 3 8" xfId="7148"/>
    <cellStyle name="Normal 2 3 2 2 2 3 8 2" xfId="15632"/>
    <cellStyle name="Normal 2 3 2 2 2 3 8 2 2" xfId="22599"/>
    <cellStyle name="Normal 2 3 2 2 2 3 8 2 3" xfId="29566"/>
    <cellStyle name="Normal 2 3 2 2 2 3 8 2 4" xfId="36535"/>
    <cellStyle name="Normal 2 3 2 2 2 3 8 3" xfId="13310"/>
    <cellStyle name="Normal 2 3 2 2 2 3 8 4" xfId="20277"/>
    <cellStyle name="Normal 2 3 2 2 2 3 8 5" xfId="27244"/>
    <cellStyle name="Normal 2 3 2 2 2 3 8 6" xfId="34213"/>
    <cellStyle name="Normal 2 3 2 2 2 3 9" xfId="8033"/>
    <cellStyle name="Normal 2 3 2 2 2 3 9 2" xfId="15804"/>
    <cellStyle name="Normal 2 3 2 2 2 3 9 2 2" xfId="22771"/>
    <cellStyle name="Normal 2 3 2 2 2 3 9 2 3" xfId="29738"/>
    <cellStyle name="Normal 2 3 2 2 2 3 9 2 4" xfId="36707"/>
    <cellStyle name="Normal 2 3 2 2 2 3 9 3" xfId="11160"/>
    <cellStyle name="Normal 2 3 2 2 2 3 9 4" xfId="18127"/>
    <cellStyle name="Normal 2 3 2 2 2 3 9 5" xfId="25094"/>
    <cellStyle name="Normal 2 3 2 2 2 3 9 6" xfId="32062"/>
    <cellStyle name="Normal 2 3 2 2 2 4" xfId="3285"/>
    <cellStyle name="Normal 2 3 2 2 2 4 2" xfId="3819"/>
    <cellStyle name="Normal 2 3 2 2 2 4 2 2" xfId="5283"/>
    <cellStyle name="Normal 2 3 2 2 2 4 2 2 2" xfId="10128"/>
    <cellStyle name="Normal 2 3 2 2 2 4 2 2 2 2" xfId="17126"/>
    <cellStyle name="Normal 2 3 2 2 2 4 2 2 2 3" xfId="24093"/>
    <cellStyle name="Normal 2 3 2 2 2 4 2 2 2 4" xfId="31060"/>
    <cellStyle name="Normal 2 3 2 2 2 4 2 2 2 5" xfId="38029"/>
    <cellStyle name="Normal 2 3 2 2 2 4 2 2 3" xfId="14806"/>
    <cellStyle name="Normal 2 3 2 2 2 4 2 2 3 2" xfId="21773"/>
    <cellStyle name="Normal 2 3 2 2 2 4 2 2 3 3" xfId="28740"/>
    <cellStyle name="Normal 2 3 2 2 2 4 2 2 3 4" xfId="35709"/>
    <cellStyle name="Normal 2 3 2 2 2 4 2 2 4" xfId="12484"/>
    <cellStyle name="Normal 2 3 2 2 2 4 2 2 5" xfId="19451"/>
    <cellStyle name="Normal 2 3 2 2 2 4 2 2 6" xfId="26418"/>
    <cellStyle name="Normal 2 3 2 2 2 4 2 2 7" xfId="33386"/>
    <cellStyle name="Normal 2 3 2 2 2 4 2 3" xfId="9425"/>
    <cellStyle name="Normal 2 3 2 2 2 4 2 3 2" xfId="16463"/>
    <cellStyle name="Normal 2 3 2 2 2 4 2 3 3" xfId="23430"/>
    <cellStyle name="Normal 2 3 2 2 2 4 2 3 4" xfId="30397"/>
    <cellStyle name="Normal 2 3 2 2 2 4 2 3 5" xfId="37366"/>
    <cellStyle name="Normal 2 3 2 2 2 4 2 4" xfId="14143"/>
    <cellStyle name="Normal 2 3 2 2 2 4 2 4 2" xfId="21110"/>
    <cellStyle name="Normal 2 3 2 2 2 4 2 4 3" xfId="28077"/>
    <cellStyle name="Normal 2 3 2 2 2 4 2 4 4" xfId="35046"/>
    <cellStyle name="Normal 2 3 2 2 2 4 2 5" xfId="11821"/>
    <cellStyle name="Normal 2 3 2 2 2 4 2 6" xfId="18788"/>
    <cellStyle name="Normal 2 3 2 2 2 4 2 7" xfId="25755"/>
    <cellStyle name="Normal 2 3 2 2 2 4 2 8" xfId="32723"/>
    <cellStyle name="Normal 2 3 2 2 2 4 3" xfId="5282"/>
    <cellStyle name="Normal 2 3 2 2 2 4 3 2" xfId="10127"/>
    <cellStyle name="Normal 2 3 2 2 2 4 3 2 2" xfId="17125"/>
    <cellStyle name="Normal 2 3 2 2 2 4 3 2 3" xfId="24092"/>
    <cellStyle name="Normal 2 3 2 2 2 4 3 2 4" xfId="31059"/>
    <cellStyle name="Normal 2 3 2 2 2 4 3 2 5" xfId="38028"/>
    <cellStyle name="Normal 2 3 2 2 2 4 3 3" xfId="14805"/>
    <cellStyle name="Normal 2 3 2 2 2 4 3 3 2" xfId="21772"/>
    <cellStyle name="Normal 2 3 2 2 2 4 3 3 3" xfId="28739"/>
    <cellStyle name="Normal 2 3 2 2 2 4 3 3 4" xfId="35708"/>
    <cellStyle name="Normal 2 3 2 2 2 4 3 4" xfId="12483"/>
    <cellStyle name="Normal 2 3 2 2 2 4 3 5" xfId="19450"/>
    <cellStyle name="Normal 2 3 2 2 2 4 3 6" xfId="26417"/>
    <cellStyle name="Normal 2 3 2 2 2 4 3 7" xfId="33385"/>
    <cellStyle name="Normal 2 3 2 2 2 4 4" xfId="8919"/>
    <cellStyle name="Normal 2 3 2 2 2 4 4 2" xfId="15971"/>
    <cellStyle name="Normal 2 3 2 2 2 4 4 3" xfId="22938"/>
    <cellStyle name="Normal 2 3 2 2 2 4 4 4" xfId="29905"/>
    <cellStyle name="Normal 2 3 2 2 2 4 4 5" xfId="36874"/>
    <cellStyle name="Normal 2 3 2 2 2 4 5" xfId="13649"/>
    <cellStyle name="Normal 2 3 2 2 2 4 5 2" xfId="20616"/>
    <cellStyle name="Normal 2 3 2 2 2 4 5 3" xfId="27583"/>
    <cellStyle name="Normal 2 3 2 2 2 4 5 4" xfId="34552"/>
    <cellStyle name="Normal 2 3 2 2 2 4 6" xfId="11327"/>
    <cellStyle name="Normal 2 3 2 2 2 4 7" xfId="18294"/>
    <cellStyle name="Normal 2 3 2 2 2 4 8" xfId="25261"/>
    <cellStyle name="Normal 2 3 2 2 2 4 9" xfId="32229"/>
    <cellStyle name="Normal 2 3 2 2 2 5" xfId="3487"/>
    <cellStyle name="Normal 2 3 2 2 2 5 2" xfId="5284"/>
    <cellStyle name="Normal 2 3 2 2 2 5 2 2" xfId="10129"/>
    <cellStyle name="Normal 2 3 2 2 2 5 2 2 2" xfId="17127"/>
    <cellStyle name="Normal 2 3 2 2 2 5 2 2 3" xfId="24094"/>
    <cellStyle name="Normal 2 3 2 2 2 5 2 2 4" xfId="31061"/>
    <cellStyle name="Normal 2 3 2 2 2 5 2 2 5" xfId="38030"/>
    <cellStyle name="Normal 2 3 2 2 2 5 2 3" xfId="14807"/>
    <cellStyle name="Normal 2 3 2 2 2 5 2 3 2" xfId="21774"/>
    <cellStyle name="Normal 2 3 2 2 2 5 2 3 3" xfId="28741"/>
    <cellStyle name="Normal 2 3 2 2 2 5 2 3 4" xfId="35710"/>
    <cellStyle name="Normal 2 3 2 2 2 5 2 4" xfId="12485"/>
    <cellStyle name="Normal 2 3 2 2 2 5 2 5" xfId="19452"/>
    <cellStyle name="Normal 2 3 2 2 2 5 2 6" xfId="26419"/>
    <cellStyle name="Normal 2 3 2 2 2 5 2 7" xfId="33387"/>
    <cellStyle name="Normal 2 3 2 2 2 5 3" xfId="9099"/>
    <cellStyle name="Normal 2 3 2 2 2 5 3 2" xfId="16138"/>
    <cellStyle name="Normal 2 3 2 2 2 5 3 3" xfId="23105"/>
    <cellStyle name="Normal 2 3 2 2 2 5 3 4" xfId="30072"/>
    <cellStyle name="Normal 2 3 2 2 2 5 3 5" xfId="37041"/>
    <cellStyle name="Normal 2 3 2 2 2 5 4" xfId="13818"/>
    <cellStyle name="Normal 2 3 2 2 2 5 4 2" xfId="20785"/>
    <cellStyle name="Normal 2 3 2 2 2 5 4 3" xfId="27752"/>
    <cellStyle name="Normal 2 3 2 2 2 5 4 4" xfId="34721"/>
    <cellStyle name="Normal 2 3 2 2 2 5 5" xfId="11496"/>
    <cellStyle name="Normal 2 3 2 2 2 5 6" xfId="18463"/>
    <cellStyle name="Normal 2 3 2 2 2 5 7" xfId="25430"/>
    <cellStyle name="Normal 2 3 2 2 2 5 8" xfId="32398"/>
    <cellStyle name="Normal 2 3 2 2 2 6" xfId="3662"/>
    <cellStyle name="Normal 2 3 2 2 2 6 2" xfId="5285"/>
    <cellStyle name="Normal 2 3 2 2 2 6 2 2" xfId="10130"/>
    <cellStyle name="Normal 2 3 2 2 2 6 2 2 2" xfId="17128"/>
    <cellStyle name="Normal 2 3 2 2 2 6 2 2 3" xfId="24095"/>
    <cellStyle name="Normal 2 3 2 2 2 6 2 2 4" xfId="31062"/>
    <cellStyle name="Normal 2 3 2 2 2 6 2 2 5" xfId="38031"/>
    <cellStyle name="Normal 2 3 2 2 2 6 2 3" xfId="14808"/>
    <cellStyle name="Normal 2 3 2 2 2 6 2 3 2" xfId="21775"/>
    <cellStyle name="Normal 2 3 2 2 2 6 2 3 3" xfId="28742"/>
    <cellStyle name="Normal 2 3 2 2 2 6 2 3 4" xfId="35711"/>
    <cellStyle name="Normal 2 3 2 2 2 6 2 4" xfId="12486"/>
    <cellStyle name="Normal 2 3 2 2 2 6 2 5" xfId="19453"/>
    <cellStyle name="Normal 2 3 2 2 2 6 2 6" xfId="26420"/>
    <cellStyle name="Normal 2 3 2 2 2 6 2 7" xfId="33388"/>
    <cellStyle name="Normal 2 3 2 2 2 6 3" xfId="9270"/>
    <cellStyle name="Normal 2 3 2 2 2 6 3 2" xfId="16309"/>
    <cellStyle name="Normal 2 3 2 2 2 6 3 3" xfId="23276"/>
    <cellStyle name="Normal 2 3 2 2 2 6 3 4" xfId="30243"/>
    <cellStyle name="Normal 2 3 2 2 2 6 3 5" xfId="37212"/>
    <cellStyle name="Normal 2 3 2 2 2 6 4" xfId="13989"/>
    <cellStyle name="Normal 2 3 2 2 2 6 4 2" xfId="20956"/>
    <cellStyle name="Normal 2 3 2 2 2 6 4 3" xfId="27923"/>
    <cellStyle name="Normal 2 3 2 2 2 6 4 4" xfId="34892"/>
    <cellStyle name="Normal 2 3 2 2 2 6 5" xfId="11667"/>
    <cellStyle name="Normal 2 3 2 2 2 6 6" xfId="18634"/>
    <cellStyle name="Normal 2 3 2 2 2 6 7" xfId="25601"/>
    <cellStyle name="Normal 2 3 2 2 2 6 8" xfId="32569"/>
    <cellStyle name="Normal 2 3 2 2 2 7" xfId="3939"/>
    <cellStyle name="Normal 2 3 2 2 2 7 2" xfId="5286"/>
    <cellStyle name="Normal 2 3 2 2 2 7 2 2" xfId="10131"/>
    <cellStyle name="Normal 2 3 2 2 2 7 2 2 2" xfId="17129"/>
    <cellStyle name="Normal 2 3 2 2 2 7 2 2 3" xfId="24096"/>
    <cellStyle name="Normal 2 3 2 2 2 7 2 2 4" xfId="31063"/>
    <cellStyle name="Normal 2 3 2 2 2 7 2 2 5" xfId="38032"/>
    <cellStyle name="Normal 2 3 2 2 2 7 2 3" xfId="14809"/>
    <cellStyle name="Normal 2 3 2 2 2 7 2 3 2" xfId="21776"/>
    <cellStyle name="Normal 2 3 2 2 2 7 2 3 3" xfId="28743"/>
    <cellStyle name="Normal 2 3 2 2 2 7 2 3 4" xfId="35712"/>
    <cellStyle name="Normal 2 3 2 2 2 7 2 4" xfId="12487"/>
    <cellStyle name="Normal 2 3 2 2 2 7 2 5" xfId="19454"/>
    <cellStyle name="Normal 2 3 2 2 2 7 2 6" xfId="26421"/>
    <cellStyle name="Normal 2 3 2 2 2 7 2 7" xfId="33389"/>
    <cellStyle name="Normal 2 3 2 2 2 7 3" xfId="9545"/>
    <cellStyle name="Normal 2 3 2 2 2 7 3 2" xfId="16581"/>
    <cellStyle name="Normal 2 3 2 2 2 7 3 3" xfId="23548"/>
    <cellStyle name="Normal 2 3 2 2 2 7 3 4" xfId="30515"/>
    <cellStyle name="Normal 2 3 2 2 2 7 3 5" xfId="37484"/>
    <cellStyle name="Normal 2 3 2 2 2 7 4" xfId="14261"/>
    <cellStyle name="Normal 2 3 2 2 2 7 4 2" xfId="21228"/>
    <cellStyle name="Normal 2 3 2 2 2 7 4 3" xfId="28195"/>
    <cellStyle name="Normal 2 3 2 2 2 7 4 4" xfId="35164"/>
    <cellStyle name="Normal 2 3 2 2 2 7 5" xfId="11939"/>
    <cellStyle name="Normal 2 3 2 2 2 7 6" xfId="18906"/>
    <cellStyle name="Normal 2 3 2 2 2 7 7" xfId="25873"/>
    <cellStyle name="Normal 2 3 2 2 2 7 8" xfId="32841"/>
    <cellStyle name="Normal 2 3 2 2 2 8" xfId="5270"/>
    <cellStyle name="Normal 2 3 2 2 2 8 2" xfId="10115"/>
    <cellStyle name="Normal 2 3 2 2 2 8 2 2" xfId="17113"/>
    <cellStyle name="Normal 2 3 2 2 2 8 2 3" xfId="24080"/>
    <cellStyle name="Normal 2 3 2 2 2 8 2 4" xfId="31047"/>
    <cellStyle name="Normal 2 3 2 2 2 8 2 5" xfId="38016"/>
    <cellStyle name="Normal 2 3 2 2 2 8 3" xfId="14793"/>
    <cellStyle name="Normal 2 3 2 2 2 8 3 2" xfId="21760"/>
    <cellStyle name="Normal 2 3 2 2 2 8 3 3" xfId="28727"/>
    <cellStyle name="Normal 2 3 2 2 2 8 3 4" xfId="35696"/>
    <cellStyle name="Normal 2 3 2 2 2 8 4" xfId="12471"/>
    <cellStyle name="Normal 2 3 2 2 2 8 5" xfId="19438"/>
    <cellStyle name="Normal 2 3 2 2 2 8 6" xfId="26405"/>
    <cellStyle name="Normal 2 3 2 2 2 8 7" xfId="33373"/>
    <cellStyle name="Normal 2 3 2 2 2 9" xfId="6834"/>
    <cellStyle name="Normal 2 3 2 2 2 9 2" xfId="10803"/>
    <cellStyle name="Normal 2 3 2 2 2 9 2 2" xfId="17777"/>
    <cellStyle name="Normal 2 3 2 2 2 9 2 3" xfId="24744"/>
    <cellStyle name="Normal 2 3 2 2 2 9 2 4" xfId="31711"/>
    <cellStyle name="Normal 2 3 2 2 2 9 2 5" xfId="38680"/>
    <cellStyle name="Normal 2 3 2 2 2 9 3" xfId="15457"/>
    <cellStyle name="Normal 2 3 2 2 2 9 3 2" xfId="22424"/>
    <cellStyle name="Normal 2 3 2 2 2 9 3 3" xfId="29391"/>
    <cellStyle name="Normal 2 3 2 2 2 9 3 4" xfId="36360"/>
    <cellStyle name="Normal 2 3 2 2 2 9 4" xfId="13135"/>
    <cellStyle name="Normal 2 3 2 2 2 9 5" xfId="20102"/>
    <cellStyle name="Normal 2 3 2 2 2 9 6" xfId="27069"/>
    <cellStyle name="Normal 2 3 2 2 2 9 7" xfId="34038"/>
    <cellStyle name="Normal 2 3 2 2 3" xfId="1672"/>
    <cellStyle name="Normal 2 3 2 2 3 10" xfId="7149"/>
    <cellStyle name="Normal 2 3 2 2 3 10 2" xfId="15633"/>
    <cellStyle name="Normal 2 3 2 2 3 10 2 2" xfId="22600"/>
    <cellStyle name="Normal 2 3 2 2 3 10 2 3" xfId="29567"/>
    <cellStyle name="Normal 2 3 2 2 3 10 2 4" xfId="36536"/>
    <cellStyle name="Normal 2 3 2 2 3 10 3" xfId="13311"/>
    <cellStyle name="Normal 2 3 2 2 3 10 4" xfId="20278"/>
    <cellStyle name="Normal 2 3 2 2 3 10 5" xfId="27245"/>
    <cellStyle name="Normal 2 3 2 2 3 10 6" xfId="34214"/>
    <cellStyle name="Normal 2 3 2 2 3 11" xfId="8034"/>
    <cellStyle name="Normal 2 3 2 2 3 11 2" xfId="15805"/>
    <cellStyle name="Normal 2 3 2 2 3 11 2 2" xfId="22772"/>
    <cellStyle name="Normal 2 3 2 2 3 11 2 3" xfId="29739"/>
    <cellStyle name="Normal 2 3 2 2 3 11 2 4" xfId="36708"/>
    <cellStyle name="Normal 2 3 2 2 3 11 3" xfId="11161"/>
    <cellStyle name="Normal 2 3 2 2 3 11 4" xfId="18128"/>
    <cellStyle name="Normal 2 3 2 2 3 11 5" xfId="25095"/>
    <cellStyle name="Normal 2 3 2 2 3 11 6" xfId="32063"/>
    <cellStyle name="Normal 2 3 2 2 3 12" xfId="13483"/>
    <cellStyle name="Normal 2 3 2 2 3 12 2" xfId="20450"/>
    <cellStyle name="Normal 2 3 2 2 3 12 3" xfId="27417"/>
    <cellStyle name="Normal 2 3 2 2 3 12 4" xfId="34386"/>
    <cellStyle name="Normal 2 3 2 2 3 13" xfId="10989"/>
    <cellStyle name="Normal 2 3 2 2 3 14" xfId="17955"/>
    <cellStyle name="Normal 2 3 2 2 3 15" xfId="24923"/>
    <cellStyle name="Normal 2 3 2 2 3 16" xfId="31891"/>
    <cellStyle name="Normal 2 3 2 2 3 2" xfId="1673"/>
    <cellStyle name="Normal 2 3 2 2 3 2 10" xfId="13484"/>
    <cellStyle name="Normal 2 3 2 2 3 2 10 2" xfId="20451"/>
    <cellStyle name="Normal 2 3 2 2 3 2 10 3" xfId="27418"/>
    <cellStyle name="Normal 2 3 2 2 3 2 10 4" xfId="34387"/>
    <cellStyle name="Normal 2 3 2 2 3 2 11" xfId="10990"/>
    <cellStyle name="Normal 2 3 2 2 3 2 12" xfId="17956"/>
    <cellStyle name="Normal 2 3 2 2 3 2 13" xfId="24924"/>
    <cellStyle name="Normal 2 3 2 2 3 2 14" xfId="31892"/>
    <cellStyle name="Normal 2 3 2 2 3 2 2" xfId="3289"/>
    <cellStyle name="Normal 2 3 2 2 3 2 2 2" xfId="3816"/>
    <cellStyle name="Normal 2 3 2 2 3 2 2 2 2" xfId="5290"/>
    <cellStyle name="Normal 2 3 2 2 3 2 2 2 2 2" xfId="10135"/>
    <cellStyle name="Normal 2 3 2 2 3 2 2 2 2 2 2" xfId="17133"/>
    <cellStyle name="Normal 2 3 2 2 3 2 2 2 2 2 3" xfId="24100"/>
    <cellStyle name="Normal 2 3 2 2 3 2 2 2 2 2 4" xfId="31067"/>
    <cellStyle name="Normal 2 3 2 2 3 2 2 2 2 2 5" xfId="38036"/>
    <cellStyle name="Normal 2 3 2 2 3 2 2 2 2 3" xfId="14813"/>
    <cellStyle name="Normal 2 3 2 2 3 2 2 2 2 3 2" xfId="21780"/>
    <cellStyle name="Normal 2 3 2 2 3 2 2 2 2 3 3" xfId="28747"/>
    <cellStyle name="Normal 2 3 2 2 3 2 2 2 2 3 4" xfId="35716"/>
    <cellStyle name="Normal 2 3 2 2 3 2 2 2 2 4" xfId="12491"/>
    <cellStyle name="Normal 2 3 2 2 3 2 2 2 2 5" xfId="19458"/>
    <cellStyle name="Normal 2 3 2 2 3 2 2 2 2 6" xfId="26425"/>
    <cellStyle name="Normal 2 3 2 2 3 2 2 2 2 7" xfId="33393"/>
    <cellStyle name="Normal 2 3 2 2 3 2 2 2 3" xfId="9422"/>
    <cellStyle name="Normal 2 3 2 2 3 2 2 2 3 2" xfId="16460"/>
    <cellStyle name="Normal 2 3 2 2 3 2 2 2 3 3" xfId="23427"/>
    <cellStyle name="Normal 2 3 2 2 3 2 2 2 3 4" xfId="30394"/>
    <cellStyle name="Normal 2 3 2 2 3 2 2 2 3 5" xfId="37363"/>
    <cellStyle name="Normal 2 3 2 2 3 2 2 2 4" xfId="14140"/>
    <cellStyle name="Normal 2 3 2 2 3 2 2 2 4 2" xfId="21107"/>
    <cellStyle name="Normal 2 3 2 2 3 2 2 2 4 3" xfId="28074"/>
    <cellStyle name="Normal 2 3 2 2 3 2 2 2 4 4" xfId="35043"/>
    <cellStyle name="Normal 2 3 2 2 3 2 2 2 5" xfId="11818"/>
    <cellStyle name="Normal 2 3 2 2 3 2 2 2 6" xfId="18785"/>
    <cellStyle name="Normal 2 3 2 2 3 2 2 2 7" xfId="25752"/>
    <cellStyle name="Normal 2 3 2 2 3 2 2 2 8" xfId="32720"/>
    <cellStyle name="Normal 2 3 2 2 3 2 2 3" xfId="5289"/>
    <cellStyle name="Normal 2 3 2 2 3 2 2 3 2" xfId="10134"/>
    <cellStyle name="Normal 2 3 2 2 3 2 2 3 2 2" xfId="17132"/>
    <cellStyle name="Normal 2 3 2 2 3 2 2 3 2 3" xfId="24099"/>
    <cellStyle name="Normal 2 3 2 2 3 2 2 3 2 4" xfId="31066"/>
    <cellStyle name="Normal 2 3 2 2 3 2 2 3 2 5" xfId="38035"/>
    <cellStyle name="Normal 2 3 2 2 3 2 2 3 3" xfId="14812"/>
    <cellStyle name="Normal 2 3 2 2 3 2 2 3 3 2" xfId="21779"/>
    <cellStyle name="Normal 2 3 2 2 3 2 2 3 3 3" xfId="28746"/>
    <cellStyle name="Normal 2 3 2 2 3 2 2 3 3 4" xfId="35715"/>
    <cellStyle name="Normal 2 3 2 2 3 2 2 3 4" xfId="12490"/>
    <cellStyle name="Normal 2 3 2 2 3 2 2 3 5" xfId="19457"/>
    <cellStyle name="Normal 2 3 2 2 3 2 2 3 6" xfId="26424"/>
    <cellStyle name="Normal 2 3 2 2 3 2 2 3 7" xfId="33392"/>
    <cellStyle name="Normal 2 3 2 2 3 2 2 4" xfId="8923"/>
    <cellStyle name="Normal 2 3 2 2 3 2 2 4 2" xfId="15975"/>
    <cellStyle name="Normal 2 3 2 2 3 2 2 4 3" xfId="22942"/>
    <cellStyle name="Normal 2 3 2 2 3 2 2 4 4" xfId="29909"/>
    <cellStyle name="Normal 2 3 2 2 3 2 2 4 5" xfId="36878"/>
    <cellStyle name="Normal 2 3 2 2 3 2 2 5" xfId="13653"/>
    <cellStyle name="Normal 2 3 2 2 3 2 2 5 2" xfId="20620"/>
    <cellStyle name="Normal 2 3 2 2 3 2 2 5 3" xfId="27587"/>
    <cellStyle name="Normal 2 3 2 2 3 2 2 5 4" xfId="34556"/>
    <cellStyle name="Normal 2 3 2 2 3 2 2 6" xfId="11331"/>
    <cellStyle name="Normal 2 3 2 2 3 2 2 7" xfId="18298"/>
    <cellStyle name="Normal 2 3 2 2 3 2 2 8" xfId="25265"/>
    <cellStyle name="Normal 2 3 2 2 3 2 2 9" xfId="32233"/>
    <cellStyle name="Normal 2 3 2 2 3 2 3" xfId="3491"/>
    <cellStyle name="Normal 2 3 2 2 3 2 3 2" xfId="5291"/>
    <cellStyle name="Normal 2 3 2 2 3 2 3 2 2" xfId="10136"/>
    <cellStyle name="Normal 2 3 2 2 3 2 3 2 2 2" xfId="17134"/>
    <cellStyle name="Normal 2 3 2 2 3 2 3 2 2 3" xfId="24101"/>
    <cellStyle name="Normal 2 3 2 2 3 2 3 2 2 4" xfId="31068"/>
    <cellStyle name="Normal 2 3 2 2 3 2 3 2 2 5" xfId="38037"/>
    <cellStyle name="Normal 2 3 2 2 3 2 3 2 3" xfId="14814"/>
    <cellStyle name="Normal 2 3 2 2 3 2 3 2 3 2" xfId="21781"/>
    <cellStyle name="Normal 2 3 2 2 3 2 3 2 3 3" xfId="28748"/>
    <cellStyle name="Normal 2 3 2 2 3 2 3 2 3 4" xfId="35717"/>
    <cellStyle name="Normal 2 3 2 2 3 2 3 2 4" xfId="12492"/>
    <cellStyle name="Normal 2 3 2 2 3 2 3 2 5" xfId="19459"/>
    <cellStyle name="Normal 2 3 2 2 3 2 3 2 6" xfId="26426"/>
    <cellStyle name="Normal 2 3 2 2 3 2 3 2 7" xfId="33394"/>
    <cellStyle name="Normal 2 3 2 2 3 2 3 3" xfId="9103"/>
    <cellStyle name="Normal 2 3 2 2 3 2 3 3 2" xfId="16142"/>
    <cellStyle name="Normal 2 3 2 2 3 2 3 3 3" xfId="23109"/>
    <cellStyle name="Normal 2 3 2 2 3 2 3 3 4" xfId="30076"/>
    <cellStyle name="Normal 2 3 2 2 3 2 3 3 5" xfId="37045"/>
    <cellStyle name="Normal 2 3 2 2 3 2 3 4" xfId="13822"/>
    <cellStyle name="Normal 2 3 2 2 3 2 3 4 2" xfId="20789"/>
    <cellStyle name="Normal 2 3 2 2 3 2 3 4 3" xfId="27756"/>
    <cellStyle name="Normal 2 3 2 2 3 2 3 4 4" xfId="34725"/>
    <cellStyle name="Normal 2 3 2 2 3 2 3 5" xfId="11500"/>
    <cellStyle name="Normal 2 3 2 2 3 2 3 6" xfId="18467"/>
    <cellStyle name="Normal 2 3 2 2 3 2 3 7" xfId="25434"/>
    <cellStyle name="Normal 2 3 2 2 3 2 3 8" xfId="32402"/>
    <cellStyle name="Normal 2 3 2 2 3 2 4" xfId="3666"/>
    <cellStyle name="Normal 2 3 2 2 3 2 4 2" xfId="5292"/>
    <cellStyle name="Normal 2 3 2 2 3 2 4 2 2" xfId="10137"/>
    <cellStyle name="Normal 2 3 2 2 3 2 4 2 2 2" xfId="17135"/>
    <cellStyle name="Normal 2 3 2 2 3 2 4 2 2 3" xfId="24102"/>
    <cellStyle name="Normal 2 3 2 2 3 2 4 2 2 4" xfId="31069"/>
    <cellStyle name="Normal 2 3 2 2 3 2 4 2 2 5" xfId="38038"/>
    <cellStyle name="Normal 2 3 2 2 3 2 4 2 3" xfId="14815"/>
    <cellStyle name="Normal 2 3 2 2 3 2 4 2 3 2" xfId="21782"/>
    <cellStyle name="Normal 2 3 2 2 3 2 4 2 3 3" xfId="28749"/>
    <cellStyle name="Normal 2 3 2 2 3 2 4 2 3 4" xfId="35718"/>
    <cellStyle name="Normal 2 3 2 2 3 2 4 2 4" xfId="12493"/>
    <cellStyle name="Normal 2 3 2 2 3 2 4 2 5" xfId="19460"/>
    <cellStyle name="Normal 2 3 2 2 3 2 4 2 6" xfId="26427"/>
    <cellStyle name="Normal 2 3 2 2 3 2 4 2 7" xfId="33395"/>
    <cellStyle name="Normal 2 3 2 2 3 2 4 3" xfId="9274"/>
    <cellStyle name="Normal 2 3 2 2 3 2 4 3 2" xfId="16313"/>
    <cellStyle name="Normal 2 3 2 2 3 2 4 3 3" xfId="23280"/>
    <cellStyle name="Normal 2 3 2 2 3 2 4 3 4" xfId="30247"/>
    <cellStyle name="Normal 2 3 2 2 3 2 4 3 5" xfId="37216"/>
    <cellStyle name="Normal 2 3 2 2 3 2 4 4" xfId="13993"/>
    <cellStyle name="Normal 2 3 2 2 3 2 4 4 2" xfId="20960"/>
    <cellStyle name="Normal 2 3 2 2 3 2 4 4 3" xfId="27927"/>
    <cellStyle name="Normal 2 3 2 2 3 2 4 4 4" xfId="34896"/>
    <cellStyle name="Normal 2 3 2 2 3 2 4 5" xfId="11671"/>
    <cellStyle name="Normal 2 3 2 2 3 2 4 6" xfId="18638"/>
    <cellStyle name="Normal 2 3 2 2 3 2 4 7" xfId="25605"/>
    <cellStyle name="Normal 2 3 2 2 3 2 4 8" xfId="32573"/>
    <cellStyle name="Normal 2 3 2 2 3 2 5" xfId="3943"/>
    <cellStyle name="Normal 2 3 2 2 3 2 5 2" xfId="5293"/>
    <cellStyle name="Normal 2 3 2 2 3 2 5 2 2" xfId="10138"/>
    <cellStyle name="Normal 2 3 2 2 3 2 5 2 2 2" xfId="17136"/>
    <cellStyle name="Normal 2 3 2 2 3 2 5 2 2 3" xfId="24103"/>
    <cellStyle name="Normal 2 3 2 2 3 2 5 2 2 4" xfId="31070"/>
    <cellStyle name="Normal 2 3 2 2 3 2 5 2 2 5" xfId="38039"/>
    <cellStyle name="Normal 2 3 2 2 3 2 5 2 3" xfId="14816"/>
    <cellStyle name="Normal 2 3 2 2 3 2 5 2 3 2" xfId="21783"/>
    <cellStyle name="Normal 2 3 2 2 3 2 5 2 3 3" xfId="28750"/>
    <cellStyle name="Normal 2 3 2 2 3 2 5 2 3 4" xfId="35719"/>
    <cellStyle name="Normal 2 3 2 2 3 2 5 2 4" xfId="12494"/>
    <cellStyle name="Normal 2 3 2 2 3 2 5 2 5" xfId="19461"/>
    <cellStyle name="Normal 2 3 2 2 3 2 5 2 6" xfId="26428"/>
    <cellStyle name="Normal 2 3 2 2 3 2 5 2 7" xfId="33396"/>
    <cellStyle name="Normal 2 3 2 2 3 2 5 3" xfId="9549"/>
    <cellStyle name="Normal 2 3 2 2 3 2 5 3 2" xfId="16585"/>
    <cellStyle name="Normal 2 3 2 2 3 2 5 3 3" xfId="23552"/>
    <cellStyle name="Normal 2 3 2 2 3 2 5 3 4" xfId="30519"/>
    <cellStyle name="Normal 2 3 2 2 3 2 5 3 5" xfId="37488"/>
    <cellStyle name="Normal 2 3 2 2 3 2 5 4" xfId="14265"/>
    <cellStyle name="Normal 2 3 2 2 3 2 5 4 2" xfId="21232"/>
    <cellStyle name="Normal 2 3 2 2 3 2 5 4 3" xfId="28199"/>
    <cellStyle name="Normal 2 3 2 2 3 2 5 4 4" xfId="35168"/>
    <cellStyle name="Normal 2 3 2 2 3 2 5 5" xfId="11943"/>
    <cellStyle name="Normal 2 3 2 2 3 2 5 6" xfId="18910"/>
    <cellStyle name="Normal 2 3 2 2 3 2 5 7" xfId="25877"/>
    <cellStyle name="Normal 2 3 2 2 3 2 5 8" xfId="32845"/>
    <cellStyle name="Normal 2 3 2 2 3 2 6" xfId="5288"/>
    <cellStyle name="Normal 2 3 2 2 3 2 6 2" xfId="10133"/>
    <cellStyle name="Normal 2 3 2 2 3 2 6 2 2" xfId="17131"/>
    <cellStyle name="Normal 2 3 2 2 3 2 6 2 3" xfId="24098"/>
    <cellStyle name="Normal 2 3 2 2 3 2 6 2 4" xfId="31065"/>
    <cellStyle name="Normal 2 3 2 2 3 2 6 2 5" xfId="38034"/>
    <cellStyle name="Normal 2 3 2 2 3 2 6 3" xfId="14811"/>
    <cellStyle name="Normal 2 3 2 2 3 2 6 3 2" xfId="21778"/>
    <cellStyle name="Normal 2 3 2 2 3 2 6 3 3" xfId="28745"/>
    <cellStyle name="Normal 2 3 2 2 3 2 6 3 4" xfId="35714"/>
    <cellStyle name="Normal 2 3 2 2 3 2 6 4" xfId="12489"/>
    <cellStyle name="Normal 2 3 2 2 3 2 6 5" xfId="19456"/>
    <cellStyle name="Normal 2 3 2 2 3 2 6 6" xfId="26423"/>
    <cellStyle name="Normal 2 3 2 2 3 2 6 7" xfId="33391"/>
    <cellStyle name="Normal 2 3 2 2 3 2 7" xfId="6838"/>
    <cellStyle name="Normal 2 3 2 2 3 2 7 2" xfId="10807"/>
    <cellStyle name="Normal 2 3 2 2 3 2 7 2 2" xfId="17781"/>
    <cellStyle name="Normal 2 3 2 2 3 2 7 2 3" xfId="24748"/>
    <cellStyle name="Normal 2 3 2 2 3 2 7 2 4" xfId="31715"/>
    <cellStyle name="Normal 2 3 2 2 3 2 7 2 5" xfId="38684"/>
    <cellStyle name="Normal 2 3 2 2 3 2 7 3" xfId="15461"/>
    <cellStyle name="Normal 2 3 2 2 3 2 7 3 2" xfId="22428"/>
    <cellStyle name="Normal 2 3 2 2 3 2 7 3 3" xfId="29395"/>
    <cellStyle name="Normal 2 3 2 2 3 2 7 3 4" xfId="36364"/>
    <cellStyle name="Normal 2 3 2 2 3 2 7 4" xfId="13139"/>
    <cellStyle name="Normal 2 3 2 2 3 2 7 5" xfId="20106"/>
    <cellStyle name="Normal 2 3 2 2 3 2 7 6" xfId="27073"/>
    <cellStyle name="Normal 2 3 2 2 3 2 7 7" xfId="34042"/>
    <cellStyle name="Normal 2 3 2 2 3 2 8" xfId="7150"/>
    <cellStyle name="Normal 2 3 2 2 3 2 8 2" xfId="15634"/>
    <cellStyle name="Normal 2 3 2 2 3 2 8 2 2" xfId="22601"/>
    <cellStyle name="Normal 2 3 2 2 3 2 8 2 3" xfId="29568"/>
    <cellStyle name="Normal 2 3 2 2 3 2 8 2 4" xfId="36537"/>
    <cellStyle name="Normal 2 3 2 2 3 2 8 3" xfId="13312"/>
    <cellStyle name="Normal 2 3 2 2 3 2 8 4" xfId="20279"/>
    <cellStyle name="Normal 2 3 2 2 3 2 8 5" xfId="27246"/>
    <cellStyle name="Normal 2 3 2 2 3 2 8 6" xfId="34215"/>
    <cellStyle name="Normal 2 3 2 2 3 2 9" xfId="8035"/>
    <cellStyle name="Normal 2 3 2 2 3 2 9 2" xfId="15806"/>
    <cellStyle name="Normal 2 3 2 2 3 2 9 2 2" xfId="22773"/>
    <cellStyle name="Normal 2 3 2 2 3 2 9 2 3" xfId="29740"/>
    <cellStyle name="Normal 2 3 2 2 3 2 9 2 4" xfId="36709"/>
    <cellStyle name="Normal 2 3 2 2 3 2 9 3" xfId="11162"/>
    <cellStyle name="Normal 2 3 2 2 3 2 9 4" xfId="18129"/>
    <cellStyle name="Normal 2 3 2 2 3 2 9 5" xfId="25096"/>
    <cellStyle name="Normal 2 3 2 2 3 2 9 6" xfId="32064"/>
    <cellStyle name="Normal 2 3 2 2 3 3" xfId="1674"/>
    <cellStyle name="Normal 2 3 2 2 3 3 10" xfId="13485"/>
    <cellStyle name="Normal 2 3 2 2 3 3 10 2" xfId="20452"/>
    <cellStyle name="Normal 2 3 2 2 3 3 10 3" xfId="27419"/>
    <cellStyle name="Normal 2 3 2 2 3 3 10 4" xfId="34388"/>
    <cellStyle name="Normal 2 3 2 2 3 3 11" xfId="10991"/>
    <cellStyle name="Normal 2 3 2 2 3 3 12" xfId="17957"/>
    <cellStyle name="Normal 2 3 2 2 3 3 13" xfId="24925"/>
    <cellStyle name="Normal 2 3 2 2 3 3 14" xfId="31893"/>
    <cellStyle name="Normal 2 3 2 2 3 3 2" xfId="3290"/>
    <cellStyle name="Normal 2 3 2 2 3 3 2 2" xfId="5295"/>
    <cellStyle name="Normal 2 3 2 2 3 3 2 2 2" xfId="10140"/>
    <cellStyle name="Normal 2 3 2 2 3 3 2 2 2 2" xfId="17138"/>
    <cellStyle name="Normal 2 3 2 2 3 3 2 2 2 3" xfId="24105"/>
    <cellStyle name="Normal 2 3 2 2 3 3 2 2 2 4" xfId="31072"/>
    <cellStyle name="Normal 2 3 2 2 3 3 2 2 2 5" xfId="38041"/>
    <cellStyle name="Normal 2 3 2 2 3 3 2 2 3" xfId="14818"/>
    <cellStyle name="Normal 2 3 2 2 3 3 2 2 3 2" xfId="21785"/>
    <cellStyle name="Normal 2 3 2 2 3 3 2 2 3 3" xfId="28752"/>
    <cellStyle name="Normal 2 3 2 2 3 3 2 2 3 4" xfId="35721"/>
    <cellStyle name="Normal 2 3 2 2 3 3 2 2 4" xfId="12496"/>
    <cellStyle name="Normal 2 3 2 2 3 3 2 2 5" xfId="19463"/>
    <cellStyle name="Normal 2 3 2 2 3 3 2 2 6" xfId="26430"/>
    <cellStyle name="Normal 2 3 2 2 3 3 2 2 7" xfId="33398"/>
    <cellStyle name="Normal 2 3 2 2 3 3 2 3" xfId="8924"/>
    <cellStyle name="Normal 2 3 2 2 3 3 2 3 2" xfId="15976"/>
    <cellStyle name="Normal 2 3 2 2 3 3 2 3 3" xfId="22943"/>
    <cellStyle name="Normal 2 3 2 2 3 3 2 3 4" xfId="29910"/>
    <cellStyle name="Normal 2 3 2 2 3 3 2 3 5" xfId="36879"/>
    <cellStyle name="Normal 2 3 2 2 3 3 2 4" xfId="13654"/>
    <cellStyle name="Normal 2 3 2 2 3 3 2 4 2" xfId="20621"/>
    <cellStyle name="Normal 2 3 2 2 3 3 2 4 3" xfId="27588"/>
    <cellStyle name="Normal 2 3 2 2 3 3 2 4 4" xfId="34557"/>
    <cellStyle name="Normal 2 3 2 2 3 3 2 5" xfId="11332"/>
    <cellStyle name="Normal 2 3 2 2 3 3 2 6" xfId="18299"/>
    <cellStyle name="Normal 2 3 2 2 3 3 2 7" xfId="25266"/>
    <cellStyle name="Normal 2 3 2 2 3 3 2 8" xfId="32234"/>
    <cellStyle name="Normal 2 3 2 2 3 3 3" xfId="3492"/>
    <cellStyle name="Normal 2 3 2 2 3 3 3 2" xfId="5296"/>
    <cellStyle name="Normal 2 3 2 2 3 3 3 2 2" xfId="10141"/>
    <cellStyle name="Normal 2 3 2 2 3 3 3 2 2 2" xfId="17139"/>
    <cellStyle name="Normal 2 3 2 2 3 3 3 2 2 3" xfId="24106"/>
    <cellStyle name="Normal 2 3 2 2 3 3 3 2 2 4" xfId="31073"/>
    <cellStyle name="Normal 2 3 2 2 3 3 3 2 2 5" xfId="38042"/>
    <cellStyle name="Normal 2 3 2 2 3 3 3 2 3" xfId="14819"/>
    <cellStyle name="Normal 2 3 2 2 3 3 3 2 3 2" xfId="21786"/>
    <cellStyle name="Normal 2 3 2 2 3 3 3 2 3 3" xfId="28753"/>
    <cellStyle name="Normal 2 3 2 2 3 3 3 2 3 4" xfId="35722"/>
    <cellStyle name="Normal 2 3 2 2 3 3 3 2 4" xfId="12497"/>
    <cellStyle name="Normal 2 3 2 2 3 3 3 2 5" xfId="19464"/>
    <cellStyle name="Normal 2 3 2 2 3 3 3 2 6" xfId="26431"/>
    <cellStyle name="Normal 2 3 2 2 3 3 3 2 7" xfId="33399"/>
    <cellStyle name="Normal 2 3 2 2 3 3 3 3" xfId="9104"/>
    <cellStyle name="Normal 2 3 2 2 3 3 3 3 2" xfId="16143"/>
    <cellStyle name="Normal 2 3 2 2 3 3 3 3 3" xfId="23110"/>
    <cellStyle name="Normal 2 3 2 2 3 3 3 3 4" xfId="30077"/>
    <cellStyle name="Normal 2 3 2 2 3 3 3 3 5" xfId="37046"/>
    <cellStyle name="Normal 2 3 2 2 3 3 3 4" xfId="13823"/>
    <cellStyle name="Normal 2 3 2 2 3 3 3 4 2" xfId="20790"/>
    <cellStyle name="Normal 2 3 2 2 3 3 3 4 3" xfId="27757"/>
    <cellStyle name="Normal 2 3 2 2 3 3 3 4 4" xfId="34726"/>
    <cellStyle name="Normal 2 3 2 2 3 3 3 5" xfId="11501"/>
    <cellStyle name="Normal 2 3 2 2 3 3 3 6" xfId="18468"/>
    <cellStyle name="Normal 2 3 2 2 3 3 3 7" xfId="25435"/>
    <cellStyle name="Normal 2 3 2 2 3 3 3 8" xfId="32403"/>
    <cellStyle name="Normal 2 3 2 2 3 3 4" xfId="3667"/>
    <cellStyle name="Normal 2 3 2 2 3 3 4 2" xfId="5297"/>
    <cellStyle name="Normal 2 3 2 2 3 3 4 2 2" xfId="10142"/>
    <cellStyle name="Normal 2 3 2 2 3 3 4 2 2 2" xfId="17140"/>
    <cellStyle name="Normal 2 3 2 2 3 3 4 2 2 3" xfId="24107"/>
    <cellStyle name="Normal 2 3 2 2 3 3 4 2 2 4" xfId="31074"/>
    <cellStyle name="Normal 2 3 2 2 3 3 4 2 2 5" xfId="38043"/>
    <cellStyle name="Normal 2 3 2 2 3 3 4 2 3" xfId="14820"/>
    <cellStyle name="Normal 2 3 2 2 3 3 4 2 3 2" xfId="21787"/>
    <cellStyle name="Normal 2 3 2 2 3 3 4 2 3 3" xfId="28754"/>
    <cellStyle name="Normal 2 3 2 2 3 3 4 2 3 4" xfId="35723"/>
    <cellStyle name="Normal 2 3 2 2 3 3 4 2 4" xfId="12498"/>
    <cellStyle name="Normal 2 3 2 2 3 3 4 2 5" xfId="19465"/>
    <cellStyle name="Normal 2 3 2 2 3 3 4 2 6" xfId="26432"/>
    <cellStyle name="Normal 2 3 2 2 3 3 4 2 7" xfId="33400"/>
    <cellStyle name="Normal 2 3 2 2 3 3 4 3" xfId="9275"/>
    <cellStyle name="Normal 2 3 2 2 3 3 4 3 2" xfId="16314"/>
    <cellStyle name="Normal 2 3 2 2 3 3 4 3 3" xfId="23281"/>
    <cellStyle name="Normal 2 3 2 2 3 3 4 3 4" xfId="30248"/>
    <cellStyle name="Normal 2 3 2 2 3 3 4 3 5" xfId="37217"/>
    <cellStyle name="Normal 2 3 2 2 3 3 4 4" xfId="13994"/>
    <cellStyle name="Normal 2 3 2 2 3 3 4 4 2" xfId="20961"/>
    <cellStyle name="Normal 2 3 2 2 3 3 4 4 3" xfId="27928"/>
    <cellStyle name="Normal 2 3 2 2 3 3 4 4 4" xfId="34897"/>
    <cellStyle name="Normal 2 3 2 2 3 3 4 5" xfId="11672"/>
    <cellStyle name="Normal 2 3 2 2 3 3 4 6" xfId="18639"/>
    <cellStyle name="Normal 2 3 2 2 3 3 4 7" xfId="25606"/>
    <cellStyle name="Normal 2 3 2 2 3 3 4 8" xfId="32574"/>
    <cellStyle name="Normal 2 3 2 2 3 3 5" xfId="3944"/>
    <cellStyle name="Normal 2 3 2 2 3 3 5 2" xfId="5298"/>
    <cellStyle name="Normal 2 3 2 2 3 3 5 2 2" xfId="10143"/>
    <cellStyle name="Normal 2 3 2 2 3 3 5 2 2 2" xfId="17141"/>
    <cellStyle name="Normal 2 3 2 2 3 3 5 2 2 3" xfId="24108"/>
    <cellStyle name="Normal 2 3 2 2 3 3 5 2 2 4" xfId="31075"/>
    <cellStyle name="Normal 2 3 2 2 3 3 5 2 2 5" xfId="38044"/>
    <cellStyle name="Normal 2 3 2 2 3 3 5 2 3" xfId="14821"/>
    <cellStyle name="Normal 2 3 2 2 3 3 5 2 3 2" xfId="21788"/>
    <cellStyle name="Normal 2 3 2 2 3 3 5 2 3 3" xfId="28755"/>
    <cellStyle name="Normal 2 3 2 2 3 3 5 2 3 4" xfId="35724"/>
    <cellStyle name="Normal 2 3 2 2 3 3 5 2 4" xfId="12499"/>
    <cellStyle name="Normal 2 3 2 2 3 3 5 2 5" xfId="19466"/>
    <cellStyle name="Normal 2 3 2 2 3 3 5 2 6" xfId="26433"/>
    <cellStyle name="Normal 2 3 2 2 3 3 5 2 7" xfId="33401"/>
    <cellStyle name="Normal 2 3 2 2 3 3 5 3" xfId="9550"/>
    <cellStyle name="Normal 2 3 2 2 3 3 5 3 2" xfId="16586"/>
    <cellStyle name="Normal 2 3 2 2 3 3 5 3 3" xfId="23553"/>
    <cellStyle name="Normal 2 3 2 2 3 3 5 3 4" xfId="30520"/>
    <cellStyle name="Normal 2 3 2 2 3 3 5 3 5" xfId="37489"/>
    <cellStyle name="Normal 2 3 2 2 3 3 5 4" xfId="14266"/>
    <cellStyle name="Normal 2 3 2 2 3 3 5 4 2" xfId="21233"/>
    <cellStyle name="Normal 2 3 2 2 3 3 5 4 3" xfId="28200"/>
    <cellStyle name="Normal 2 3 2 2 3 3 5 4 4" xfId="35169"/>
    <cellStyle name="Normal 2 3 2 2 3 3 5 5" xfId="11944"/>
    <cellStyle name="Normal 2 3 2 2 3 3 5 6" xfId="18911"/>
    <cellStyle name="Normal 2 3 2 2 3 3 5 7" xfId="25878"/>
    <cellStyle name="Normal 2 3 2 2 3 3 5 8" xfId="32846"/>
    <cellStyle name="Normal 2 3 2 2 3 3 6" xfId="5294"/>
    <cellStyle name="Normal 2 3 2 2 3 3 6 2" xfId="10139"/>
    <cellStyle name="Normal 2 3 2 2 3 3 6 2 2" xfId="17137"/>
    <cellStyle name="Normal 2 3 2 2 3 3 6 2 3" xfId="24104"/>
    <cellStyle name="Normal 2 3 2 2 3 3 6 2 4" xfId="31071"/>
    <cellStyle name="Normal 2 3 2 2 3 3 6 2 5" xfId="38040"/>
    <cellStyle name="Normal 2 3 2 2 3 3 6 3" xfId="14817"/>
    <cellStyle name="Normal 2 3 2 2 3 3 6 3 2" xfId="21784"/>
    <cellStyle name="Normal 2 3 2 2 3 3 6 3 3" xfId="28751"/>
    <cellStyle name="Normal 2 3 2 2 3 3 6 3 4" xfId="35720"/>
    <cellStyle name="Normal 2 3 2 2 3 3 6 4" xfId="12495"/>
    <cellStyle name="Normal 2 3 2 2 3 3 6 5" xfId="19462"/>
    <cellStyle name="Normal 2 3 2 2 3 3 6 6" xfId="26429"/>
    <cellStyle name="Normal 2 3 2 2 3 3 6 7" xfId="33397"/>
    <cellStyle name="Normal 2 3 2 2 3 3 7" xfId="6839"/>
    <cellStyle name="Normal 2 3 2 2 3 3 7 2" xfId="10808"/>
    <cellStyle name="Normal 2 3 2 2 3 3 7 2 2" xfId="17782"/>
    <cellStyle name="Normal 2 3 2 2 3 3 7 2 3" xfId="24749"/>
    <cellStyle name="Normal 2 3 2 2 3 3 7 2 4" xfId="31716"/>
    <cellStyle name="Normal 2 3 2 2 3 3 7 2 5" xfId="38685"/>
    <cellStyle name="Normal 2 3 2 2 3 3 7 3" xfId="15462"/>
    <cellStyle name="Normal 2 3 2 2 3 3 7 3 2" xfId="22429"/>
    <cellStyle name="Normal 2 3 2 2 3 3 7 3 3" xfId="29396"/>
    <cellStyle name="Normal 2 3 2 2 3 3 7 3 4" xfId="36365"/>
    <cellStyle name="Normal 2 3 2 2 3 3 7 4" xfId="13140"/>
    <cellStyle name="Normal 2 3 2 2 3 3 7 5" xfId="20107"/>
    <cellStyle name="Normal 2 3 2 2 3 3 7 6" xfId="27074"/>
    <cellStyle name="Normal 2 3 2 2 3 3 7 7" xfId="34043"/>
    <cellStyle name="Normal 2 3 2 2 3 3 8" xfId="7151"/>
    <cellStyle name="Normal 2 3 2 2 3 3 8 2" xfId="15635"/>
    <cellStyle name="Normal 2 3 2 2 3 3 8 2 2" xfId="22602"/>
    <cellStyle name="Normal 2 3 2 2 3 3 8 2 3" xfId="29569"/>
    <cellStyle name="Normal 2 3 2 2 3 3 8 2 4" xfId="36538"/>
    <cellStyle name="Normal 2 3 2 2 3 3 8 3" xfId="13313"/>
    <cellStyle name="Normal 2 3 2 2 3 3 8 4" xfId="20280"/>
    <cellStyle name="Normal 2 3 2 2 3 3 8 5" xfId="27247"/>
    <cellStyle name="Normal 2 3 2 2 3 3 8 6" xfId="34216"/>
    <cellStyle name="Normal 2 3 2 2 3 3 9" xfId="8036"/>
    <cellStyle name="Normal 2 3 2 2 3 3 9 2" xfId="15807"/>
    <cellStyle name="Normal 2 3 2 2 3 3 9 2 2" xfId="22774"/>
    <cellStyle name="Normal 2 3 2 2 3 3 9 2 3" xfId="29741"/>
    <cellStyle name="Normal 2 3 2 2 3 3 9 2 4" xfId="36710"/>
    <cellStyle name="Normal 2 3 2 2 3 3 9 3" xfId="11163"/>
    <cellStyle name="Normal 2 3 2 2 3 3 9 4" xfId="18130"/>
    <cellStyle name="Normal 2 3 2 2 3 3 9 5" xfId="25097"/>
    <cellStyle name="Normal 2 3 2 2 3 3 9 6" xfId="32065"/>
    <cellStyle name="Normal 2 3 2 2 3 4" xfId="3288"/>
    <cellStyle name="Normal 2 3 2 2 3 4 2" xfId="3817"/>
    <cellStyle name="Normal 2 3 2 2 3 4 2 2" xfId="5300"/>
    <cellStyle name="Normal 2 3 2 2 3 4 2 2 2" xfId="10145"/>
    <cellStyle name="Normal 2 3 2 2 3 4 2 2 2 2" xfId="17143"/>
    <cellStyle name="Normal 2 3 2 2 3 4 2 2 2 3" xfId="24110"/>
    <cellStyle name="Normal 2 3 2 2 3 4 2 2 2 4" xfId="31077"/>
    <cellStyle name="Normal 2 3 2 2 3 4 2 2 2 5" xfId="38046"/>
    <cellStyle name="Normal 2 3 2 2 3 4 2 2 3" xfId="14823"/>
    <cellStyle name="Normal 2 3 2 2 3 4 2 2 3 2" xfId="21790"/>
    <cellStyle name="Normal 2 3 2 2 3 4 2 2 3 3" xfId="28757"/>
    <cellStyle name="Normal 2 3 2 2 3 4 2 2 3 4" xfId="35726"/>
    <cellStyle name="Normal 2 3 2 2 3 4 2 2 4" xfId="12501"/>
    <cellStyle name="Normal 2 3 2 2 3 4 2 2 5" xfId="19468"/>
    <cellStyle name="Normal 2 3 2 2 3 4 2 2 6" xfId="26435"/>
    <cellStyle name="Normal 2 3 2 2 3 4 2 2 7" xfId="33403"/>
    <cellStyle name="Normal 2 3 2 2 3 4 2 3" xfId="9423"/>
    <cellStyle name="Normal 2 3 2 2 3 4 2 3 2" xfId="16461"/>
    <cellStyle name="Normal 2 3 2 2 3 4 2 3 3" xfId="23428"/>
    <cellStyle name="Normal 2 3 2 2 3 4 2 3 4" xfId="30395"/>
    <cellStyle name="Normal 2 3 2 2 3 4 2 3 5" xfId="37364"/>
    <cellStyle name="Normal 2 3 2 2 3 4 2 4" xfId="14141"/>
    <cellStyle name="Normal 2 3 2 2 3 4 2 4 2" xfId="21108"/>
    <cellStyle name="Normal 2 3 2 2 3 4 2 4 3" xfId="28075"/>
    <cellStyle name="Normal 2 3 2 2 3 4 2 4 4" xfId="35044"/>
    <cellStyle name="Normal 2 3 2 2 3 4 2 5" xfId="11819"/>
    <cellStyle name="Normal 2 3 2 2 3 4 2 6" xfId="18786"/>
    <cellStyle name="Normal 2 3 2 2 3 4 2 7" xfId="25753"/>
    <cellStyle name="Normal 2 3 2 2 3 4 2 8" xfId="32721"/>
    <cellStyle name="Normal 2 3 2 2 3 4 3" xfId="5299"/>
    <cellStyle name="Normal 2 3 2 2 3 4 3 2" xfId="10144"/>
    <cellStyle name="Normal 2 3 2 2 3 4 3 2 2" xfId="17142"/>
    <cellStyle name="Normal 2 3 2 2 3 4 3 2 3" xfId="24109"/>
    <cellStyle name="Normal 2 3 2 2 3 4 3 2 4" xfId="31076"/>
    <cellStyle name="Normal 2 3 2 2 3 4 3 2 5" xfId="38045"/>
    <cellStyle name="Normal 2 3 2 2 3 4 3 3" xfId="14822"/>
    <cellStyle name="Normal 2 3 2 2 3 4 3 3 2" xfId="21789"/>
    <cellStyle name="Normal 2 3 2 2 3 4 3 3 3" xfId="28756"/>
    <cellStyle name="Normal 2 3 2 2 3 4 3 3 4" xfId="35725"/>
    <cellStyle name="Normal 2 3 2 2 3 4 3 4" xfId="12500"/>
    <cellStyle name="Normal 2 3 2 2 3 4 3 5" xfId="19467"/>
    <cellStyle name="Normal 2 3 2 2 3 4 3 6" xfId="26434"/>
    <cellStyle name="Normal 2 3 2 2 3 4 3 7" xfId="33402"/>
    <cellStyle name="Normal 2 3 2 2 3 4 4" xfId="8922"/>
    <cellStyle name="Normal 2 3 2 2 3 4 4 2" xfId="15974"/>
    <cellStyle name="Normal 2 3 2 2 3 4 4 3" xfId="22941"/>
    <cellStyle name="Normal 2 3 2 2 3 4 4 4" xfId="29908"/>
    <cellStyle name="Normal 2 3 2 2 3 4 4 5" xfId="36877"/>
    <cellStyle name="Normal 2 3 2 2 3 4 5" xfId="13652"/>
    <cellStyle name="Normal 2 3 2 2 3 4 5 2" xfId="20619"/>
    <cellStyle name="Normal 2 3 2 2 3 4 5 3" xfId="27586"/>
    <cellStyle name="Normal 2 3 2 2 3 4 5 4" xfId="34555"/>
    <cellStyle name="Normal 2 3 2 2 3 4 6" xfId="11330"/>
    <cellStyle name="Normal 2 3 2 2 3 4 7" xfId="18297"/>
    <cellStyle name="Normal 2 3 2 2 3 4 8" xfId="25264"/>
    <cellStyle name="Normal 2 3 2 2 3 4 9" xfId="32232"/>
    <cellStyle name="Normal 2 3 2 2 3 5" xfId="3490"/>
    <cellStyle name="Normal 2 3 2 2 3 5 2" xfId="5301"/>
    <cellStyle name="Normal 2 3 2 2 3 5 2 2" xfId="10146"/>
    <cellStyle name="Normal 2 3 2 2 3 5 2 2 2" xfId="17144"/>
    <cellStyle name="Normal 2 3 2 2 3 5 2 2 3" xfId="24111"/>
    <cellStyle name="Normal 2 3 2 2 3 5 2 2 4" xfId="31078"/>
    <cellStyle name="Normal 2 3 2 2 3 5 2 2 5" xfId="38047"/>
    <cellStyle name="Normal 2 3 2 2 3 5 2 3" xfId="14824"/>
    <cellStyle name="Normal 2 3 2 2 3 5 2 3 2" xfId="21791"/>
    <cellStyle name="Normal 2 3 2 2 3 5 2 3 3" xfId="28758"/>
    <cellStyle name="Normal 2 3 2 2 3 5 2 3 4" xfId="35727"/>
    <cellStyle name="Normal 2 3 2 2 3 5 2 4" xfId="12502"/>
    <cellStyle name="Normal 2 3 2 2 3 5 2 5" xfId="19469"/>
    <cellStyle name="Normal 2 3 2 2 3 5 2 6" xfId="26436"/>
    <cellStyle name="Normal 2 3 2 2 3 5 2 7" xfId="33404"/>
    <cellStyle name="Normal 2 3 2 2 3 5 3" xfId="9102"/>
    <cellStyle name="Normal 2 3 2 2 3 5 3 2" xfId="16141"/>
    <cellStyle name="Normal 2 3 2 2 3 5 3 3" xfId="23108"/>
    <cellStyle name="Normal 2 3 2 2 3 5 3 4" xfId="30075"/>
    <cellStyle name="Normal 2 3 2 2 3 5 3 5" xfId="37044"/>
    <cellStyle name="Normal 2 3 2 2 3 5 4" xfId="13821"/>
    <cellStyle name="Normal 2 3 2 2 3 5 4 2" xfId="20788"/>
    <cellStyle name="Normal 2 3 2 2 3 5 4 3" xfId="27755"/>
    <cellStyle name="Normal 2 3 2 2 3 5 4 4" xfId="34724"/>
    <cellStyle name="Normal 2 3 2 2 3 5 5" xfId="11499"/>
    <cellStyle name="Normal 2 3 2 2 3 5 6" xfId="18466"/>
    <cellStyle name="Normal 2 3 2 2 3 5 7" xfId="25433"/>
    <cellStyle name="Normal 2 3 2 2 3 5 8" xfId="32401"/>
    <cellStyle name="Normal 2 3 2 2 3 6" xfId="3665"/>
    <cellStyle name="Normal 2 3 2 2 3 6 2" xfId="5302"/>
    <cellStyle name="Normal 2 3 2 2 3 6 2 2" xfId="10147"/>
    <cellStyle name="Normal 2 3 2 2 3 6 2 2 2" xfId="17145"/>
    <cellStyle name="Normal 2 3 2 2 3 6 2 2 3" xfId="24112"/>
    <cellStyle name="Normal 2 3 2 2 3 6 2 2 4" xfId="31079"/>
    <cellStyle name="Normal 2 3 2 2 3 6 2 2 5" xfId="38048"/>
    <cellStyle name="Normal 2 3 2 2 3 6 2 3" xfId="14825"/>
    <cellStyle name="Normal 2 3 2 2 3 6 2 3 2" xfId="21792"/>
    <cellStyle name="Normal 2 3 2 2 3 6 2 3 3" xfId="28759"/>
    <cellStyle name="Normal 2 3 2 2 3 6 2 3 4" xfId="35728"/>
    <cellStyle name="Normal 2 3 2 2 3 6 2 4" xfId="12503"/>
    <cellStyle name="Normal 2 3 2 2 3 6 2 5" xfId="19470"/>
    <cellStyle name="Normal 2 3 2 2 3 6 2 6" xfId="26437"/>
    <cellStyle name="Normal 2 3 2 2 3 6 2 7" xfId="33405"/>
    <cellStyle name="Normal 2 3 2 2 3 6 3" xfId="9273"/>
    <cellStyle name="Normal 2 3 2 2 3 6 3 2" xfId="16312"/>
    <cellStyle name="Normal 2 3 2 2 3 6 3 3" xfId="23279"/>
    <cellStyle name="Normal 2 3 2 2 3 6 3 4" xfId="30246"/>
    <cellStyle name="Normal 2 3 2 2 3 6 3 5" xfId="37215"/>
    <cellStyle name="Normal 2 3 2 2 3 6 4" xfId="13992"/>
    <cellStyle name="Normal 2 3 2 2 3 6 4 2" xfId="20959"/>
    <cellStyle name="Normal 2 3 2 2 3 6 4 3" xfId="27926"/>
    <cellStyle name="Normal 2 3 2 2 3 6 4 4" xfId="34895"/>
    <cellStyle name="Normal 2 3 2 2 3 6 5" xfId="11670"/>
    <cellStyle name="Normal 2 3 2 2 3 6 6" xfId="18637"/>
    <cellStyle name="Normal 2 3 2 2 3 6 7" xfId="25604"/>
    <cellStyle name="Normal 2 3 2 2 3 6 8" xfId="32572"/>
    <cellStyle name="Normal 2 3 2 2 3 7" xfId="3942"/>
    <cellStyle name="Normal 2 3 2 2 3 7 2" xfId="5303"/>
    <cellStyle name="Normal 2 3 2 2 3 7 2 2" xfId="10148"/>
    <cellStyle name="Normal 2 3 2 2 3 7 2 2 2" xfId="17146"/>
    <cellStyle name="Normal 2 3 2 2 3 7 2 2 3" xfId="24113"/>
    <cellStyle name="Normal 2 3 2 2 3 7 2 2 4" xfId="31080"/>
    <cellStyle name="Normal 2 3 2 2 3 7 2 2 5" xfId="38049"/>
    <cellStyle name="Normal 2 3 2 2 3 7 2 3" xfId="14826"/>
    <cellStyle name="Normal 2 3 2 2 3 7 2 3 2" xfId="21793"/>
    <cellStyle name="Normal 2 3 2 2 3 7 2 3 3" xfId="28760"/>
    <cellStyle name="Normal 2 3 2 2 3 7 2 3 4" xfId="35729"/>
    <cellStyle name="Normal 2 3 2 2 3 7 2 4" xfId="12504"/>
    <cellStyle name="Normal 2 3 2 2 3 7 2 5" xfId="19471"/>
    <cellStyle name="Normal 2 3 2 2 3 7 2 6" xfId="26438"/>
    <cellStyle name="Normal 2 3 2 2 3 7 2 7" xfId="33406"/>
    <cellStyle name="Normal 2 3 2 2 3 7 3" xfId="9548"/>
    <cellStyle name="Normal 2 3 2 2 3 7 3 2" xfId="16584"/>
    <cellStyle name="Normal 2 3 2 2 3 7 3 3" xfId="23551"/>
    <cellStyle name="Normal 2 3 2 2 3 7 3 4" xfId="30518"/>
    <cellStyle name="Normal 2 3 2 2 3 7 3 5" xfId="37487"/>
    <cellStyle name="Normal 2 3 2 2 3 7 4" xfId="14264"/>
    <cellStyle name="Normal 2 3 2 2 3 7 4 2" xfId="21231"/>
    <cellStyle name="Normal 2 3 2 2 3 7 4 3" xfId="28198"/>
    <cellStyle name="Normal 2 3 2 2 3 7 4 4" xfId="35167"/>
    <cellStyle name="Normal 2 3 2 2 3 7 5" xfId="11942"/>
    <cellStyle name="Normal 2 3 2 2 3 7 6" xfId="18909"/>
    <cellStyle name="Normal 2 3 2 2 3 7 7" xfId="25876"/>
    <cellStyle name="Normal 2 3 2 2 3 7 8" xfId="32844"/>
    <cellStyle name="Normal 2 3 2 2 3 8" xfId="5287"/>
    <cellStyle name="Normal 2 3 2 2 3 8 2" xfId="10132"/>
    <cellStyle name="Normal 2 3 2 2 3 8 2 2" xfId="17130"/>
    <cellStyle name="Normal 2 3 2 2 3 8 2 3" xfId="24097"/>
    <cellStyle name="Normal 2 3 2 2 3 8 2 4" xfId="31064"/>
    <cellStyle name="Normal 2 3 2 2 3 8 2 5" xfId="38033"/>
    <cellStyle name="Normal 2 3 2 2 3 8 3" xfId="14810"/>
    <cellStyle name="Normal 2 3 2 2 3 8 3 2" xfId="21777"/>
    <cellStyle name="Normal 2 3 2 2 3 8 3 3" xfId="28744"/>
    <cellStyle name="Normal 2 3 2 2 3 8 3 4" xfId="35713"/>
    <cellStyle name="Normal 2 3 2 2 3 8 4" xfId="12488"/>
    <cellStyle name="Normal 2 3 2 2 3 8 5" xfId="19455"/>
    <cellStyle name="Normal 2 3 2 2 3 8 6" xfId="26422"/>
    <cellStyle name="Normal 2 3 2 2 3 8 7" xfId="33390"/>
    <cellStyle name="Normal 2 3 2 2 3 9" xfId="6837"/>
    <cellStyle name="Normal 2 3 2 2 3 9 2" xfId="10806"/>
    <cellStyle name="Normal 2 3 2 2 3 9 2 2" xfId="17780"/>
    <cellStyle name="Normal 2 3 2 2 3 9 2 3" xfId="24747"/>
    <cellStyle name="Normal 2 3 2 2 3 9 2 4" xfId="31714"/>
    <cellStyle name="Normal 2 3 2 2 3 9 2 5" xfId="38683"/>
    <cellStyle name="Normal 2 3 2 2 3 9 3" xfId="15460"/>
    <cellStyle name="Normal 2 3 2 2 3 9 3 2" xfId="22427"/>
    <cellStyle name="Normal 2 3 2 2 3 9 3 3" xfId="29394"/>
    <cellStyle name="Normal 2 3 2 2 3 9 3 4" xfId="36363"/>
    <cellStyle name="Normal 2 3 2 2 3 9 4" xfId="13138"/>
    <cellStyle name="Normal 2 3 2 2 3 9 5" xfId="20105"/>
    <cellStyle name="Normal 2 3 2 2 3 9 6" xfId="27072"/>
    <cellStyle name="Normal 2 3 2 2 3 9 7" xfId="34041"/>
    <cellStyle name="Normal 2 3 2 2 4" xfId="1675"/>
    <cellStyle name="Normal 2 3 2 2 4 10" xfId="8037"/>
    <cellStyle name="Normal 2 3 2 2 4 10 2" xfId="15808"/>
    <cellStyle name="Normal 2 3 2 2 4 10 2 2" xfId="22775"/>
    <cellStyle name="Normal 2 3 2 2 4 10 2 3" xfId="29742"/>
    <cellStyle name="Normal 2 3 2 2 4 10 2 4" xfId="36711"/>
    <cellStyle name="Normal 2 3 2 2 4 10 3" xfId="11164"/>
    <cellStyle name="Normal 2 3 2 2 4 10 4" xfId="18131"/>
    <cellStyle name="Normal 2 3 2 2 4 10 5" xfId="25098"/>
    <cellStyle name="Normal 2 3 2 2 4 10 6" xfId="32066"/>
    <cellStyle name="Normal 2 3 2 2 4 11" xfId="13486"/>
    <cellStyle name="Normal 2 3 2 2 4 11 2" xfId="20453"/>
    <cellStyle name="Normal 2 3 2 2 4 11 3" xfId="27420"/>
    <cellStyle name="Normal 2 3 2 2 4 11 4" xfId="34389"/>
    <cellStyle name="Normal 2 3 2 2 4 12" xfId="10992"/>
    <cellStyle name="Normal 2 3 2 2 4 13" xfId="17958"/>
    <cellStyle name="Normal 2 3 2 2 4 14" xfId="24926"/>
    <cellStyle name="Normal 2 3 2 2 4 15" xfId="31894"/>
    <cellStyle name="Normal 2 3 2 2 4 2" xfId="1676"/>
    <cellStyle name="Normal 2 3 2 2 4 2 10" xfId="13487"/>
    <cellStyle name="Normal 2 3 2 2 4 2 10 2" xfId="20454"/>
    <cellStyle name="Normal 2 3 2 2 4 2 10 3" xfId="27421"/>
    <cellStyle name="Normal 2 3 2 2 4 2 10 4" xfId="34390"/>
    <cellStyle name="Normal 2 3 2 2 4 2 11" xfId="10993"/>
    <cellStyle name="Normal 2 3 2 2 4 2 12" xfId="17959"/>
    <cellStyle name="Normal 2 3 2 2 4 2 13" xfId="24927"/>
    <cellStyle name="Normal 2 3 2 2 4 2 14" xfId="31895"/>
    <cellStyle name="Normal 2 3 2 2 4 2 2" xfId="3292"/>
    <cellStyle name="Normal 2 3 2 2 4 2 2 2" xfId="3814"/>
    <cellStyle name="Normal 2 3 2 2 4 2 2 2 2" xfId="5307"/>
    <cellStyle name="Normal 2 3 2 2 4 2 2 2 2 2" xfId="10152"/>
    <cellStyle name="Normal 2 3 2 2 4 2 2 2 2 2 2" xfId="17150"/>
    <cellStyle name="Normal 2 3 2 2 4 2 2 2 2 2 3" xfId="24117"/>
    <cellStyle name="Normal 2 3 2 2 4 2 2 2 2 2 4" xfId="31084"/>
    <cellStyle name="Normal 2 3 2 2 4 2 2 2 2 2 5" xfId="38053"/>
    <cellStyle name="Normal 2 3 2 2 4 2 2 2 2 3" xfId="14830"/>
    <cellStyle name="Normal 2 3 2 2 4 2 2 2 2 3 2" xfId="21797"/>
    <cellStyle name="Normal 2 3 2 2 4 2 2 2 2 3 3" xfId="28764"/>
    <cellStyle name="Normal 2 3 2 2 4 2 2 2 2 3 4" xfId="35733"/>
    <cellStyle name="Normal 2 3 2 2 4 2 2 2 2 4" xfId="12508"/>
    <cellStyle name="Normal 2 3 2 2 4 2 2 2 2 5" xfId="19475"/>
    <cellStyle name="Normal 2 3 2 2 4 2 2 2 2 6" xfId="26442"/>
    <cellStyle name="Normal 2 3 2 2 4 2 2 2 2 7" xfId="33410"/>
    <cellStyle name="Normal 2 3 2 2 4 2 2 2 3" xfId="9420"/>
    <cellStyle name="Normal 2 3 2 2 4 2 2 2 3 2" xfId="16458"/>
    <cellStyle name="Normal 2 3 2 2 4 2 2 2 3 3" xfId="23425"/>
    <cellStyle name="Normal 2 3 2 2 4 2 2 2 3 4" xfId="30392"/>
    <cellStyle name="Normal 2 3 2 2 4 2 2 2 3 5" xfId="37361"/>
    <cellStyle name="Normal 2 3 2 2 4 2 2 2 4" xfId="14138"/>
    <cellStyle name="Normal 2 3 2 2 4 2 2 2 4 2" xfId="21105"/>
    <cellStyle name="Normal 2 3 2 2 4 2 2 2 4 3" xfId="28072"/>
    <cellStyle name="Normal 2 3 2 2 4 2 2 2 4 4" xfId="35041"/>
    <cellStyle name="Normal 2 3 2 2 4 2 2 2 5" xfId="11816"/>
    <cellStyle name="Normal 2 3 2 2 4 2 2 2 6" xfId="18783"/>
    <cellStyle name="Normal 2 3 2 2 4 2 2 2 7" xfId="25750"/>
    <cellStyle name="Normal 2 3 2 2 4 2 2 2 8" xfId="32718"/>
    <cellStyle name="Normal 2 3 2 2 4 2 2 3" xfId="5306"/>
    <cellStyle name="Normal 2 3 2 2 4 2 2 3 2" xfId="10151"/>
    <cellStyle name="Normal 2 3 2 2 4 2 2 3 2 2" xfId="17149"/>
    <cellStyle name="Normal 2 3 2 2 4 2 2 3 2 3" xfId="24116"/>
    <cellStyle name="Normal 2 3 2 2 4 2 2 3 2 4" xfId="31083"/>
    <cellStyle name="Normal 2 3 2 2 4 2 2 3 2 5" xfId="38052"/>
    <cellStyle name="Normal 2 3 2 2 4 2 2 3 3" xfId="14829"/>
    <cellStyle name="Normal 2 3 2 2 4 2 2 3 3 2" xfId="21796"/>
    <cellStyle name="Normal 2 3 2 2 4 2 2 3 3 3" xfId="28763"/>
    <cellStyle name="Normal 2 3 2 2 4 2 2 3 3 4" xfId="35732"/>
    <cellStyle name="Normal 2 3 2 2 4 2 2 3 4" xfId="12507"/>
    <cellStyle name="Normal 2 3 2 2 4 2 2 3 5" xfId="19474"/>
    <cellStyle name="Normal 2 3 2 2 4 2 2 3 6" xfId="26441"/>
    <cellStyle name="Normal 2 3 2 2 4 2 2 3 7" xfId="33409"/>
    <cellStyle name="Normal 2 3 2 2 4 2 2 4" xfId="8926"/>
    <cellStyle name="Normal 2 3 2 2 4 2 2 4 2" xfId="15978"/>
    <cellStyle name="Normal 2 3 2 2 4 2 2 4 3" xfId="22945"/>
    <cellStyle name="Normal 2 3 2 2 4 2 2 4 4" xfId="29912"/>
    <cellStyle name="Normal 2 3 2 2 4 2 2 4 5" xfId="36881"/>
    <cellStyle name="Normal 2 3 2 2 4 2 2 5" xfId="13656"/>
    <cellStyle name="Normal 2 3 2 2 4 2 2 5 2" xfId="20623"/>
    <cellStyle name="Normal 2 3 2 2 4 2 2 5 3" xfId="27590"/>
    <cellStyle name="Normal 2 3 2 2 4 2 2 5 4" xfId="34559"/>
    <cellStyle name="Normal 2 3 2 2 4 2 2 6" xfId="11334"/>
    <cellStyle name="Normal 2 3 2 2 4 2 2 7" xfId="18301"/>
    <cellStyle name="Normal 2 3 2 2 4 2 2 8" xfId="25268"/>
    <cellStyle name="Normal 2 3 2 2 4 2 2 9" xfId="32236"/>
    <cellStyle name="Normal 2 3 2 2 4 2 3" xfId="3494"/>
    <cellStyle name="Normal 2 3 2 2 4 2 3 2" xfId="5308"/>
    <cellStyle name="Normal 2 3 2 2 4 2 3 2 2" xfId="10153"/>
    <cellStyle name="Normal 2 3 2 2 4 2 3 2 2 2" xfId="17151"/>
    <cellStyle name="Normal 2 3 2 2 4 2 3 2 2 3" xfId="24118"/>
    <cellStyle name="Normal 2 3 2 2 4 2 3 2 2 4" xfId="31085"/>
    <cellStyle name="Normal 2 3 2 2 4 2 3 2 2 5" xfId="38054"/>
    <cellStyle name="Normal 2 3 2 2 4 2 3 2 3" xfId="14831"/>
    <cellStyle name="Normal 2 3 2 2 4 2 3 2 3 2" xfId="21798"/>
    <cellStyle name="Normal 2 3 2 2 4 2 3 2 3 3" xfId="28765"/>
    <cellStyle name="Normal 2 3 2 2 4 2 3 2 3 4" xfId="35734"/>
    <cellStyle name="Normal 2 3 2 2 4 2 3 2 4" xfId="12509"/>
    <cellStyle name="Normal 2 3 2 2 4 2 3 2 5" xfId="19476"/>
    <cellStyle name="Normal 2 3 2 2 4 2 3 2 6" xfId="26443"/>
    <cellStyle name="Normal 2 3 2 2 4 2 3 2 7" xfId="33411"/>
    <cellStyle name="Normal 2 3 2 2 4 2 3 3" xfId="9106"/>
    <cellStyle name="Normal 2 3 2 2 4 2 3 3 2" xfId="16145"/>
    <cellStyle name="Normal 2 3 2 2 4 2 3 3 3" xfId="23112"/>
    <cellStyle name="Normal 2 3 2 2 4 2 3 3 4" xfId="30079"/>
    <cellStyle name="Normal 2 3 2 2 4 2 3 3 5" xfId="37048"/>
    <cellStyle name="Normal 2 3 2 2 4 2 3 4" xfId="13825"/>
    <cellStyle name="Normal 2 3 2 2 4 2 3 4 2" xfId="20792"/>
    <cellStyle name="Normal 2 3 2 2 4 2 3 4 3" xfId="27759"/>
    <cellStyle name="Normal 2 3 2 2 4 2 3 4 4" xfId="34728"/>
    <cellStyle name="Normal 2 3 2 2 4 2 3 5" xfId="11503"/>
    <cellStyle name="Normal 2 3 2 2 4 2 3 6" xfId="18470"/>
    <cellStyle name="Normal 2 3 2 2 4 2 3 7" xfId="25437"/>
    <cellStyle name="Normal 2 3 2 2 4 2 3 8" xfId="32405"/>
    <cellStyle name="Normal 2 3 2 2 4 2 4" xfId="3669"/>
    <cellStyle name="Normal 2 3 2 2 4 2 4 2" xfId="5309"/>
    <cellStyle name="Normal 2 3 2 2 4 2 4 2 2" xfId="10154"/>
    <cellStyle name="Normal 2 3 2 2 4 2 4 2 2 2" xfId="17152"/>
    <cellStyle name="Normal 2 3 2 2 4 2 4 2 2 3" xfId="24119"/>
    <cellStyle name="Normal 2 3 2 2 4 2 4 2 2 4" xfId="31086"/>
    <cellStyle name="Normal 2 3 2 2 4 2 4 2 2 5" xfId="38055"/>
    <cellStyle name="Normal 2 3 2 2 4 2 4 2 3" xfId="14832"/>
    <cellStyle name="Normal 2 3 2 2 4 2 4 2 3 2" xfId="21799"/>
    <cellStyle name="Normal 2 3 2 2 4 2 4 2 3 3" xfId="28766"/>
    <cellStyle name="Normal 2 3 2 2 4 2 4 2 3 4" xfId="35735"/>
    <cellStyle name="Normal 2 3 2 2 4 2 4 2 4" xfId="12510"/>
    <cellStyle name="Normal 2 3 2 2 4 2 4 2 5" xfId="19477"/>
    <cellStyle name="Normal 2 3 2 2 4 2 4 2 6" xfId="26444"/>
    <cellStyle name="Normal 2 3 2 2 4 2 4 2 7" xfId="33412"/>
    <cellStyle name="Normal 2 3 2 2 4 2 4 3" xfId="9277"/>
    <cellStyle name="Normal 2 3 2 2 4 2 4 3 2" xfId="16316"/>
    <cellStyle name="Normal 2 3 2 2 4 2 4 3 3" xfId="23283"/>
    <cellStyle name="Normal 2 3 2 2 4 2 4 3 4" xfId="30250"/>
    <cellStyle name="Normal 2 3 2 2 4 2 4 3 5" xfId="37219"/>
    <cellStyle name="Normal 2 3 2 2 4 2 4 4" xfId="13996"/>
    <cellStyle name="Normal 2 3 2 2 4 2 4 4 2" xfId="20963"/>
    <cellStyle name="Normal 2 3 2 2 4 2 4 4 3" xfId="27930"/>
    <cellStyle name="Normal 2 3 2 2 4 2 4 4 4" xfId="34899"/>
    <cellStyle name="Normal 2 3 2 2 4 2 4 5" xfId="11674"/>
    <cellStyle name="Normal 2 3 2 2 4 2 4 6" xfId="18641"/>
    <cellStyle name="Normal 2 3 2 2 4 2 4 7" xfId="25608"/>
    <cellStyle name="Normal 2 3 2 2 4 2 4 8" xfId="32576"/>
    <cellStyle name="Normal 2 3 2 2 4 2 5" xfId="3946"/>
    <cellStyle name="Normal 2 3 2 2 4 2 5 2" xfId="5310"/>
    <cellStyle name="Normal 2 3 2 2 4 2 5 2 2" xfId="10155"/>
    <cellStyle name="Normal 2 3 2 2 4 2 5 2 2 2" xfId="17153"/>
    <cellStyle name="Normal 2 3 2 2 4 2 5 2 2 3" xfId="24120"/>
    <cellStyle name="Normal 2 3 2 2 4 2 5 2 2 4" xfId="31087"/>
    <cellStyle name="Normal 2 3 2 2 4 2 5 2 2 5" xfId="38056"/>
    <cellStyle name="Normal 2 3 2 2 4 2 5 2 3" xfId="14833"/>
    <cellStyle name="Normal 2 3 2 2 4 2 5 2 3 2" xfId="21800"/>
    <cellStyle name="Normal 2 3 2 2 4 2 5 2 3 3" xfId="28767"/>
    <cellStyle name="Normal 2 3 2 2 4 2 5 2 3 4" xfId="35736"/>
    <cellStyle name="Normal 2 3 2 2 4 2 5 2 4" xfId="12511"/>
    <cellStyle name="Normal 2 3 2 2 4 2 5 2 5" xfId="19478"/>
    <cellStyle name="Normal 2 3 2 2 4 2 5 2 6" xfId="26445"/>
    <cellStyle name="Normal 2 3 2 2 4 2 5 2 7" xfId="33413"/>
    <cellStyle name="Normal 2 3 2 2 4 2 5 3" xfId="9552"/>
    <cellStyle name="Normal 2 3 2 2 4 2 5 3 2" xfId="16588"/>
    <cellStyle name="Normal 2 3 2 2 4 2 5 3 3" xfId="23555"/>
    <cellStyle name="Normal 2 3 2 2 4 2 5 3 4" xfId="30522"/>
    <cellStyle name="Normal 2 3 2 2 4 2 5 3 5" xfId="37491"/>
    <cellStyle name="Normal 2 3 2 2 4 2 5 4" xfId="14268"/>
    <cellStyle name="Normal 2 3 2 2 4 2 5 4 2" xfId="21235"/>
    <cellStyle name="Normal 2 3 2 2 4 2 5 4 3" xfId="28202"/>
    <cellStyle name="Normal 2 3 2 2 4 2 5 4 4" xfId="35171"/>
    <cellStyle name="Normal 2 3 2 2 4 2 5 5" xfId="11946"/>
    <cellStyle name="Normal 2 3 2 2 4 2 5 6" xfId="18913"/>
    <cellStyle name="Normal 2 3 2 2 4 2 5 7" xfId="25880"/>
    <cellStyle name="Normal 2 3 2 2 4 2 5 8" xfId="32848"/>
    <cellStyle name="Normal 2 3 2 2 4 2 6" xfId="5305"/>
    <cellStyle name="Normal 2 3 2 2 4 2 6 2" xfId="10150"/>
    <cellStyle name="Normal 2 3 2 2 4 2 6 2 2" xfId="17148"/>
    <cellStyle name="Normal 2 3 2 2 4 2 6 2 3" xfId="24115"/>
    <cellStyle name="Normal 2 3 2 2 4 2 6 2 4" xfId="31082"/>
    <cellStyle name="Normal 2 3 2 2 4 2 6 2 5" xfId="38051"/>
    <cellStyle name="Normal 2 3 2 2 4 2 6 3" xfId="14828"/>
    <cellStyle name="Normal 2 3 2 2 4 2 6 3 2" xfId="21795"/>
    <cellStyle name="Normal 2 3 2 2 4 2 6 3 3" xfId="28762"/>
    <cellStyle name="Normal 2 3 2 2 4 2 6 3 4" xfId="35731"/>
    <cellStyle name="Normal 2 3 2 2 4 2 6 4" xfId="12506"/>
    <cellStyle name="Normal 2 3 2 2 4 2 6 5" xfId="19473"/>
    <cellStyle name="Normal 2 3 2 2 4 2 6 6" xfId="26440"/>
    <cellStyle name="Normal 2 3 2 2 4 2 6 7" xfId="33408"/>
    <cellStyle name="Normal 2 3 2 2 4 2 7" xfId="6841"/>
    <cellStyle name="Normal 2 3 2 2 4 2 7 2" xfId="10810"/>
    <cellStyle name="Normal 2 3 2 2 4 2 7 2 2" xfId="17784"/>
    <cellStyle name="Normal 2 3 2 2 4 2 7 2 3" xfId="24751"/>
    <cellStyle name="Normal 2 3 2 2 4 2 7 2 4" xfId="31718"/>
    <cellStyle name="Normal 2 3 2 2 4 2 7 2 5" xfId="38687"/>
    <cellStyle name="Normal 2 3 2 2 4 2 7 3" xfId="15464"/>
    <cellStyle name="Normal 2 3 2 2 4 2 7 3 2" xfId="22431"/>
    <cellStyle name="Normal 2 3 2 2 4 2 7 3 3" xfId="29398"/>
    <cellStyle name="Normal 2 3 2 2 4 2 7 3 4" xfId="36367"/>
    <cellStyle name="Normal 2 3 2 2 4 2 7 4" xfId="13142"/>
    <cellStyle name="Normal 2 3 2 2 4 2 7 5" xfId="20109"/>
    <cellStyle name="Normal 2 3 2 2 4 2 7 6" xfId="27076"/>
    <cellStyle name="Normal 2 3 2 2 4 2 7 7" xfId="34045"/>
    <cellStyle name="Normal 2 3 2 2 4 2 8" xfId="7153"/>
    <cellStyle name="Normal 2 3 2 2 4 2 8 2" xfId="15637"/>
    <cellStyle name="Normal 2 3 2 2 4 2 8 2 2" xfId="22604"/>
    <cellStyle name="Normal 2 3 2 2 4 2 8 2 3" xfId="29571"/>
    <cellStyle name="Normal 2 3 2 2 4 2 8 2 4" xfId="36540"/>
    <cellStyle name="Normal 2 3 2 2 4 2 8 3" xfId="13315"/>
    <cellStyle name="Normal 2 3 2 2 4 2 8 4" xfId="20282"/>
    <cellStyle name="Normal 2 3 2 2 4 2 8 5" xfId="27249"/>
    <cellStyle name="Normal 2 3 2 2 4 2 8 6" xfId="34218"/>
    <cellStyle name="Normal 2 3 2 2 4 2 9" xfId="8038"/>
    <cellStyle name="Normal 2 3 2 2 4 2 9 2" xfId="15809"/>
    <cellStyle name="Normal 2 3 2 2 4 2 9 2 2" xfId="22776"/>
    <cellStyle name="Normal 2 3 2 2 4 2 9 2 3" xfId="29743"/>
    <cellStyle name="Normal 2 3 2 2 4 2 9 2 4" xfId="36712"/>
    <cellStyle name="Normal 2 3 2 2 4 2 9 3" xfId="11165"/>
    <cellStyle name="Normal 2 3 2 2 4 2 9 4" xfId="18132"/>
    <cellStyle name="Normal 2 3 2 2 4 2 9 5" xfId="25099"/>
    <cellStyle name="Normal 2 3 2 2 4 2 9 6" xfId="32067"/>
    <cellStyle name="Normal 2 3 2 2 4 3" xfId="3291"/>
    <cellStyle name="Normal 2 3 2 2 4 3 2" xfId="3815"/>
    <cellStyle name="Normal 2 3 2 2 4 3 2 2" xfId="5312"/>
    <cellStyle name="Normal 2 3 2 2 4 3 2 2 2" xfId="10157"/>
    <cellStyle name="Normal 2 3 2 2 4 3 2 2 2 2" xfId="17155"/>
    <cellStyle name="Normal 2 3 2 2 4 3 2 2 2 3" xfId="24122"/>
    <cellStyle name="Normal 2 3 2 2 4 3 2 2 2 4" xfId="31089"/>
    <cellStyle name="Normal 2 3 2 2 4 3 2 2 2 5" xfId="38058"/>
    <cellStyle name="Normal 2 3 2 2 4 3 2 2 3" xfId="14835"/>
    <cellStyle name="Normal 2 3 2 2 4 3 2 2 3 2" xfId="21802"/>
    <cellStyle name="Normal 2 3 2 2 4 3 2 2 3 3" xfId="28769"/>
    <cellStyle name="Normal 2 3 2 2 4 3 2 2 3 4" xfId="35738"/>
    <cellStyle name="Normal 2 3 2 2 4 3 2 2 4" xfId="12513"/>
    <cellStyle name="Normal 2 3 2 2 4 3 2 2 5" xfId="19480"/>
    <cellStyle name="Normal 2 3 2 2 4 3 2 2 6" xfId="26447"/>
    <cellStyle name="Normal 2 3 2 2 4 3 2 2 7" xfId="33415"/>
    <cellStyle name="Normal 2 3 2 2 4 3 2 3" xfId="9421"/>
    <cellStyle name="Normal 2 3 2 2 4 3 2 3 2" xfId="16459"/>
    <cellStyle name="Normal 2 3 2 2 4 3 2 3 3" xfId="23426"/>
    <cellStyle name="Normal 2 3 2 2 4 3 2 3 4" xfId="30393"/>
    <cellStyle name="Normal 2 3 2 2 4 3 2 3 5" xfId="37362"/>
    <cellStyle name="Normal 2 3 2 2 4 3 2 4" xfId="14139"/>
    <cellStyle name="Normal 2 3 2 2 4 3 2 4 2" xfId="21106"/>
    <cellStyle name="Normal 2 3 2 2 4 3 2 4 3" xfId="28073"/>
    <cellStyle name="Normal 2 3 2 2 4 3 2 4 4" xfId="35042"/>
    <cellStyle name="Normal 2 3 2 2 4 3 2 5" xfId="11817"/>
    <cellStyle name="Normal 2 3 2 2 4 3 2 6" xfId="18784"/>
    <cellStyle name="Normal 2 3 2 2 4 3 2 7" xfId="25751"/>
    <cellStyle name="Normal 2 3 2 2 4 3 2 8" xfId="32719"/>
    <cellStyle name="Normal 2 3 2 2 4 3 3" xfId="5311"/>
    <cellStyle name="Normal 2 3 2 2 4 3 3 2" xfId="10156"/>
    <cellStyle name="Normal 2 3 2 2 4 3 3 2 2" xfId="17154"/>
    <cellStyle name="Normal 2 3 2 2 4 3 3 2 3" xfId="24121"/>
    <cellStyle name="Normal 2 3 2 2 4 3 3 2 4" xfId="31088"/>
    <cellStyle name="Normal 2 3 2 2 4 3 3 2 5" xfId="38057"/>
    <cellStyle name="Normal 2 3 2 2 4 3 3 3" xfId="14834"/>
    <cellStyle name="Normal 2 3 2 2 4 3 3 3 2" xfId="21801"/>
    <cellStyle name="Normal 2 3 2 2 4 3 3 3 3" xfId="28768"/>
    <cellStyle name="Normal 2 3 2 2 4 3 3 3 4" xfId="35737"/>
    <cellStyle name="Normal 2 3 2 2 4 3 3 4" xfId="12512"/>
    <cellStyle name="Normal 2 3 2 2 4 3 3 5" xfId="19479"/>
    <cellStyle name="Normal 2 3 2 2 4 3 3 6" xfId="26446"/>
    <cellStyle name="Normal 2 3 2 2 4 3 3 7" xfId="33414"/>
    <cellStyle name="Normal 2 3 2 2 4 3 4" xfId="8925"/>
    <cellStyle name="Normal 2 3 2 2 4 3 4 2" xfId="15977"/>
    <cellStyle name="Normal 2 3 2 2 4 3 4 3" xfId="22944"/>
    <cellStyle name="Normal 2 3 2 2 4 3 4 4" xfId="29911"/>
    <cellStyle name="Normal 2 3 2 2 4 3 4 5" xfId="36880"/>
    <cellStyle name="Normal 2 3 2 2 4 3 5" xfId="13655"/>
    <cellStyle name="Normal 2 3 2 2 4 3 5 2" xfId="20622"/>
    <cellStyle name="Normal 2 3 2 2 4 3 5 3" xfId="27589"/>
    <cellStyle name="Normal 2 3 2 2 4 3 5 4" xfId="34558"/>
    <cellStyle name="Normal 2 3 2 2 4 3 6" xfId="11333"/>
    <cellStyle name="Normal 2 3 2 2 4 3 7" xfId="18300"/>
    <cellStyle name="Normal 2 3 2 2 4 3 8" xfId="25267"/>
    <cellStyle name="Normal 2 3 2 2 4 3 9" xfId="32235"/>
    <cellStyle name="Normal 2 3 2 2 4 4" xfId="3493"/>
    <cellStyle name="Normal 2 3 2 2 4 4 2" xfId="5313"/>
    <cellStyle name="Normal 2 3 2 2 4 4 2 2" xfId="10158"/>
    <cellStyle name="Normal 2 3 2 2 4 4 2 2 2" xfId="17156"/>
    <cellStyle name="Normal 2 3 2 2 4 4 2 2 3" xfId="24123"/>
    <cellStyle name="Normal 2 3 2 2 4 4 2 2 4" xfId="31090"/>
    <cellStyle name="Normal 2 3 2 2 4 4 2 2 5" xfId="38059"/>
    <cellStyle name="Normal 2 3 2 2 4 4 2 3" xfId="14836"/>
    <cellStyle name="Normal 2 3 2 2 4 4 2 3 2" xfId="21803"/>
    <cellStyle name="Normal 2 3 2 2 4 4 2 3 3" xfId="28770"/>
    <cellStyle name="Normal 2 3 2 2 4 4 2 3 4" xfId="35739"/>
    <cellStyle name="Normal 2 3 2 2 4 4 2 4" xfId="12514"/>
    <cellStyle name="Normal 2 3 2 2 4 4 2 5" xfId="19481"/>
    <cellStyle name="Normal 2 3 2 2 4 4 2 6" xfId="26448"/>
    <cellStyle name="Normal 2 3 2 2 4 4 2 7" xfId="33416"/>
    <cellStyle name="Normal 2 3 2 2 4 4 3" xfId="9105"/>
    <cellStyle name="Normal 2 3 2 2 4 4 3 2" xfId="16144"/>
    <cellStyle name="Normal 2 3 2 2 4 4 3 3" xfId="23111"/>
    <cellStyle name="Normal 2 3 2 2 4 4 3 4" xfId="30078"/>
    <cellStyle name="Normal 2 3 2 2 4 4 3 5" xfId="37047"/>
    <cellStyle name="Normal 2 3 2 2 4 4 4" xfId="13824"/>
    <cellStyle name="Normal 2 3 2 2 4 4 4 2" xfId="20791"/>
    <cellStyle name="Normal 2 3 2 2 4 4 4 3" xfId="27758"/>
    <cellStyle name="Normal 2 3 2 2 4 4 4 4" xfId="34727"/>
    <cellStyle name="Normal 2 3 2 2 4 4 5" xfId="11502"/>
    <cellStyle name="Normal 2 3 2 2 4 4 6" xfId="18469"/>
    <cellStyle name="Normal 2 3 2 2 4 4 7" xfId="25436"/>
    <cellStyle name="Normal 2 3 2 2 4 4 8" xfId="32404"/>
    <cellStyle name="Normal 2 3 2 2 4 5" xfId="3668"/>
    <cellStyle name="Normal 2 3 2 2 4 5 2" xfId="5314"/>
    <cellStyle name="Normal 2 3 2 2 4 5 2 2" xfId="10159"/>
    <cellStyle name="Normal 2 3 2 2 4 5 2 2 2" xfId="17157"/>
    <cellStyle name="Normal 2 3 2 2 4 5 2 2 3" xfId="24124"/>
    <cellStyle name="Normal 2 3 2 2 4 5 2 2 4" xfId="31091"/>
    <cellStyle name="Normal 2 3 2 2 4 5 2 2 5" xfId="38060"/>
    <cellStyle name="Normal 2 3 2 2 4 5 2 3" xfId="14837"/>
    <cellStyle name="Normal 2 3 2 2 4 5 2 3 2" xfId="21804"/>
    <cellStyle name="Normal 2 3 2 2 4 5 2 3 3" xfId="28771"/>
    <cellStyle name="Normal 2 3 2 2 4 5 2 3 4" xfId="35740"/>
    <cellStyle name="Normal 2 3 2 2 4 5 2 4" xfId="12515"/>
    <cellStyle name="Normal 2 3 2 2 4 5 2 5" xfId="19482"/>
    <cellStyle name="Normal 2 3 2 2 4 5 2 6" xfId="26449"/>
    <cellStyle name="Normal 2 3 2 2 4 5 2 7" xfId="33417"/>
    <cellStyle name="Normal 2 3 2 2 4 5 3" xfId="9276"/>
    <cellStyle name="Normal 2 3 2 2 4 5 3 2" xfId="16315"/>
    <cellStyle name="Normal 2 3 2 2 4 5 3 3" xfId="23282"/>
    <cellStyle name="Normal 2 3 2 2 4 5 3 4" xfId="30249"/>
    <cellStyle name="Normal 2 3 2 2 4 5 3 5" xfId="37218"/>
    <cellStyle name="Normal 2 3 2 2 4 5 4" xfId="13995"/>
    <cellStyle name="Normal 2 3 2 2 4 5 4 2" xfId="20962"/>
    <cellStyle name="Normal 2 3 2 2 4 5 4 3" xfId="27929"/>
    <cellStyle name="Normal 2 3 2 2 4 5 4 4" xfId="34898"/>
    <cellStyle name="Normal 2 3 2 2 4 5 5" xfId="11673"/>
    <cellStyle name="Normal 2 3 2 2 4 5 6" xfId="18640"/>
    <cellStyle name="Normal 2 3 2 2 4 5 7" xfId="25607"/>
    <cellStyle name="Normal 2 3 2 2 4 5 8" xfId="32575"/>
    <cellStyle name="Normal 2 3 2 2 4 6" xfId="3945"/>
    <cellStyle name="Normal 2 3 2 2 4 6 2" xfId="5315"/>
    <cellStyle name="Normal 2 3 2 2 4 6 2 2" xfId="10160"/>
    <cellStyle name="Normal 2 3 2 2 4 6 2 2 2" xfId="17158"/>
    <cellStyle name="Normal 2 3 2 2 4 6 2 2 3" xfId="24125"/>
    <cellStyle name="Normal 2 3 2 2 4 6 2 2 4" xfId="31092"/>
    <cellStyle name="Normal 2 3 2 2 4 6 2 2 5" xfId="38061"/>
    <cellStyle name="Normal 2 3 2 2 4 6 2 3" xfId="14838"/>
    <cellStyle name="Normal 2 3 2 2 4 6 2 3 2" xfId="21805"/>
    <cellStyle name="Normal 2 3 2 2 4 6 2 3 3" xfId="28772"/>
    <cellStyle name="Normal 2 3 2 2 4 6 2 3 4" xfId="35741"/>
    <cellStyle name="Normal 2 3 2 2 4 6 2 4" xfId="12516"/>
    <cellStyle name="Normal 2 3 2 2 4 6 2 5" xfId="19483"/>
    <cellStyle name="Normal 2 3 2 2 4 6 2 6" xfId="26450"/>
    <cellStyle name="Normal 2 3 2 2 4 6 2 7" xfId="33418"/>
    <cellStyle name="Normal 2 3 2 2 4 6 3" xfId="9551"/>
    <cellStyle name="Normal 2 3 2 2 4 6 3 2" xfId="16587"/>
    <cellStyle name="Normal 2 3 2 2 4 6 3 3" xfId="23554"/>
    <cellStyle name="Normal 2 3 2 2 4 6 3 4" xfId="30521"/>
    <cellStyle name="Normal 2 3 2 2 4 6 3 5" xfId="37490"/>
    <cellStyle name="Normal 2 3 2 2 4 6 4" xfId="14267"/>
    <cellStyle name="Normal 2 3 2 2 4 6 4 2" xfId="21234"/>
    <cellStyle name="Normal 2 3 2 2 4 6 4 3" xfId="28201"/>
    <cellStyle name="Normal 2 3 2 2 4 6 4 4" xfId="35170"/>
    <cellStyle name="Normal 2 3 2 2 4 6 5" xfId="11945"/>
    <cellStyle name="Normal 2 3 2 2 4 6 6" xfId="18912"/>
    <cellStyle name="Normal 2 3 2 2 4 6 7" xfId="25879"/>
    <cellStyle name="Normal 2 3 2 2 4 6 8" xfId="32847"/>
    <cellStyle name="Normal 2 3 2 2 4 7" xfId="5304"/>
    <cellStyle name="Normal 2 3 2 2 4 7 2" xfId="10149"/>
    <cellStyle name="Normal 2 3 2 2 4 7 2 2" xfId="17147"/>
    <cellStyle name="Normal 2 3 2 2 4 7 2 3" xfId="24114"/>
    <cellStyle name="Normal 2 3 2 2 4 7 2 4" xfId="31081"/>
    <cellStyle name="Normal 2 3 2 2 4 7 2 5" xfId="38050"/>
    <cellStyle name="Normal 2 3 2 2 4 7 3" xfId="14827"/>
    <cellStyle name="Normal 2 3 2 2 4 7 3 2" xfId="21794"/>
    <cellStyle name="Normal 2 3 2 2 4 7 3 3" xfId="28761"/>
    <cellStyle name="Normal 2 3 2 2 4 7 3 4" xfId="35730"/>
    <cellStyle name="Normal 2 3 2 2 4 7 4" xfId="12505"/>
    <cellStyle name="Normal 2 3 2 2 4 7 5" xfId="19472"/>
    <cellStyle name="Normal 2 3 2 2 4 7 6" xfId="26439"/>
    <cellStyle name="Normal 2 3 2 2 4 7 7" xfId="33407"/>
    <cellStyle name="Normal 2 3 2 2 4 8" xfId="6840"/>
    <cellStyle name="Normal 2 3 2 2 4 8 2" xfId="10809"/>
    <cellStyle name="Normal 2 3 2 2 4 8 2 2" xfId="17783"/>
    <cellStyle name="Normal 2 3 2 2 4 8 2 3" xfId="24750"/>
    <cellStyle name="Normal 2 3 2 2 4 8 2 4" xfId="31717"/>
    <cellStyle name="Normal 2 3 2 2 4 8 2 5" xfId="38686"/>
    <cellStyle name="Normal 2 3 2 2 4 8 3" xfId="15463"/>
    <cellStyle name="Normal 2 3 2 2 4 8 3 2" xfId="22430"/>
    <cellStyle name="Normal 2 3 2 2 4 8 3 3" xfId="29397"/>
    <cellStyle name="Normal 2 3 2 2 4 8 3 4" xfId="36366"/>
    <cellStyle name="Normal 2 3 2 2 4 8 4" xfId="13141"/>
    <cellStyle name="Normal 2 3 2 2 4 8 5" xfId="20108"/>
    <cellStyle name="Normal 2 3 2 2 4 8 6" xfId="27075"/>
    <cellStyle name="Normal 2 3 2 2 4 8 7" xfId="34044"/>
    <cellStyle name="Normal 2 3 2 2 4 9" xfId="7152"/>
    <cellStyle name="Normal 2 3 2 2 4 9 2" xfId="15636"/>
    <cellStyle name="Normal 2 3 2 2 4 9 2 2" xfId="22603"/>
    <cellStyle name="Normal 2 3 2 2 4 9 2 3" xfId="29570"/>
    <cellStyle name="Normal 2 3 2 2 4 9 2 4" xfId="36539"/>
    <cellStyle name="Normal 2 3 2 2 4 9 3" xfId="13314"/>
    <cellStyle name="Normal 2 3 2 2 4 9 4" xfId="20281"/>
    <cellStyle name="Normal 2 3 2 2 4 9 5" xfId="27248"/>
    <cellStyle name="Normal 2 3 2 2 4 9 6" xfId="34217"/>
    <cellStyle name="Normal 2 3 2 2 5" xfId="1677"/>
    <cellStyle name="Normal 2 3 2 2 5 10" xfId="13488"/>
    <cellStyle name="Normal 2 3 2 2 5 10 2" xfId="20455"/>
    <cellStyle name="Normal 2 3 2 2 5 10 3" xfId="27422"/>
    <cellStyle name="Normal 2 3 2 2 5 10 4" xfId="34391"/>
    <cellStyle name="Normal 2 3 2 2 5 11" xfId="10994"/>
    <cellStyle name="Normal 2 3 2 2 5 12" xfId="17960"/>
    <cellStyle name="Normal 2 3 2 2 5 13" xfId="24928"/>
    <cellStyle name="Normal 2 3 2 2 5 14" xfId="31896"/>
    <cellStyle name="Normal 2 3 2 2 5 2" xfId="3293"/>
    <cellStyle name="Normal 2 3 2 2 5 2 2" xfId="3813"/>
    <cellStyle name="Normal 2 3 2 2 5 2 2 2" xfId="5318"/>
    <cellStyle name="Normal 2 3 2 2 5 2 2 2 2" xfId="10163"/>
    <cellStyle name="Normal 2 3 2 2 5 2 2 2 2 2" xfId="17161"/>
    <cellStyle name="Normal 2 3 2 2 5 2 2 2 2 3" xfId="24128"/>
    <cellStyle name="Normal 2 3 2 2 5 2 2 2 2 4" xfId="31095"/>
    <cellStyle name="Normal 2 3 2 2 5 2 2 2 2 5" xfId="38064"/>
    <cellStyle name="Normal 2 3 2 2 5 2 2 2 3" xfId="14841"/>
    <cellStyle name="Normal 2 3 2 2 5 2 2 2 3 2" xfId="21808"/>
    <cellStyle name="Normal 2 3 2 2 5 2 2 2 3 3" xfId="28775"/>
    <cellStyle name="Normal 2 3 2 2 5 2 2 2 3 4" xfId="35744"/>
    <cellStyle name="Normal 2 3 2 2 5 2 2 2 4" xfId="12519"/>
    <cellStyle name="Normal 2 3 2 2 5 2 2 2 5" xfId="19486"/>
    <cellStyle name="Normal 2 3 2 2 5 2 2 2 6" xfId="26453"/>
    <cellStyle name="Normal 2 3 2 2 5 2 2 2 7" xfId="33421"/>
    <cellStyle name="Normal 2 3 2 2 5 2 2 3" xfId="9419"/>
    <cellStyle name="Normal 2 3 2 2 5 2 2 3 2" xfId="16457"/>
    <cellStyle name="Normal 2 3 2 2 5 2 2 3 3" xfId="23424"/>
    <cellStyle name="Normal 2 3 2 2 5 2 2 3 4" xfId="30391"/>
    <cellStyle name="Normal 2 3 2 2 5 2 2 3 5" xfId="37360"/>
    <cellStyle name="Normal 2 3 2 2 5 2 2 4" xfId="14137"/>
    <cellStyle name="Normal 2 3 2 2 5 2 2 4 2" xfId="21104"/>
    <cellStyle name="Normal 2 3 2 2 5 2 2 4 3" xfId="28071"/>
    <cellStyle name="Normal 2 3 2 2 5 2 2 4 4" xfId="35040"/>
    <cellStyle name="Normal 2 3 2 2 5 2 2 5" xfId="11815"/>
    <cellStyle name="Normal 2 3 2 2 5 2 2 6" xfId="18782"/>
    <cellStyle name="Normal 2 3 2 2 5 2 2 7" xfId="25749"/>
    <cellStyle name="Normal 2 3 2 2 5 2 2 8" xfId="32717"/>
    <cellStyle name="Normal 2 3 2 2 5 2 3" xfId="5317"/>
    <cellStyle name="Normal 2 3 2 2 5 2 3 2" xfId="10162"/>
    <cellStyle name="Normal 2 3 2 2 5 2 3 2 2" xfId="17160"/>
    <cellStyle name="Normal 2 3 2 2 5 2 3 2 3" xfId="24127"/>
    <cellStyle name="Normal 2 3 2 2 5 2 3 2 4" xfId="31094"/>
    <cellStyle name="Normal 2 3 2 2 5 2 3 2 5" xfId="38063"/>
    <cellStyle name="Normal 2 3 2 2 5 2 3 3" xfId="14840"/>
    <cellStyle name="Normal 2 3 2 2 5 2 3 3 2" xfId="21807"/>
    <cellStyle name="Normal 2 3 2 2 5 2 3 3 3" xfId="28774"/>
    <cellStyle name="Normal 2 3 2 2 5 2 3 3 4" xfId="35743"/>
    <cellStyle name="Normal 2 3 2 2 5 2 3 4" xfId="12518"/>
    <cellStyle name="Normal 2 3 2 2 5 2 3 5" xfId="19485"/>
    <cellStyle name="Normal 2 3 2 2 5 2 3 6" xfId="26452"/>
    <cellStyle name="Normal 2 3 2 2 5 2 3 7" xfId="33420"/>
    <cellStyle name="Normal 2 3 2 2 5 2 4" xfId="8927"/>
    <cellStyle name="Normal 2 3 2 2 5 2 4 2" xfId="15979"/>
    <cellStyle name="Normal 2 3 2 2 5 2 4 3" xfId="22946"/>
    <cellStyle name="Normal 2 3 2 2 5 2 4 4" xfId="29913"/>
    <cellStyle name="Normal 2 3 2 2 5 2 4 5" xfId="36882"/>
    <cellStyle name="Normal 2 3 2 2 5 2 5" xfId="13657"/>
    <cellStyle name="Normal 2 3 2 2 5 2 5 2" xfId="20624"/>
    <cellStyle name="Normal 2 3 2 2 5 2 5 3" xfId="27591"/>
    <cellStyle name="Normal 2 3 2 2 5 2 5 4" xfId="34560"/>
    <cellStyle name="Normal 2 3 2 2 5 2 6" xfId="11335"/>
    <cellStyle name="Normal 2 3 2 2 5 2 7" xfId="18302"/>
    <cellStyle name="Normal 2 3 2 2 5 2 8" xfId="25269"/>
    <cellStyle name="Normal 2 3 2 2 5 2 9" xfId="32237"/>
    <cellStyle name="Normal 2 3 2 2 5 3" xfId="3495"/>
    <cellStyle name="Normal 2 3 2 2 5 3 2" xfId="5319"/>
    <cellStyle name="Normal 2 3 2 2 5 3 2 2" xfId="10164"/>
    <cellStyle name="Normal 2 3 2 2 5 3 2 2 2" xfId="17162"/>
    <cellStyle name="Normal 2 3 2 2 5 3 2 2 3" xfId="24129"/>
    <cellStyle name="Normal 2 3 2 2 5 3 2 2 4" xfId="31096"/>
    <cellStyle name="Normal 2 3 2 2 5 3 2 2 5" xfId="38065"/>
    <cellStyle name="Normal 2 3 2 2 5 3 2 3" xfId="14842"/>
    <cellStyle name="Normal 2 3 2 2 5 3 2 3 2" xfId="21809"/>
    <cellStyle name="Normal 2 3 2 2 5 3 2 3 3" xfId="28776"/>
    <cellStyle name="Normal 2 3 2 2 5 3 2 3 4" xfId="35745"/>
    <cellStyle name="Normal 2 3 2 2 5 3 2 4" xfId="12520"/>
    <cellStyle name="Normal 2 3 2 2 5 3 2 5" xfId="19487"/>
    <cellStyle name="Normal 2 3 2 2 5 3 2 6" xfId="26454"/>
    <cellStyle name="Normal 2 3 2 2 5 3 2 7" xfId="33422"/>
    <cellStyle name="Normal 2 3 2 2 5 3 3" xfId="9107"/>
    <cellStyle name="Normal 2 3 2 2 5 3 3 2" xfId="16146"/>
    <cellStyle name="Normal 2 3 2 2 5 3 3 3" xfId="23113"/>
    <cellStyle name="Normal 2 3 2 2 5 3 3 4" xfId="30080"/>
    <cellStyle name="Normal 2 3 2 2 5 3 3 5" xfId="37049"/>
    <cellStyle name="Normal 2 3 2 2 5 3 4" xfId="13826"/>
    <cellStyle name="Normal 2 3 2 2 5 3 4 2" xfId="20793"/>
    <cellStyle name="Normal 2 3 2 2 5 3 4 3" xfId="27760"/>
    <cellStyle name="Normal 2 3 2 2 5 3 4 4" xfId="34729"/>
    <cellStyle name="Normal 2 3 2 2 5 3 5" xfId="11504"/>
    <cellStyle name="Normal 2 3 2 2 5 3 6" xfId="18471"/>
    <cellStyle name="Normal 2 3 2 2 5 3 7" xfId="25438"/>
    <cellStyle name="Normal 2 3 2 2 5 3 8" xfId="32406"/>
    <cellStyle name="Normal 2 3 2 2 5 4" xfId="3670"/>
    <cellStyle name="Normal 2 3 2 2 5 4 2" xfId="5320"/>
    <cellStyle name="Normal 2 3 2 2 5 4 2 2" xfId="10165"/>
    <cellStyle name="Normal 2 3 2 2 5 4 2 2 2" xfId="17163"/>
    <cellStyle name="Normal 2 3 2 2 5 4 2 2 3" xfId="24130"/>
    <cellStyle name="Normal 2 3 2 2 5 4 2 2 4" xfId="31097"/>
    <cellStyle name="Normal 2 3 2 2 5 4 2 2 5" xfId="38066"/>
    <cellStyle name="Normal 2 3 2 2 5 4 2 3" xfId="14843"/>
    <cellStyle name="Normal 2 3 2 2 5 4 2 3 2" xfId="21810"/>
    <cellStyle name="Normal 2 3 2 2 5 4 2 3 3" xfId="28777"/>
    <cellStyle name="Normal 2 3 2 2 5 4 2 3 4" xfId="35746"/>
    <cellStyle name="Normal 2 3 2 2 5 4 2 4" xfId="12521"/>
    <cellStyle name="Normal 2 3 2 2 5 4 2 5" xfId="19488"/>
    <cellStyle name="Normal 2 3 2 2 5 4 2 6" xfId="26455"/>
    <cellStyle name="Normal 2 3 2 2 5 4 2 7" xfId="33423"/>
    <cellStyle name="Normal 2 3 2 2 5 4 3" xfId="9278"/>
    <cellStyle name="Normal 2 3 2 2 5 4 3 2" xfId="16317"/>
    <cellStyle name="Normal 2 3 2 2 5 4 3 3" xfId="23284"/>
    <cellStyle name="Normal 2 3 2 2 5 4 3 4" xfId="30251"/>
    <cellStyle name="Normal 2 3 2 2 5 4 3 5" xfId="37220"/>
    <cellStyle name="Normal 2 3 2 2 5 4 4" xfId="13997"/>
    <cellStyle name="Normal 2 3 2 2 5 4 4 2" xfId="20964"/>
    <cellStyle name="Normal 2 3 2 2 5 4 4 3" xfId="27931"/>
    <cellStyle name="Normal 2 3 2 2 5 4 4 4" xfId="34900"/>
    <cellStyle name="Normal 2 3 2 2 5 4 5" xfId="11675"/>
    <cellStyle name="Normal 2 3 2 2 5 4 6" xfId="18642"/>
    <cellStyle name="Normal 2 3 2 2 5 4 7" xfId="25609"/>
    <cellStyle name="Normal 2 3 2 2 5 4 8" xfId="32577"/>
    <cellStyle name="Normal 2 3 2 2 5 5" xfId="3947"/>
    <cellStyle name="Normal 2 3 2 2 5 5 2" xfId="5321"/>
    <cellStyle name="Normal 2 3 2 2 5 5 2 2" xfId="10166"/>
    <cellStyle name="Normal 2 3 2 2 5 5 2 2 2" xfId="17164"/>
    <cellStyle name="Normal 2 3 2 2 5 5 2 2 3" xfId="24131"/>
    <cellStyle name="Normal 2 3 2 2 5 5 2 2 4" xfId="31098"/>
    <cellStyle name="Normal 2 3 2 2 5 5 2 2 5" xfId="38067"/>
    <cellStyle name="Normal 2 3 2 2 5 5 2 3" xfId="14844"/>
    <cellStyle name="Normal 2 3 2 2 5 5 2 3 2" xfId="21811"/>
    <cellStyle name="Normal 2 3 2 2 5 5 2 3 3" xfId="28778"/>
    <cellStyle name="Normal 2 3 2 2 5 5 2 3 4" xfId="35747"/>
    <cellStyle name="Normal 2 3 2 2 5 5 2 4" xfId="12522"/>
    <cellStyle name="Normal 2 3 2 2 5 5 2 5" xfId="19489"/>
    <cellStyle name="Normal 2 3 2 2 5 5 2 6" xfId="26456"/>
    <cellStyle name="Normal 2 3 2 2 5 5 2 7" xfId="33424"/>
    <cellStyle name="Normal 2 3 2 2 5 5 3" xfId="9553"/>
    <cellStyle name="Normal 2 3 2 2 5 5 3 2" xfId="16589"/>
    <cellStyle name="Normal 2 3 2 2 5 5 3 3" xfId="23556"/>
    <cellStyle name="Normal 2 3 2 2 5 5 3 4" xfId="30523"/>
    <cellStyle name="Normal 2 3 2 2 5 5 3 5" xfId="37492"/>
    <cellStyle name="Normal 2 3 2 2 5 5 4" xfId="14269"/>
    <cellStyle name="Normal 2 3 2 2 5 5 4 2" xfId="21236"/>
    <cellStyle name="Normal 2 3 2 2 5 5 4 3" xfId="28203"/>
    <cellStyle name="Normal 2 3 2 2 5 5 4 4" xfId="35172"/>
    <cellStyle name="Normal 2 3 2 2 5 5 5" xfId="11947"/>
    <cellStyle name="Normal 2 3 2 2 5 5 6" xfId="18914"/>
    <cellStyle name="Normal 2 3 2 2 5 5 7" xfId="25881"/>
    <cellStyle name="Normal 2 3 2 2 5 5 8" xfId="32849"/>
    <cellStyle name="Normal 2 3 2 2 5 6" xfId="5316"/>
    <cellStyle name="Normal 2 3 2 2 5 6 2" xfId="10161"/>
    <cellStyle name="Normal 2 3 2 2 5 6 2 2" xfId="17159"/>
    <cellStyle name="Normal 2 3 2 2 5 6 2 3" xfId="24126"/>
    <cellStyle name="Normal 2 3 2 2 5 6 2 4" xfId="31093"/>
    <cellStyle name="Normal 2 3 2 2 5 6 2 5" xfId="38062"/>
    <cellStyle name="Normal 2 3 2 2 5 6 3" xfId="14839"/>
    <cellStyle name="Normal 2 3 2 2 5 6 3 2" xfId="21806"/>
    <cellStyle name="Normal 2 3 2 2 5 6 3 3" xfId="28773"/>
    <cellStyle name="Normal 2 3 2 2 5 6 3 4" xfId="35742"/>
    <cellStyle name="Normal 2 3 2 2 5 6 4" xfId="12517"/>
    <cellStyle name="Normal 2 3 2 2 5 6 5" xfId="19484"/>
    <cellStyle name="Normal 2 3 2 2 5 6 6" xfId="26451"/>
    <cellStyle name="Normal 2 3 2 2 5 6 7" xfId="33419"/>
    <cellStyle name="Normal 2 3 2 2 5 7" xfId="6842"/>
    <cellStyle name="Normal 2 3 2 2 5 7 2" xfId="10811"/>
    <cellStyle name="Normal 2 3 2 2 5 7 2 2" xfId="17785"/>
    <cellStyle name="Normal 2 3 2 2 5 7 2 3" xfId="24752"/>
    <cellStyle name="Normal 2 3 2 2 5 7 2 4" xfId="31719"/>
    <cellStyle name="Normal 2 3 2 2 5 7 2 5" xfId="38688"/>
    <cellStyle name="Normal 2 3 2 2 5 7 3" xfId="15465"/>
    <cellStyle name="Normal 2 3 2 2 5 7 3 2" xfId="22432"/>
    <cellStyle name="Normal 2 3 2 2 5 7 3 3" xfId="29399"/>
    <cellStyle name="Normal 2 3 2 2 5 7 3 4" xfId="36368"/>
    <cellStyle name="Normal 2 3 2 2 5 7 4" xfId="13143"/>
    <cellStyle name="Normal 2 3 2 2 5 7 5" xfId="20110"/>
    <cellStyle name="Normal 2 3 2 2 5 7 6" xfId="27077"/>
    <cellStyle name="Normal 2 3 2 2 5 7 7" xfId="34046"/>
    <cellStyle name="Normal 2 3 2 2 5 8" xfId="7154"/>
    <cellStyle name="Normal 2 3 2 2 5 8 2" xfId="15638"/>
    <cellStyle name="Normal 2 3 2 2 5 8 2 2" xfId="22605"/>
    <cellStyle name="Normal 2 3 2 2 5 8 2 3" xfId="29572"/>
    <cellStyle name="Normal 2 3 2 2 5 8 2 4" xfId="36541"/>
    <cellStyle name="Normal 2 3 2 2 5 8 3" xfId="13316"/>
    <cellStyle name="Normal 2 3 2 2 5 8 4" xfId="20283"/>
    <cellStyle name="Normal 2 3 2 2 5 8 5" xfId="27250"/>
    <cellStyle name="Normal 2 3 2 2 5 8 6" xfId="34219"/>
    <cellStyle name="Normal 2 3 2 2 5 9" xfId="8039"/>
    <cellStyle name="Normal 2 3 2 2 5 9 2" xfId="15810"/>
    <cellStyle name="Normal 2 3 2 2 5 9 2 2" xfId="22777"/>
    <cellStyle name="Normal 2 3 2 2 5 9 2 3" xfId="29744"/>
    <cellStyle name="Normal 2 3 2 2 5 9 2 4" xfId="36713"/>
    <cellStyle name="Normal 2 3 2 2 5 9 3" xfId="11166"/>
    <cellStyle name="Normal 2 3 2 2 5 9 4" xfId="18133"/>
    <cellStyle name="Normal 2 3 2 2 5 9 5" xfId="25100"/>
    <cellStyle name="Normal 2 3 2 2 5 9 6" xfId="32068"/>
    <cellStyle name="Normal 2 3 2 2 6" xfId="3284"/>
    <cellStyle name="Normal 2 3 2 2 6 2" xfId="3820"/>
    <cellStyle name="Normal 2 3 2 2 6 2 2" xfId="5323"/>
    <cellStyle name="Normal 2 3 2 2 6 2 2 2" xfId="10168"/>
    <cellStyle name="Normal 2 3 2 2 6 2 2 2 2" xfId="17166"/>
    <cellStyle name="Normal 2 3 2 2 6 2 2 2 3" xfId="24133"/>
    <cellStyle name="Normal 2 3 2 2 6 2 2 2 4" xfId="31100"/>
    <cellStyle name="Normal 2 3 2 2 6 2 2 2 5" xfId="38069"/>
    <cellStyle name="Normal 2 3 2 2 6 2 2 3" xfId="14846"/>
    <cellStyle name="Normal 2 3 2 2 6 2 2 3 2" xfId="21813"/>
    <cellStyle name="Normal 2 3 2 2 6 2 2 3 3" xfId="28780"/>
    <cellStyle name="Normal 2 3 2 2 6 2 2 3 4" xfId="35749"/>
    <cellStyle name="Normal 2 3 2 2 6 2 2 4" xfId="12524"/>
    <cellStyle name="Normal 2 3 2 2 6 2 2 5" xfId="19491"/>
    <cellStyle name="Normal 2 3 2 2 6 2 2 6" xfId="26458"/>
    <cellStyle name="Normal 2 3 2 2 6 2 2 7" xfId="33426"/>
    <cellStyle name="Normal 2 3 2 2 6 2 3" xfId="9426"/>
    <cellStyle name="Normal 2 3 2 2 6 2 3 2" xfId="16464"/>
    <cellStyle name="Normal 2 3 2 2 6 2 3 3" xfId="23431"/>
    <cellStyle name="Normal 2 3 2 2 6 2 3 4" xfId="30398"/>
    <cellStyle name="Normal 2 3 2 2 6 2 3 5" xfId="37367"/>
    <cellStyle name="Normal 2 3 2 2 6 2 4" xfId="14144"/>
    <cellStyle name="Normal 2 3 2 2 6 2 4 2" xfId="21111"/>
    <cellStyle name="Normal 2 3 2 2 6 2 4 3" xfId="28078"/>
    <cellStyle name="Normal 2 3 2 2 6 2 4 4" xfId="35047"/>
    <cellStyle name="Normal 2 3 2 2 6 2 5" xfId="11822"/>
    <cellStyle name="Normal 2 3 2 2 6 2 6" xfId="18789"/>
    <cellStyle name="Normal 2 3 2 2 6 2 7" xfId="25756"/>
    <cellStyle name="Normal 2 3 2 2 6 2 8" xfId="32724"/>
    <cellStyle name="Normal 2 3 2 2 6 3" xfId="5322"/>
    <cellStyle name="Normal 2 3 2 2 6 3 2" xfId="10167"/>
    <cellStyle name="Normal 2 3 2 2 6 3 2 2" xfId="17165"/>
    <cellStyle name="Normal 2 3 2 2 6 3 2 3" xfId="24132"/>
    <cellStyle name="Normal 2 3 2 2 6 3 2 4" xfId="31099"/>
    <cellStyle name="Normal 2 3 2 2 6 3 2 5" xfId="38068"/>
    <cellStyle name="Normal 2 3 2 2 6 3 3" xfId="14845"/>
    <cellStyle name="Normal 2 3 2 2 6 3 3 2" xfId="21812"/>
    <cellStyle name="Normal 2 3 2 2 6 3 3 3" xfId="28779"/>
    <cellStyle name="Normal 2 3 2 2 6 3 3 4" xfId="35748"/>
    <cellStyle name="Normal 2 3 2 2 6 3 4" xfId="12523"/>
    <cellStyle name="Normal 2 3 2 2 6 3 5" xfId="19490"/>
    <cellStyle name="Normal 2 3 2 2 6 3 6" xfId="26457"/>
    <cellStyle name="Normal 2 3 2 2 6 3 7" xfId="33425"/>
    <cellStyle name="Normal 2 3 2 2 6 4" xfId="8918"/>
    <cellStyle name="Normal 2 3 2 2 6 4 2" xfId="15970"/>
    <cellStyle name="Normal 2 3 2 2 6 4 3" xfId="22937"/>
    <cellStyle name="Normal 2 3 2 2 6 4 4" xfId="29904"/>
    <cellStyle name="Normal 2 3 2 2 6 4 5" xfId="36873"/>
    <cellStyle name="Normal 2 3 2 2 6 5" xfId="13648"/>
    <cellStyle name="Normal 2 3 2 2 6 5 2" xfId="20615"/>
    <cellStyle name="Normal 2 3 2 2 6 5 3" xfId="27582"/>
    <cellStyle name="Normal 2 3 2 2 6 5 4" xfId="34551"/>
    <cellStyle name="Normal 2 3 2 2 6 6" xfId="11326"/>
    <cellStyle name="Normal 2 3 2 2 6 7" xfId="18293"/>
    <cellStyle name="Normal 2 3 2 2 6 8" xfId="25260"/>
    <cellStyle name="Normal 2 3 2 2 6 9" xfId="32228"/>
    <cellStyle name="Normal 2 3 2 2 7" xfId="3486"/>
    <cellStyle name="Normal 2 3 2 2 7 2" xfId="5324"/>
    <cellStyle name="Normal 2 3 2 2 7 2 2" xfId="10169"/>
    <cellStyle name="Normal 2 3 2 2 7 2 2 2" xfId="17167"/>
    <cellStyle name="Normal 2 3 2 2 7 2 2 3" xfId="24134"/>
    <cellStyle name="Normal 2 3 2 2 7 2 2 4" xfId="31101"/>
    <cellStyle name="Normal 2 3 2 2 7 2 2 5" xfId="38070"/>
    <cellStyle name="Normal 2 3 2 2 7 2 3" xfId="14847"/>
    <cellStyle name="Normal 2 3 2 2 7 2 3 2" xfId="21814"/>
    <cellStyle name="Normal 2 3 2 2 7 2 3 3" xfId="28781"/>
    <cellStyle name="Normal 2 3 2 2 7 2 3 4" xfId="35750"/>
    <cellStyle name="Normal 2 3 2 2 7 2 4" xfId="12525"/>
    <cellStyle name="Normal 2 3 2 2 7 2 5" xfId="19492"/>
    <cellStyle name="Normal 2 3 2 2 7 2 6" xfId="26459"/>
    <cellStyle name="Normal 2 3 2 2 7 2 7" xfId="33427"/>
    <cellStyle name="Normal 2 3 2 2 7 3" xfId="9098"/>
    <cellStyle name="Normal 2 3 2 2 7 3 2" xfId="16137"/>
    <cellStyle name="Normal 2 3 2 2 7 3 3" xfId="23104"/>
    <cellStyle name="Normal 2 3 2 2 7 3 4" xfId="30071"/>
    <cellStyle name="Normal 2 3 2 2 7 3 5" xfId="37040"/>
    <cellStyle name="Normal 2 3 2 2 7 4" xfId="13817"/>
    <cellStyle name="Normal 2 3 2 2 7 4 2" xfId="20784"/>
    <cellStyle name="Normal 2 3 2 2 7 4 3" xfId="27751"/>
    <cellStyle name="Normal 2 3 2 2 7 4 4" xfId="34720"/>
    <cellStyle name="Normal 2 3 2 2 7 5" xfId="11495"/>
    <cellStyle name="Normal 2 3 2 2 7 6" xfId="18462"/>
    <cellStyle name="Normal 2 3 2 2 7 7" xfId="25429"/>
    <cellStyle name="Normal 2 3 2 2 7 8" xfId="32397"/>
    <cellStyle name="Normal 2 3 2 2 8" xfId="3661"/>
    <cellStyle name="Normal 2 3 2 2 8 2" xfId="5325"/>
    <cellStyle name="Normal 2 3 2 2 8 2 2" xfId="10170"/>
    <cellStyle name="Normal 2 3 2 2 8 2 2 2" xfId="17168"/>
    <cellStyle name="Normal 2 3 2 2 8 2 2 3" xfId="24135"/>
    <cellStyle name="Normal 2 3 2 2 8 2 2 4" xfId="31102"/>
    <cellStyle name="Normal 2 3 2 2 8 2 2 5" xfId="38071"/>
    <cellStyle name="Normal 2 3 2 2 8 2 3" xfId="14848"/>
    <cellStyle name="Normal 2 3 2 2 8 2 3 2" xfId="21815"/>
    <cellStyle name="Normal 2 3 2 2 8 2 3 3" xfId="28782"/>
    <cellStyle name="Normal 2 3 2 2 8 2 3 4" xfId="35751"/>
    <cellStyle name="Normal 2 3 2 2 8 2 4" xfId="12526"/>
    <cellStyle name="Normal 2 3 2 2 8 2 5" xfId="19493"/>
    <cellStyle name="Normal 2 3 2 2 8 2 6" xfId="26460"/>
    <cellStyle name="Normal 2 3 2 2 8 2 7" xfId="33428"/>
    <cellStyle name="Normal 2 3 2 2 8 3" xfId="9269"/>
    <cellStyle name="Normal 2 3 2 2 8 3 2" xfId="16308"/>
    <cellStyle name="Normal 2 3 2 2 8 3 3" xfId="23275"/>
    <cellStyle name="Normal 2 3 2 2 8 3 4" xfId="30242"/>
    <cellStyle name="Normal 2 3 2 2 8 3 5" xfId="37211"/>
    <cellStyle name="Normal 2 3 2 2 8 4" xfId="13988"/>
    <cellStyle name="Normal 2 3 2 2 8 4 2" xfId="20955"/>
    <cellStyle name="Normal 2 3 2 2 8 4 3" xfId="27922"/>
    <cellStyle name="Normal 2 3 2 2 8 4 4" xfId="34891"/>
    <cellStyle name="Normal 2 3 2 2 8 5" xfId="11666"/>
    <cellStyle name="Normal 2 3 2 2 8 6" xfId="18633"/>
    <cellStyle name="Normal 2 3 2 2 8 7" xfId="25600"/>
    <cellStyle name="Normal 2 3 2 2 8 8" xfId="32568"/>
    <cellStyle name="Normal 2 3 2 2 9" xfId="3938"/>
    <cellStyle name="Normal 2 3 2 2 9 2" xfId="5326"/>
    <cellStyle name="Normal 2 3 2 2 9 2 2" xfId="10171"/>
    <cellStyle name="Normal 2 3 2 2 9 2 2 2" xfId="17169"/>
    <cellStyle name="Normal 2 3 2 2 9 2 2 3" xfId="24136"/>
    <cellStyle name="Normal 2 3 2 2 9 2 2 4" xfId="31103"/>
    <cellStyle name="Normal 2 3 2 2 9 2 2 5" xfId="38072"/>
    <cellStyle name="Normal 2 3 2 2 9 2 3" xfId="14849"/>
    <cellStyle name="Normal 2 3 2 2 9 2 3 2" xfId="21816"/>
    <cellStyle name="Normal 2 3 2 2 9 2 3 3" xfId="28783"/>
    <cellStyle name="Normal 2 3 2 2 9 2 3 4" xfId="35752"/>
    <cellStyle name="Normal 2 3 2 2 9 2 4" xfId="12527"/>
    <cellStyle name="Normal 2 3 2 2 9 2 5" xfId="19494"/>
    <cellStyle name="Normal 2 3 2 2 9 2 6" xfId="26461"/>
    <cellStyle name="Normal 2 3 2 2 9 2 7" xfId="33429"/>
    <cellStyle name="Normal 2 3 2 2 9 3" xfId="9544"/>
    <cellStyle name="Normal 2 3 2 2 9 3 2" xfId="16580"/>
    <cellStyle name="Normal 2 3 2 2 9 3 3" xfId="23547"/>
    <cellStyle name="Normal 2 3 2 2 9 3 4" xfId="30514"/>
    <cellStyle name="Normal 2 3 2 2 9 3 5" xfId="37483"/>
    <cellStyle name="Normal 2 3 2 2 9 4" xfId="14260"/>
    <cellStyle name="Normal 2 3 2 2 9 4 2" xfId="21227"/>
    <cellStyle name="Normal 2 3 2 2 9 4 3" xfId="28194"/>
    <cellStyle name="Normal 2 3 2 2 9 4 4" xfId="35163"/>
    <cellStyle name="Normal 2 3 2 2 9 5" xfId="11938"/>
    <cellStyle name="Normal 2 3 2 2 9 6" xfId="18905"/>
    <cellStyle name="Normal 2 3 2 2 9 7" xfId="25872"/>
    <cellStyle name="Normal 2 3 2 2 9 8" xfId="32840"/>
    <cellStyle name="Normal 2 3 2 3" xfId="1678"/>
    <cellStyle name="Normal 2 3 2 3 2" xfId="1679"/>
    <cellStyle name="Normal 2 3 2 3 2 2" xfId="3811"/>
    <cellStyle name="Normal 2 3 2 3 2 2 2" xfId="5329"/>
    <cellStyle name="Normal 2 3 2 3 2 2 2 2" xfId="10172"/>
    <cellStyle name="Normal 2 3 2 3 2 2 2 2 2" xfId="17170"/>
    <cellStyle name="Normal 2 3 2 3 2 2 2 2 3" xfId="24137"/>
    <cellStyle name="Normal 2 3 2 3 2 2 2 2 4" xfId="31104"/>
    <cellStyle name="Normal 2 3 2 3 2 2 2 2 5" xfId="38073"/>
    <cellStyle name="Normal 2 3 2 3 2 2 2 3" xfId="14850"/>
    <cellStyle name="Normal 2 3 2 3 2 2 2 3 2" xfId="21817"/>
    <cellStyle name="Normal 2 3 2 3 2 2 2 3 3" xfId="28784"/>
    <cellStyle name="Normal 2 3 2 3 2 2 2 3 4" xfId="35753"/>
    <cellStyle name="Normal 2 3 2 3 2 2 2 4" xfId="12528"/>
    <cellStyle name="Normal 2 3 2 3 2 2 2 5" xfId="19495"/>
    <cellStyle name="Normal 2 3 2 3 2 2 2 6" xfId="26462"/>
    <cellStyle name="Normal 2 3 2 3 2 2 2 7" xfId="33430"/>
    <cellStyle name="Normal 2 3 2 3 2 2 3" xfId="9417"/>
    <cellStyle name="Normal 2 3 2 3 2 2 3 2" xfId="16455"/>
    <cellStyle name="Normal 2 3 2 3 2 2 3 3" xfId="23422"/>
    <cellStyle name="Normal 2 3 2 3 2 2 3 4" xfId="30389"/>
    <cellStyle name="Normal 2 3 2 3 2 2 3 5" xfId="37358"/>
    <cellStyle name="Normal 2 3 2 3 2 2 4" xfId="14135"/>
    <cellStyle name="Normal 2 3 2 3 2 2 4 2" xfId="21102"/>
    <cellStyle name="Normal 2 3 2 3 2 2 4 3" xfId="28069"/>
    <cellStyle name="Normal 2 3 2 3 2 2 4 4" xfId="35038"/>
    <cellStyle name="Normal 2 3 2 3 2 2 5" xfId="11813"/>
    <cellStyle name="Normal 2 3 2 3 2 2 6" xfId="18780"/>
    <cellStyle name="Normal 2 3 2 3 2 2 7" xfId="25747"/>
    <cellStyle name="Normal 2 3 2 3 2 2 8" xfId="32715"/>
    <cellStyle name="Normal 2 3 2 3 2 3" xfId="5328"/>
    <cellStyle name="Normal 2 3 2 3 2 4" xfId="8041"/>
    <cellStyle name="Normal 2 3 2 3 3" xfId="1680"/>
    <cellStyle name="Normal 2 3 2 3 3 10" xfId="8042"/>
    <cellStyle name="Normal 2 3 2 3 3 10 2" xfId="15811"/>
    <cellStyle name="Normal 2 3 2 3 3 10 2 2" xfId="22778"/>
    <cellStyle name="Normal 2 3 2 3 3 10 2 3" xfId="29745"/>
    <cellStyle name="Normal 2 3 2 3 3 10 2 4" xfId="36714"/>
    <cellStyle name="Normal 2 3 2 3 3 10 3" xfId="11167"/>
    <cellStyle name="Normal 2 3 2 3 3 10 4" xfId="18134"/>
    <cellStyle name="Normal 2 3 2 3 3 10 5" xfId="25101"/>
    <cellStyle name="Normal 2 3 2 3 3 10 6" xfId="32069"/>
    <cellStyle name="Normal 2 3 2 3 3 11" xfId="13489"/>
    <cellStyle name="Normal 2 3 2 3 3 11 2" xfId="20456"/>
    <cellStyle name="Normal 2 3 2 3 3 11 3" xfId="27423"/>
    <cellStyle name="Normal 2 3 2 3 3 11 4" xfId="34392"/>
    <cellStyle name="Normal 2 3 2 3 3 12" xfId="10995"/>
    <cellStyle name="Normal 2 3 2 3 3 13" xfId="17961"/>
    <cellStyle name="Normal 2 3 2 3 3 14" xfId="24929"/>
    <cellStyle name="Normal 2 3 2 3 3 15" xfId="31897"/>
    <cellStyle name="Normal 2 3 2 3 3 2" xfId="1681"/>
    <cellStyle name="Normal 2 3 2 3 3 2 10" xfId="13490"/>
    <cellStyle name="Normal 2 3 2 3 3 2 10 2" xfId="20457"/>
    <cellStyle name="Normal 2 3 2 3 3 2 10 3" xfId="27424"/>
    <cellStyle name="Normal 2 3 2 3 3 2 10 4" xfId="34393"/>
    <cellStyle name="Normal 2 3 2 3 3 2 11" xfId="10996"/>
    <cellStyle name="Normal 2 3 2 3 3 2 12" xfId="17962"/>
    <cellStyle name="Normal 2 3 2 3 3 2 13" xfId="24930"/>
    <cellStyle name="Normal 2 3 2 3 3 2 14" xfId="31898"/>
    <cellStyle name="Normal 2 3 2 3 3 2 2" xfId="3295"/>
    <cellStyle name="Normal 2 3 2 3 3 2 2 2" xfId="5332"/>
    <cellStyle name="Normal 2 3 2 3 3 2 2 2 2" xfId="10175"/>
    <cellStyle name="Normal 2 3 2 3 3 2 2 2 2 2" xfId="17173"/>
    <cellStyle name="Normal 2 3 2 3 3 2 2 2 2 3" xfId="24140"/>
    <cellStyle name="Normal 2 3 2 3 3 2 2 2 2 4" xfId="31107"/>
    <cellStyle name="Normal 2 3 2 3 3 2 2 2 2 5" xfId="38076"/>
    <cellStyle name="Normal 2 3 2 3 3 2 2 2 3" xfId="14853"/>
    <cellStyle name="Normal 2 3 2 3 3 2 2 2 3 2" xfId="21820"/>
    <cellStyle name="Normal 2 3 2 3 3 2 2 2 3 3" xfId="28787"/>
    <cellStyle name="Normal 2 3 2 3 3 2 2 2 3 4" xfId="35756"/>
    <cellStyle name="Normal 2 3 2 3 3 2 2 2 4" xfId="12531"/>
    <cellStyle name="Normal 2 3 2 3 3 2 2 2 5" xfId="19498"/>
    <cellStyle name="Normal 2 3 2 3 3 2 2 2 6" xfId="26465"/>
    <cellStyle name="Normal 2 3 2 3 3 2 2 2 7" xfId="33433"/>
    <cellStyle name="Normal 2 3 2 3 3 2 2 3" xfId="8929"/>
    <cellStyle name="Normal 2 3 2 3 3 2 2 3 2" xfId="15981"/>
    <cellStyle name="Normal 2 3 2 3 3 2 2 3 3" xfId="22948"/>
    <cellStyle name="Normal 2 3 2 3 3 2 2 3 4" xfId="29915"/>
    <cellStyle name="Normal 2 3 2 3 3 2 2 3 5" xfId="36884"/>
    <cellStyle name="Normal 2 3 2 3 3 2 2 4" xfId="13659"/>
    <cellStyle name="Normal 2 3 2 3 3 2 2 4 2" xfId="20626"/>
    <cellStyle name="Normal 2 3 2 3 3 2 2 4 3" xfId="27593"/>
    <cellStyle name="Normal 2 3 2 3 3 2 2 4 4" xfId="34562"/>
    <cellStyle name="Normal 2 3 2 3 3 2 2 5" xfId="11337"/>
    <cellStyle name="Normal 2 3 2 3 3 2 2 6" xfId="18304"/>
    <cellStyle name="Normal 2 3 2 3 3 2 2 7" xfId="25271"/>
    <cellStyle name="Normal 2 3 2 3 3 2 2 8" xfId="32239"/>
    <cellStyle name="Normal 2 3 2 3 3 2 3" xfId="3497"/>
    <cellStyle name="Normal 2 3 2 3 3 2 3 2" xfId="5333"/>
    <cellStyle name="Normal 2 3 2 3 3 2 3 2 2" xfId="10176"/>
    <cellStyle name="Normal 2 3 2 3 3 2 3 2 2 2" xfId="17174"/>
    <cellStyle name="Normal 2 3 2 3 3 2 3 2 2 3" xfId="24141"/>
    <cellStyle name="Normal 2 3 2 3 3 2 3 2 2 4" xfId="31108"/>
    <cellStyle name="Normal 2 3 2 3 3 2 3 2 2 5" xfId="38077"/>
    <cellStyle name="Normal 2 3 2 3 3 2 3 2 3" xfId="14854"/>
    <cellStyle name="Normal 2 3 2 3 3 2 3 2 3 2" xfId="21821"/>
    <cellStyle name="Normal 2 3 2 3 3 2 3 2 3 3" xfId="28788"/>
    <cellStyle name="Normal 2 3 2 3 3 2 3 2 3 4" xfId="35757"/>
    <cellStyle name="Normal 2 3 2 3 3 2 3 2 4" xfId="12532"/>
    <cellStyle name="Normal 2 3 2 3 3 2 3 2 5" xfId="19499"/>
    <cellStyle name="Normal 2 3 2 3 3 2 3 2 6" xfId="26466"/>
    <cellStyle name="Normal 2 3 2 3 3 2 3 2 7" xfId="33434"/>
    <cellStyle name="Normal 2 3 2 3 3 2 3 3" xfId="9109"/>
    <cellStyle name="Normal 2 3 2 3 3 2 3 3 2" xfId="16148"/>
    <cellStyle name="Normal 2 3 2 3 3 2 3 3 3" xfId="23115"/>
    <cellStyle name="Normal 2 3 2 3 3 2 3 3 4" xfId="30082"/>
    <cellStyle name="Normal 2 3 2 3 3 2 3 3 5" xfId="37051"/>
    <cellStyle name="Normal 2 3 2 3 3 2 3 4" xfId="13828"/>
    <cellStyle name="Normal 2 3 2 3 3 2 3 4 2" xfId="20795"/>
    <cellStyle name="Normal 2 3 2 3 3 2 3 4 3" xfId="27762"/>
    <cellStyle name="Normal 2 3 2 3 3 2 3 4 4" xfId="34731"/>
    <cellStyle name="Normal 2 3 2 3 3 2 3 5" xfId="11506"/>
    <cellStyle name="Normal 2 3 2 3 3 2 3 6" xfId="18473"/>
    <cellStyle name="Normal 2 3 2 3 3 2 3 7" xfId="25440"/>
    <cellStyle name="Normal 2 3 2 3 3 2 3 8" xfId="32408"/>
    <cellStyle name="Normal 2 3 2 3 3 2 4" xfId="3672"/>
    <cellStyle name="Normal 2 3 2 3 3 2 4 2" xfId="5334"/>
    <cellStyle name="Normal 2 3 2 3 3 2 4 2 2" xfId="10177"/>
    <cellStyle name="Normal 2 3 2 3 3 2 4 2 2 2" xfId="17175"/>
    <cellStyle name="Normal 2 3 2 3 3 2 4 2 2 3" xfId="24142"/>
    <cellStyle name="Normal 2 3 2 3 3 2 4 2 2 4" xfId="31109"/>
    <cellStyle name="Normal 2 3 2 3 3 2 4 2 2 5" xfId="38078"/>
    <cellStyle name="Normal 2 3 2 3 3 2 4 2 3" xfId="14855"/>
    <cellStyle name="Normal 2 3 2 3 3 2 4 2 3 2" xfId="21822"/>
    <cellStyle name="Normal 2 3 2 3 3 2 4 2 3 3" xfId="28789"/>
    <cellStyle name="Normal 2 3 2 3 3 2 4 2 3 4" xfId="35758"/>
    <cellStyle name="Normal 2 3 2 3 3 2 4 2 4" xfId="12533"/>
    <cellStyle name="Normal 2 3 2 3 3 2 4 2 5" xfId="19500"/>
    <cellStyle name="Normal 2 3 2 3 3 2 4 2 6" xfId="26467"/>
    <cellStyle name="Normal 2 3 2 3 3 2 4 2 7" xfId="33435"/>
    <cellStyle name="Normal 2 3 2 3 3 2 4 3" xfId="9280"/>
    <cellStyle name="Normal 2 3 2 3 3 2 4 3 2" xfId="16319"/>
    <cellStyle name="Normal 2 3 2 3 3 2 4 3 3" xfId="23286"/>
    <cellStyle name="Normal 2 3 2 3 3 2 4 3 4" xfId="30253"/>
    <cellStyle name="Normal 2 3 2 3 3 2 4 3 5" xfId="37222"/>
    <cellStyle name="Normal 2 3 2 3 3 2 4 4" xfId="13999"/>
    <cellStyle name="Normal 2 3 2 3 3 2 4 4 2" xfId="20966"/>
    <cellStyle name="Normal 2 3 2 3 3 2 4 4 3" xfId="27933"/>
    <cellStyle name="Normal 2 3 2 3 3 2 4 4 4" xfId="34902"/>
    <cellStyle name="Normal 2 3 2 3 3 2 4 5" xfId="11677"/>
    <cellStyle name="Normal 2 3 2 3 3 2 4 6" xfId="18644"/>
    <cellStyle name="Normal 2 3 2 3 3 2 4 7" xfId="25611"/>
    <cellStyle name="Normal 2 3 2 3 3 2 4 8" xfId="32579"/>
    <cellStyle name="Normal 2 3 2 3 3 2 5" xfId="3949"/>
    <cellStyle name="Normal 2 3 2 3 3 2 5 2" xfId="5335"/>
    <cellStyle name="Normal 2 3 2 3 3 2 5 2 2" xfId="10178"/>
    <cellStyle name="Normal 2 3 2 3 3 2 5 2 2 2" xfId="17176"/>
    <cellStyle name="Normal 2 3 2 3 3 2 5 2 2 3" xfId="24143"/>
    <cellStyle name="Normal 2 3 2 3 3 2 5 2 2 4" xfId="31110"/>
    <cellStyle name="Normal 2 3 2 3 3 2 5 2 2 5" xfId="38079"/>
    <cellStyle name="Normal 2 3 2 3 3 2 5 2 3" xfId="14856"/>
    <cellStyle name="Normal 2 3 2 3 3 2 5 2 3 2" xfId="21823"/>
    <cellStyle name="Normal 2 3 2 3 3 2 5 2 3 3" xfId="28790"/>
    <cellStyle name="Normal 2 3 2 3 3 2 5 2 3 4" xfId="35759"/>
    <cellStyle name="Normal 2 3 2 3 3 2 5 2 4" xfId="12534"/>
    <cellStyle name="Normal 2 3 2 3 3 2 5 2 5" xfId="19501"/>
    <cellStyle name="Normal 2 3 2 3 3 2 5 2 6" xfId="26468"/>
    <cellStyle name="Normal 2 3 2 3 3 2 5 2 7" xfId="33436"/>
    <cellStyle name="Normal 2 3 2 3 3 2 5 3" xfId="9555"/>
    <cellStyle name="Normal 2 3 2 3 3 2 5 3 2" xfId="16591"/>
    <cellStyle name="Normal 2 3 2 3 3 2 5 3 3" xfId="23558"/>
    <cellStyle name="Normal 2 3 2 3 3 2 5 3 4" xfId="30525"/>
    <cellStyle name="Normal 2 3 2 3 3 2 5 3 5" xfId="37494"/>
    <cellStyle name="Normal 2 3 2 3 3 2 5 4" xfId="14271"/>
    <cellStyle name="Normal 2 3 2 3 3 2 5 4 2" xfId="21238"/>
    <cellStyle name="Normal 2 3 2 3 3 2 5 4 3" xfId="28205"/>
    <cellStyle name="Normal 2 3 2 3 3 2 5 4 4" xfId="35174"/>
    <cellStyle name="Normal 2 3 2 3 3 2 5 5" xfId="11949"/>
    <cellStyle name="Normal 2 3 2 3 3 2 5 6" xfId="18916"/>
    <cellStyle name="Normal 2 3 2 3 3 2 5 7" xfId="25883"/>
    <cellStyle name="Normal 2 3 2 3 3 2 5 8" xfId="32851"/>
    <cellStyle name="Normal 2 3 2 3 3 2 6" xfId="5331"/>
    <cellStyle name="Normal 2 3 2 3 3 2 6 2" xfId="10174"/>
    <cellStyle name="Normal 2 3 2 3 3 2 6 2 2" xfId="17172"/>
    <cellStyle name="Normal 2 3 2 3 3 2 6 2 3" xfId="24139"/>
    <cellStyle name="Normal 2 3 2 3 3 2 6 2 4" xfId="31106"/>
    <cellStyle name="Normal 2 3 2 3 3 2 6 2 5" xfId="38075"/>
    <cellStyle name="Normal 2 3 2 3 3 2 6 3" xfId="14852"/>
    <cellStyle name="Normal 2 3 2 3 3 2 6 3 2" xfId="21819"/>
    <cellStyle name="Normal 2 3 2 3 3 2 6 3 3" xfId="28786"/>
    <cellStyle name="Normal 2 3 2 3 3 2 6 3 4" xfId="35755"/>
    <cellStyle name="Normal 2 3 2 3 3 2 6 4" xfId="12530"/>
    <cellStyle name="Normal 2 3 2 3 3 2 6 5" xfId="19497"/>
    <cellStyle name="Normal 2 3 2 3 3 2 6 6" xfId="26464"/>
    <cellStyle name="Normal 2 3 2 3 3 2 6 7" xfId="33432"/>
    <cellStyle name="Normal 2 3 2 3 3 2 7" xfId="6844"/>
    <cellStyle name="Normal 2 3 2 3 3 2 7 2" xfId="10813"/>
    <cellStyle name="Normal 2 3 2 3 3 2 7 2 2" xfId="17787"/>
    <cellStyle name="Normal 2 3 2 3 3 2 7 2 3" xfId="24754"/>
    <cellStyle name="Normal 2 3 2 3 3 2 7 2 4" xfId="31721"/>
    <cellStyle name="Normal 2 3 2 3 3 2 7 2 5" xfId="38690"/>
    <cellStyle name="Normal 2 3 2 3 3 2 7 3" xfId="15467"/>
    <cellStyle name="Normal 2 3 2 3 3 2 7 3 2" xfId="22434"/>
    <cellStyle name="Normal 2 3 2 3 3 2 7 3 3" xfId="29401"/>
    <cellStyle name="Normal 2 3 2 3 3 2 7 3 4" xfId="36370"/>
    <cellStyle name="Normal 2 3 2 3 3 2 7 4" xfId="13145"/>
    <cellStyle name="Normal 2 3 2 3 3 2 7 5" xfId="20112"/>
    <cellStyle name="Normal 2 3 2 3 3 2 7 6" xfId="27079"/>
    <cellStyle name="Normal 2 3 2 3 3 2 7 7" xfId="34048"/>
    <cellStyle name="Normal 2 3 2 3 3 2 8" xfId="7156"/>
    <cellStyle name="Normal 2 3 2 3 3 2 8 2" xfId="15640"/>
    <cellStyle name="Normal 2 3 2 3 3 2 8 2 2" xfId="22607"/>
    <cellStyle name="Normal 2 3 2 3 3 2 8 2 3" xfId="29574"/>
    <cellStyle name="Normal 2 3 2 3 3 2 8 2 4" xfId="36543"/>
    <cellStyle name="Normal 2 3 2 3 3 2 8 3" xfId="13318"/>
    <cellStyle name="Normal 2 3 2 3 3 2 8 4" xfId="20285"/>
    <cellStyle name="Normal 2 3 2 3 3 2 8 5" xfId="27252"/>
    <cellStyle name="Normal 2 3 2 3 3 2 8 6" xfId="34221"/>
    <cellStyle name="Normal 2 3 2 3 3 2 9" xfId="8043"/>
    <cellStyle name="Normal 2 3 2 3 3 2 9 2" xfId="15812"/>
    <cellStyle name="Normal 2 3 2 3 3 2 9 2 2" xfId="22779"/>
    <cellStyle name="Normal 2 3 2 3 3 2 9 2 3" xfId="29746"/>
    <cellStyle name="Normal 2 3 2 3 3 2 9 2 4" xfId="36715"/>
    <cellStyle name="Normal 2 3 2 3 3 2 9 3" xfId="11168"/>
    <cellStyle name="Normal 2 3 2 3 3 2 9 4" xfId="18135"/>
    <cellStyle name="Normal 2 3 2 3 3 2 9 5" xfId="25102"/>
    <cellStyle name="Normal 2 3 2 3 3 2 9 6" xfId="32070"/>
    <cellStyle name="Normal 2 3 2 3 3 3" xfId="3294"/>
    <cellStyle name="Normal 2 3 2 3 3 3 2" xfId="5336"/>
    <cellStyle name="Normal 2 3 2 3 3 3 2 2" xfId="10179"/>
    <cellStyle name="Normal 2 3 2 3 3 3 2 2 2" xfId="17177"/>
    <cellStyle name="Normal 2 3 2 3 3 3 2 2 3" xfId="24144"/>
    <cellStyle name="Normal 2 3 2 3 3 3 2 2 4" xfId="31111"/>
    <cellStyle name="Normal 2 3 2 3 3 3 2 2 5" xfId="38080"/>
    <cellStyle name="Normal 2 3 2 3 3 3 2 3" xfId="14857"/>
    <cellStyle name="Normal 2 3 2 3 3 3 2 3 2" xfId="21824"/>
    <cellStyle name="Normal 2 3 2 3 3 3 2 3 3" xfId="28791"/>
    <cellStyle name="Normal 2 3 2 3 3 3 2 3 4" xfId="35760"/>
    <cellStyle name="Normal 2 3 2 3 3 3 2 4" xfId="12535"/>
    <cellStyle name="Normal 2 3 2 3 3 3 2 5" xfId="19502"/>
    <cellStyle name="Normal 2 3 2 3 3 3 2 6" xfId="26469"/>
    <cellStyle name="Normal 2 3 2 3 3 3 2 7" xfId="33437"/>
    <cellStyle name="Normal 2 3 2 3 3 3 3" xfId="8928"/>
    <cellStyle name="Normal 2 3 2 3 3 3 3 2" xfId="15980"/>
    <cellStyle name="Normal 2 3 2 3 3 3 3 3" xfId="22947"/>
    <cellStyle name="Normal 2 3 2 3 3 3 3 4" xfId="29914"/>
    <cellStyle name="Normal 2 3 2 3 3 3 3 5" xfId="36883"/>
    <cellStyle name="Normal 2 3 2 3 3 3 4" xfId="13658"/>
    <cellStyle name="Normal 2 3 2 3 3 3 4 2" xfId="20625"/>
    <cellStyle name="Normal 2 3 2 3 3 3 4 3" xfId="27592"/>
    <cellStyle name="Normal 2 3 2 3 3 3 4 4" xfId="34561"/>
    <cellStyle name="Normal 2 3 2 3 3 3 5" xfId="11336"/>
    <cellStyle name="Normal 2 3 2 3 3 3 6" xfId="18303"/>
    <cellStyle name="Normal 2 3 2 3 3 3 7" xfId="25270"/>
    <cellStyle name="Normal 2 3 2 3 3 3 8" xfId="32238"/>
    <cellStyle name="Normal 2 3 2 3 3 4" xfId="3496"/>
    <cellStyle name="Normal 2 3 2 3 3 4 2" xfId="5337"/>
    <cellStyle name="Normal 2 3 2 3 3 4 2 2" xfId="10180"/>
    <cellStyle name="Normal 2 3 2 3 3 4 2 2 2" xfId="17178"/>
    <cellStyle name="Normal 2 3 2 3 3 4 2 2 3" xfId="24145"/>
    <cellStyle name="Normal 2 3 2 3 3 4 2 2 4" xfId="31112"/>
    <cellStyle name="Normal 2 3 2 3 3 4 2 2 5" xfId="38081"/>
    <cellStyle name="Normal 2 3 2 3 3 4 2 3" xfId="14858"/>
    <cellStyle name="Normal 2 3 2 3 3 4 2 3 2" xfId="21825"/>
    <cellStyle name="Normal 2 3 2 3 3 4 2 3 3" xfId="28792"/>
    <cellStyle name="Normal 2 3 2 3 3 4 2 3 4" xfId="35761"/>
    <cellStyle name="Normal 2 3 2 3 3 4 2 4" xfId="12536"/>
    <cellStyle name="Normal 2 3 2 3 3 4 2 5" xfId="19503"/>
    <cellStyle name="Normal 2 3 2 3 3 4 2 6" xfId="26470"/>
    <cellStyle name="Normal 2 3 2 3 3 4 2 7" xfId="33438"/>
    <cellStyle name="Normal 2 3 2 3 3 4 3" xfId="9108"/>
    <cellStyle name="Normal 2 3 2 3 3 4 3 2" xfId="16147"/>
    <cellStyle name="Normal 2 3 2 3 3 4 3 3" xfId="23114"/>
    <cellStyle name="Normal 2 3 2 3 3 4 3 4" xfId="30081"/>
    <cellStyle name="Normal 2 3 2 3 3 4 3 5" xfId="37050"/>
    <cellStyle name="Normal 2 3 2 3 3 4 4" xfId="13827"/>
    <cellStyle name="Normal 2 3 2 3 3 4 4 2" xfId="20794"/>
    <cellStyle name="Normal 2 3 2 3 3 4 4 3" xfId="27761"/>
    <cellStyle name="Normal 2 3 2 3 3 4 4 4" xfId="34730"/>
    <cellStyle name="Normal 2 3 2 3 3 4 5" xfId="11505"/>
    <cellStyle name="Normal 2 3 2 3 3 4 6" xfId="18472"/>
    <cellStyle name="Normal 2 3 2 3 3 4 7" xfId="25439"/>
    <cellStyle name="Normal 2 3 2 3 3 4 8" xfId="32407"/>
    <cellStyle name="Normal 2 3 2 3 3 5" xfId="3671"/>
    <cellStyle name="Normal 2 3 2 3 3 5 2" xfId="5338"/>
    <cellStyle name="Normal 2 3 2 3 3 5 2 2" xfId="10181"/>
    <cellStyle name="Normal 2 3 2 3 3 5 2 2 2" xfId="17179"/>
    <cellStyle name="Normal 2 3 2 3 3 5 2 2 3" xfId="24146"/>
    <cellStyle name="Normal 2 3 2 3 3 5 2 2 4" xfId="31113"/>
    <cellStyle name="Normal 2 3 2 3 3 5 2 2 5" xfId="38082"/>
    <cellStyle name="Normal 2 3 2 3 3 5 2 3" xfId="14859"/>
    <cellStyle name="Normal 2 3 2 3 3 5 2 3 2" xfId="21826"/>
    <cellStyle name="Normal 2 3 2 3 3 5 2 3 3" xfId="28793"/>
    <cellStyle name="Normal 2 3 2 3 3 5 2 3 4" xfId="35762"/>
    <cellStyle name="Normal 2 3 2 3 3 5 2 4" xfId="12537"/>
    <cellStyle name="Normal 2 3 2 3 3 5 2 5" xfId="19504"/>
    <cellStyle name="Normal 2 3 2 3 3 5 2 6" xfId="26471"/>
    <cellStyle name="Normal 2 3 2 3 3 5 2 7" xfId="33439"/>
    <cellStyle name="Normal 2 3 2 3 3 5 3" xfId="9279"/>
    <cellStyle name="Normal 2 3 2 3 3 5 3 2" xfId="16318"/>
    <cellStyle name="Normal 2 3 2 3 3 5 3 3" xfId="23285"/>
    <cellStyle name="Normal 2 3 2 3 3 5 3 4" xfId="30252"/>
    <cellStyle name="Normal 2 3 2 3 3 5 3 5" xfId="37221"/>
    <cellStyle name="Normal 2 3 2 3 3 5 4" xfId="13998"/>
    <cellStyle name="Normal 2 3 2 3 3 5 4 2" xfId="20965"/>
    <cellStyle name="Normal 2 3 2 3 3 5 4 3" xfId="27932"/>
    <cellStyle name="Normal 2 3 2 3 3 5 4 4" xfId="34901"/>
    <cellStyle name="Normal 2 3 2 3 3 5 5" xfId="11676"/>
    <cellStyle name="Normal 2 3 2 3 3 5 6" xfId="18643"/>
    <cellStyle name="Normal 2 3 2 3 3 5 7" xfId="25610"/>
    <cellStyle name="Normal 2 3 2 3 3 5 8" xfId="32578"/>
    <cellStyle name="Normal 2 3 2 3 3 6" xfId="3948"/>
    <cellStyle name="Normal 2 3 2 3 3 6 2" xfId="5339"/>
    <cellStyle name="Normal 2 3 2 3 3 6 2 2" xfId="10182"/>
    <cellStyle name="Normal 2 3 2 3 3 6 2 2 2" xfId="17180"/>
    <cellStyle name="Normal 2 3 2 3 3 6 2 2 3" xfId="24147"/>
    <cellStyle name="Normal 2 3 2 3 3 6 2 2 4" xfId="31114"/>
    <cellStyle name="Normal 2 3 2 3 3 6 2 2 5" xfId="38083"/>
    <cellStyle name="Normal 2 3 2 3 3 6 2 3" xfId="14860"/>
    <cellStyle name="Normal 2 3 2 3 3 6 2 3 2" xfId="21827"/>
    <cellStyle name="Normal 2 3 2 3 3 6 2 3 3" xfId="28794"/>
    <cellStyle name="Normal 2 3 2 3 3 6 2 3 4" xfId="35763"/>
    <cellStyle name="Normal 2 3 2 3 3 6 2 4" xfId="12538"/>
    <cellStyle name="Normal 2 3 2 3 3 6 2 5" xfId="19505"/>
    <cellStyle name="Normal 2 3 2 3 3 6 2 6" xfId="26472"/>
    <cellStyle name="Normal 2 3 2 3 3 6 2 7" xfId="33440"/>
    <cellStyle name="Normal 2 3 2 3 3 6 3" xfId="9554"/>
    <cellStyle name="Normal 2 3 2 3 3 6 3 2" xfId="16590"/>
    <cellStyle name="Normal 2 3 2 3 3 6 3 3" xfId="23557"/>
    <cellStyle name="Normal 2 3 2 3 3 6 3 4" xfId="30524"/>
    <cellStyle name="Normal 2 3 2 3 3 6 3 5" xfId="37493"/>
    <cellStyle name="Normal 2 3 2 3 3 6 4" xfId="14270"/>
    <cellStyle name="Normal 2 3 2 3 3 6 4 2" xfId="21237"/>
    <cellStyle name="Normal 2 3 2 3 3 6 4 3" xfId="28204"/>
    <cellStyle name="Normal 2 3 2 3 3 6 4 4" xfId="35173"/>
    <cellStyle name="Normal 2 3 2 3 3 6 5" xfId="11948"/>
    <cellStyle name="Normal 2 3 2 3 3 6 6" xfId="18915"/>
    <cellStyle name="Normal 2 3 2 3 3 6 7" xfId="25882"/>
    <cellStyle name="Normal 2 3 2 3 3 6 8" xfId="32850"/>
    <cellStyle name="Normal 2 3 2 3 3 7" xfId="5330"/>
    <cellStyle name="Normal 2 3 2 3 3 7 2" xfId="10173"/>
    <cellStyle name="Normal 2 3 2 3 3 7 2 2" xfId="17171"/>
    <cellStyle name="Normal 2 3 2 3 3 7 2 3" xfId="24138"/>
    <cellStyle name="Normal 2 3 2 3 3 7 2 4" xfId="31105"/>
    <cellStyle name="Normal 2 3 2 3 3 7 2 5" xfId="38074"/>
    <cellStyle name="Normal 2 3 2 3 3 7 3" xfId="14851"/>
    <cellStyle name="Normal 2 3 2 3 3 7 3 2" xfId="21818"/>
    <cellStyle name="Normal 2 3 2 3 3 7 3 3" xfId="28785"/>
    <cellStyle name="Normal 2 3 2 3 3 7 3 4" xfId="35754"/>
    <cellStyle name="Normal 2 3 2 3 3 7 4" xfId="12529"/>
    <cellStyle name="Normal 2 3 2 3 3 7 5" xfId="19496"/>
    <cellStyle name="Normal 2 3 2 3 3 7 6" xfId="26463"/>
    <cellStyle name="Normal 2 3 2 3 3 7 7" xfId="33431"/>
    <cellStyle name="Normal 2 3 2 3 3 8" xfId="6843"/>
    <cellStyle name="Normal 2 3 2 3 3 8 2" xfId="10812"/>
    <cellStyle name="Normal 2 3 2 3 3 8 2 2" xfId="17786"/>
    <cellStyle name="Normal 2 3 2 3 3 8 2 3" xfId="24753"/>
    <cellStyle name="Normal 2 3 2 3 3 8 2 4" xfId="31720"/>
    <cellStyle name="Normal 2 3 2 3 3 8 2 5" xfId="38689"/>
    <cellStyle name="Normal 2 3 2 3 3 8 3" xfId="15466"/>
    <cellStyle name="Normal 2 3 2 3 3 8 3 2" xfId="22433"/>
    <cellStyle name="Normal 2 3 2 3 3 8 3 3" xfId="29400"/>
    <cellStyle name="Normal 2 3 2 3 3 8 3 4" xfId="36369"/>
    <cellStyle name="Normal 2 3 2 3 3 8 4" xfId="13144"/>
    <cellStyle name="Normal 2 3 2 3 3 8 5" xfId="20111"/>
    <cellStyle name="Normal 2 3 2 3 3 8 6" xfId="27078"/>
    <cellStyle name="Normal 2 3 2 3 3 8 7" xfId="34047"/>
    <cellStyle name="Normal 2 3 2 3 3 9" xfId="7155"/>
    <cellStyle name="Normal 2 3 2 3 3 9 2" xfId="15639"/>
    <cellStyle name="Normal 2 3 2 3 3 9 2 2" xfId="22606"/>
    <cellStyle name="Normal 2 3 2 3 3 9 2 3" xfId="29573"/>
    <cellStyle name="Normal 2 3 2 3 3 9 2 4" xfId="36542"/>
    <cellStyle name="Normal 2 3 2 3 3 9 3" xfId="13317"/>
    <cellStyle name="Normal 2 3 2 3 3 9 4" xfId="20284"/>
    <cellStyle name="Normal 2 3 2 3 3 9 5" xfId="27251"/>
    <cellStyle name="Normal 2 3 2 3 3 9 6" xfId="34220"/>
    <cellStyle name="Normal 2 3 2 3 4" xfId="3812"/>
    <cellStyle name="Normal 2 3 2 3 4 2" xfId="5340"/>
    <cellStyle name="Normal 2 3 2 3 4 2 2" xfId="10183"/>
    <cellStyle name="Normal 2 3 2 3 4 2 2 2" xfId="17181"/>
    <cellStyle name="Normal 2 3 2 3 4 2 2 3" xfId="24148"/>
    <cellStyle name="Normal 2 3 2 3 4 2 2 4" xfId="31115"/>
    <cellStyle name="Normal 2 3 2 3 4 2 2 5" xfId="38084"/>
    <cellStyle name="Normal 2 3 2 3 4 2 3" xfId="14861"/>
    <cellStyle name="Normal 2 3 2 3 4 2 3 2" xfId="21828"/>
    <cellStyle name="Normal 2 3 2 3 4 2 3 3" xfId="28795"/>
    <cellStyle name="Normal 2 3 2 3 4 2 3 4" xfId="35764"/>
    <cellStyle name="Normal 2 3 2 3 4 2 4" xfId="12539"/>
    <cellStyle name="Normal 2 3 2 3 4 2 5" xfId="19506"/>
    <cellStyle name="Normal 2 3 2 3 4 2 6" xfId="26473"/>
    <cellStyle name="Normal 2 3 2 3 4 2 7" xfId="33441"/>
    <cellStyle name="Normal 2 3 2 3 4 3" xfId="9418"/>
    <cellStyle name="Normal 2 3 2 3 4 3 2" xfId="16456"/>
    <cellStyle name="Normal 2 3 2 3 4 3 3" xfId="23423"/>
    <cellStyle name="Normal 2 3 2 3 4 3 4" xfId="30390"/>
    <cellStyle name="Normal 2 3 2 3 4 3 5" xfId="37359"/>
    <cellStyle name="Normal 2 3 2 3 4 4" xfId="14136"/>
    <cellStyle name="Normal 2 3 2 3 4 4 2" xfId="21103"/>
    <cellStyle name="Normal 2 3 2 3 4 4 3" xfId="28070"/>
    <cellStyle name="Normal 2 3 2 3 4 4 4" xfId="35039"/>
    <cellStyle name="Normal 2 3 2 3 4 5" xfId="11814"/>
    <cellStyle name="Normal 2 3 2 3 4 6" xfId="18781"/>
    <cellStyle name="Normal 2 3 2 3 4 7" xfId="25748"/>
    <cellStyle name="Normal 2 3 2 3 4 8" xfId="32716"/>
    <cellStyle name="Normal 2 3 2 3 5" xfId="5327"/>
    <cellStyle name="Normal 2 3 2 3 6" xfId="8040"/>
    <cellStyle name="Normal 2 3 2 4" xfId="1682"/>
    <cellStyle name="Normal 2 3 2 4 2" xfId="1683"/>
    <cellStyle name="Normal 2 3 2 4 2 2" xfId="1684"/>
    <cellStyle name="Normal 2 3 2 4 2 2 2" xfId="5343"/>
    <cellStyle name="Normal 2 3 2 4 2 2 3" xfId="8046"/>
    <cellStyle name="Normal 2 3 2 4 2 3" xfId="1685"/>
    <cellStyle name="Normal 2 3 2 4 2 3 10" xfId="13491"/>
    <cellStyle name="Normal 2 3 2 4 2 3 10 2" xfId="20458"/>
    <cellStyle name="Normal 2 3 2 4 2 3 10 3" xfId="27425"/>
    <cellStyle name="Normal 2 3 2 4 2 3 10 4" xfId="34394"/>
    <cellStyle name="Normal 2 3 2 4 2 3 11" xfId="10997"/>
    <cellStyle name="Normal 2 3 2 4 2 3 12" xfId="17963"/>
    <cellStyle name="Normal 2 3 2 4 2 3 13" xfId="24931"/>
    <cellStyle name="Normal 2 3 2 4 2 3 14" xfId="31899"/>
    <cellStyle name="Normal 2 3 2 4 2 3 2" xfId="3296"/>
    <cellStyle name="Normal 2 3 2 4 2 3 2 2" xfId="5345"/>
    <cellStyle name="Normal 2 3 2 4 2 3 2 2 2" xfId="10185"/>
    <cellStyle name="Normal 2 3 2 4 2 3 2 2 2 2" xfId="17183"/>
    <cellStyle name="Normal 2 3 2 4 2 3 2 2 2 3" xfId="24150"/>
    <cellStyle name="Normal 2 3 2 4 2 3 2 2 2 4" xfId="31117"/>
    <cellStyle name="Normal 2 3 2 4 2 3 2 2 2 5" xfId="38086"/>
    <cellStyle name="Normal 2 3 2 4 2 3 2 2 3" xfId="14863"/>
    <cellStyle name="Normal 2 3 2 4 2 3 2 2 3 2" xfId="21830"/>
    <cellStyle name="Normal 2 3 2 4 2 3 2 2 3 3" xfId="28797"/>
    <cellStyle name="Normal 2 3 2 4 2 3 2 2 3 4" xfId="35766"/>
    <cellStyle name="Normal 2 3 2 4 2 3 2 2 4" xfId="12541"/>
    <cellStyle name="Normal 2 3 2 4 2 3 2 2 5" xfId="19508"/>
    <cellStyle name="Normal 2 3 2 4 2 3 2 2 6" xfId="26475"/>
    <cellStyle name="Normal 2 3 2 4 2 3 2 2 7" xfId="33443"/>
    <cellStyle name="Normal 2 3 2 4 2 3 2 3" xfId="8930"/>
    <cellStyle name="Normal 2 3 2 4 2 3 2 3 2" xfId="15982"/>
    <cellStyle name="Normal 2 3 2 4 2 3 2 3 3" xfId="22949"/>
    <cellStyle name="Normal 2 3 2 4 2 3 2 3 4" xfId="29916"/>
    <cellStyle name="Normal 2 3 2 4 2 3 2 3 5" xfId="36885"/>
    <cellStyle name="Normal 2 3 2 4 2 3 2 4" xfId="13660"/>
    <cellStyle name="Normal 2 3 2 4 2 3 2 4 2" xfId="20627"/>
    <cellStyle name="Normal 2 3 2 4 2 3 2 4 3" xfId="27594"/>
    <cellStyle name="Normal 2 3 2 4 2 3 2 4 4" xfId="34563"/>
    <cellStyle name="Normal 2 3 2 4 2 3 2 5" xfId="11338"/>
    <cellStyle name="Normal 2 3 2 4 2 3 2 6" xfId="18305"/>
    <cellStyle name="Normal 2 3 2 4 2 3 2 7" xfId="25272"/>
    <cellStyle name="Normal 2 3 2 4 2 3 2 8" xfId="32240"/>
    <cellStyle name="Normal 2 3 2 4 2 3 3" xfId="3498"/>
    <cellStyle name="Normal 2 3 2 4 2 3 3 2" xfId="5346"/>
    <cellStyle name="Normal 2 3 2 4 2 3 3 2 2" xfId="10186"/>
    <cellStyle name="Normal 2 3 2 4 2 3 3 2 2 2" xfId="17184"/>
    <cellStyle name="Normal 2 3 2 4 2 3 3 2 2 3" xfId="24151"/>
    <cellStyle name="Normal 2 3 2 4 2 3 3 2 2 4" xfId="31118"/>
    <cellStyle name="Normal 2 3 2 4 2 3 3 2 2 5" xfId="38087"/>
    <cellStyle name="Normal 2 3 2 4 2 3 3 2 3" xfId="14864"/>
    <cellStyle name="Normal 2 3 2 4 2 3 3 2 3 2" xfId="21831"/>
    <cellStyle name="Normal 2 3 2 4 2 3 3 2 3 3" xfId="28798"/>
    <cellStyle name="Normal 2 3 2 4 2 3 3 2 3 4" xfId="35767"/>
    <cellStyle name="Normal 2 3 2 4 2 3 3 2 4" xfId="12542"/>
    <cellStyle name="Normal 2 3 2 4 2 3 3 2 5" xfId="19509"/>
    <cellStyle name="Normal 2 3 2 4 2 3 3 2 6" xfId="26476"/>
    <cellStyle name="Normal 2 3 2 4 2 3 3 2 7" xfId="33444"/>
    <cellStyle name="Normal 2 3 2 4 2 3 3 3" xfId="9110"/>
    <cellStyle name="Normal 2 3 2 4 2 3 3 3 2" xfId="16149"/>
    <cellStyle name="Normal 2 3 2 4 2 3 3 3 3" xfId="23116"/>
    <cellStyle name="Normal 2 3 2 4 2 3 3 3 4" xfId="30083"/>
    <cellStyle name="Normal 2 3 2 4 2 3 3 3 5" xfId="37052"/>
    <cellStyle name="Normal 2 3 2 4 2 3 3 4" xfId="13829"/>
    <cellStyle name="Normal 2 3 2 4 2 3 3 4 2" xfId="20796"/>
    <cellStyle name="Normal 2 3 2 4 2 3 3 4 3" xfId="27763"/>
    <cellStyle name="Normal 2 3 2 4 2 3 3 4 4" xfId="34732"/>
    <cellStyle name="Normal 2 3 2 4 2 3 3 5" xfId="11507"/>
    <cellStyle name="Normal 2 3 2 4 2 3 3 6" xfId="18474"/>
    <cellStyle name="Normal 2 3 2 4 2 3 3 7" xfId="25441"/>
    <cellStyle name="Normal 2 3 2 4 2 3 3 8" xfId="32409"/>
    <cellStyle name="Normal 2 3 2 4 2 3 4" xfId="3673"/>
    <cellStyle name="Normal 2 3 2 4 2 3 4 2" xfId="5347"/>
    <cellStyle name="Normal 2 3 2 4 2 3 4 2 2" xfId="10187"/>
    <cellStyle name="Normal 2 3 2 4 2 3 4 2 2 2" xfId="17185"/>
    <cellStyle name="Normal 2 3 2 4 2 3 4 2 2 3" xfId="24152"/>
    <cellStyle name="Normal 2 3 2 4 2 3 4 2 2 4" xfId="31119"/>
    <cellStyle name="Normal 2 3 2 4 2 3 4 2 2 5" xfId="38088"/>
    <cellStyle name="Normal 2 3 2 4 2 3 4 2 3" xfId="14865"/>
    <cellStyle name="Normal 2 3 2 4 2 3 4 2 3 2" xfId="21832"/>
    <cellStyle name="Normal 2 3 2 4 2 3 4 2 3 3" xfId="28799"/>
    <cellStyle name="Normal 2 3 2 4 2 3 4 2 3 4" xfId="35768"/>
    <cellStyle name="Normal 2 3 2 4 2 3 4 2 4" xfId="12543"/>
    <cellStyle name="Normal 2 3 2 4 2 3 4 2 5" xfId="19510"/>
    <cellStyle name="Normal 2 3 2 4 2 3 4 2 6" xfId="26477"/>
    <cellStyle name="Normal 2 3 2 4 2 3 4 2 7" xfId="33445"/>
    <cellStyle name="Normal 2 3 2 4 2 3 4 3" xfId="9281"/>
    <cellStyle name="Normal 2 3 2 4 2 3 4 3 2" xfId="16320"/>
    <cellStyle name="Normal 2 3 2 4 2 3 4 3 3" xfId="23287"/>
    <cellStyle name="Normal 2 3 2 4 2 3 4 3 4" xfId="30254"/>
    <cellStyle name="Normal 2 3 2 4 2 3 4 3 5" xfId="37223"/>
    <cellStyle name="Normal 2 3 2 4 2 3 4 4" xfId="14000"/>
    <cellStyle name="Normal 2 3 2 4 2 3 4 4 2" xfId="20967"/>
    <cellStyle name="Normal 2 3 2 4 2 3 4 4 3" xfId="27934"/>
    <cellStyle name="Normal 2 3 2 4 2 3 4 4 4" xfId="34903"/>
    <cellStyle name="Normal 2 3 2 4 2 3 4 5" xfId="11678"/>
    <cellStyle name="Normal 2 3 2 4 2 3 4 6" xfId="18645"/>
    <cellStyle name="Normal 2 3 2 4 2 3 4 7" xfId="25612"/>
    <cellStyle name="Normal 2 3 2 4 2 3 4 8" xfId="32580"/>
    <cellStyle name="Normal 2 3 2 4 2 3 5" xfId="3950"/>
    <cellStyle name="Normal 2 3 2 4 2 3 5 2" xfId="5348"/>
    <cellStyle name="Normal 2 3 2 4 2 3 5 2 2" xfId="10188"/>
    <cellStyle name="Normal 2 3 2 4 2 3 5 2 2 2" xfId="17186"/>
    <cellStyle name="Normal 2 3 2 4 2 3 5 2 2 3" xfId="24153"/>
    <cellStyle name="Normal 2 3 2 4 2 3 5 2 2 4" xfId="31120"/>
    <cellStyle name="Normal 2 3 2 4 2 3 5 2 2 5" xfId="38089"/>
    <cellStyle name="Normal 2 3 2 4 2 3 5 2 3" xfId="14866"/>
    <cellStyle name="Normal 2 3 2 4 2 3 5 2 3 2" xfId="21833"/>
    <cellStyle name="Normal 2 3 2 4 2 3 5 2 3 3" xfId="28800"/>
    <cellStyle name="Normal 2 3 2 4 2 3 5 2 3 4" xfId="35769"/>
    <cellStyle name="Normal 2 3 2 4 2 3 5 2 4" xfId="12544"/>
    <cellStyle name="Normal 2 3 2 4 2 3 5 2 5" xfId="19511"/>
    <cellStyle name="Normal 2 3 2 4 2 3 5 2 6" xfId="26478"/>
    <cellStyle name="Normal 2 3 2 4 2 3 5 2 7" xfId="33446"/>
    <cellStyle name="Normal 2 3 2 4 2 3 5 3" xfId="9556"/>
    <cellStyle name="Normal 2 3 2 4 2 3 5 3 2" xfId="16592"/>
    <cellStyle name="Normal 2 3 2 4 2 3 5 3 3" xfId="23559"/>
    <cellStyle name="Normal 2 3 2 4 2 3 5 3 4" xfId="30526"/>
    <cellStyle name="Normal 2 3 2 4 2 3 5 3 5" xfId="37495"/>
    <cellStyle name="Normal 2 3 2 4 2 3 5 4" xfId="14272"/>
    <cellStyle name="Normal 2 3 2 4 2 3 5 4 2" xfId="21239"/>
    <cellStyle name="Normal 2 3 2 4 2 3 5 4 3" xfId="28206"/>
    <cellStyle name="Normal 2 3 2 4 2 3 5 4 4" xfId="35175"/>
    <cellStyle name="Normal 2 3 2 4 2 3 5 5" xfId="11950"/>
    <cellStyle name="Normal 2 3 2 4 2 3 5 6" xfId="18917"/>
    <cellStyle name="Normal 2 3 2 4 2 3 5 7" xfId="25884"/>
    <cellStyle name="Normal 2 3 2 4 2 3 5 8" xfId="32852"/>
    <cellStyle name="Normal 2 3 2 4 2 3 6" xfId="5344"/>
    <cellStyle name="Normal 2 3 2 4 2 3 6 2" xfId="10184"/>
    <cellStyle name="Normal 2 3 2 4 2 3 6 2 2" xfId="17182"/>
    <cellStyle name="Normal 2 3 2 4 2 3 6 2 3" xfId="24149"/>
    <cellStyle name="Normal 2 3 2 4 2 3 6 2 4" xfId="31116"/>
    <cellStyle name="Normal 2 3 2 4 2 3 6 2 5" xfId="38085"/>
    <cellStyle name="Normal 2 3 2 4 2 3 6 3" xfId="14862"/>
    <cellStyle name="Normal 2 3 2 4 2 3 6 3 2" xfId="21829"/>
    <cellStyle name="Normal 2 3 2 4 2 3 6 3 3" xfId="28796"/>
    <cellStyle name="Normal 2 3 2 4 2 3 6 3 4" xfId="35765"/>
    <cellStyle name="Normal 2 3 2 4 2 3 6 4" xfId="12540"/>
    <cellStyle name="Normal 2 3 2 4 2 3 6 5" xfId="19507"/>
    <cellStyle name="Normal 2 3 2 4 2 3 6 6" xfId="26474"/>
    <cellStyle name="Normal 2 3 2 4 2 3 6 7" xfId="33442"/>
    <cellStyle name="Normal 2 3 2 4 2 3 7" xfId="6845"/>
    <cellStyle name="Normal 2 3 2 4 2 3 7 2" xfId="10814"/>
    <cellStyle name="Normal 2 3 2 4 2 3 7 2 2" xfId="17788"/>
    <cellStyle name="Normal 2 3 2 4 2 3 7 2 3" xfId="24755"/>
    <cellStyle name="Normal 2 3 2 4 2 3 7 2 4" xfId="31722"/>
    <cellStyle name="Normal 2 3 2 4 2 3 7 2 5" xfId="38691"/>
    <cellStyle name="Normal 2 3 2 4 2 3 7 3" xfId="15468"/>
    <cellStyle name="Normal 2 3 2 4 2 3 7 3 2" xfId="22435"/>
    <cellStyle name="Normal 2 3 2 4 2 3 7 3 3" xfId="29402"/>
    <cellStyle name="Normal 2 3 2 4 2 3 7 3 4" xfId="36371"/>
    <cellStyle name="Normal 2 3 2 4 2 3 7 4" xfId="13146"/>
    <cellStyle name="Normal 2 3 2 4 2 3 7 5" xfId="20113"/>
    <cellStyle name="Normal 2 3 2 4 2 3 7 6" xfId="27080"/>
    <cellStyle name="Normal 2 3 2 4 2 3 7 7" xfId="34049"/>
    <cellStyle name="Normal 2 3 2 4 2 3 8" xfId="7157"/>
    <cellStyle name="Normal 2 3 2 4 2 3 8 2" xfId="15641"/>
    <cellStyle name="Normal 2 3 2 4 2 3 8 2 2" xfId="22608"/>
    <cellStyle name="Normal 2 3 2 4 2 3 8 2 3" xfId="29575"/>
    <cellStyle name="Normal 2 3 2 4 2 3 8 2 4" xfId="36544"/>
    <cellStyle name="Normal 2 3 2 4 2 3 8 3" xfId="13319"/>
    <cellStyle name="Normal 2 3 2 4 2 3 8 4" xfId="20286"/>
    <cellStyle name="Normal 2 3 2 4 2 3 8 5" xfId="27253"/>
    <cellStyle name="Normal 2 3 2 4 2 3 8 6" xfId="34222"/>
    <cellStyle name="Normal 2 3 2 4 2 3 9" xfId="8047"/>
    <cellStyle name="Normal 2 3 2 4 2 3 9 2" xfId="15813"/>
    <cellStyle name="Normal 2 3 2 4 2 3 9 2 2" xfId="22780"/>
    <cellStyle name="Normal 2 3 2 4 2 3 9 2 3" xfId="29747"/>
    <cellStyle name="Normal 2 3 2 4 2 3 9 2 4" xfId="36716"/>
    <cellStyle name="Normal 2 3 2 4 2 3 9 3" xfId="11169"/>
    <cellStyle name="Normal 2 3 2 4 2 3 9 4" xfId="18136"/>
    <cellStyle name="Normal 2 3 2 4 2 3 9 5" xfId="25103"/>
    <cellStyle name="Normal 2 3 2 4 2 3 9 6" xfId="32071"/>
    <cellStyle name="Normal 2 3 2 4 2 4" xfId="5342"/>
    <cellStyle name="Normal 2 3 2 4 2 5" xfId="8045"/>
    <cellStyle name="Normal 2 3 2 4 3" xfId="1686"/>
    <cellStyle name="Normal 2 3 2 4 3 10" xfId="13492"/>
    <cellStyle name="Normal 2 3 2 4 3 10 2" xfId="20459"/>
    <cellStyle name="Normal 2 3 2 4 3 10 3" xfId="27426"/>
    <cellStyle name="Normal 2 3 2 4 3 10 4" xfId="34395"/>
    <cellStyle name="Normal 2 3 2 4 3 11" xfId="10998"/>
    <cellStyle name="Normal 2 3 2 4 3 12" xfId="17964"/>
    <cellStyle name="Normal 2 3 2 4 3 13" xfId="24932"/>
    <cellStyle name="Normal 2 3 2 4 3 14" xfId="31900"/>
    <cellStyle name="Normal 2 3 2 4 3 2" xfId="3297"/>
    <cellStyle name="Normal 2 3 2 4 3 2 2" xfId="5350"/>
    <cellStyle name="Normal 2 3 2 4 3 2 2 2" xfId="10190"/>
    <cellStyle name="Normal 2 3 2 4 3 2 2 2 2" xfId="17188"/>
    <cellStyle name="Normal 2 3 2 4 3 2 2 2 3" xfId="24155"/>
    <cellStyle name="Normal 2 3 2 4 3 2 2 2 4" xfId="31122"/>
    <cellStyle name="Normal 2 3 2 4 3 2 2 2 5" xfId="38091"/>
    <cellStyle name="Normal 2 3 2 4 3 2 2 3" xfId="14868"/>
    <cellStyle name="Normal 2 3 2 4 3 2 2 3 2" xfId="21835"/>
    <cellStyle name="Normal 2 3 2 4 3 2 2 3 3" xfId="28802"/>
    <cellStyle name="Normal 2 3 2 4 3 2 2 3 4" xfId="35771"/>
    <cellStyle name="Normal 2 3 2 4 3 2 2 4" xfId="12546"/>
    <cellStyle name="Normal 2 3 2 4 3 2 2 5" xfId="19513"/>
    <cellStyle name="Normal 2 3 2 4 3 2 2 6" xfId="26480"/>
    <cellStyle name="Normal 2 3 2 4 3 2 2 7" xfId="33448"/>
    <cellStyle name="Normal 2 3 2 4 3 2 3" xfId="8931"/>
    <cellStyle name="Normal 2 3 2 4 3 2 3 2" xfId="15983"/>
    <cellStyle name="Normal 2 3 2 4 3 2 3 3" xfId="22950"/>
    <cellStyle name="Normal 2 3 2 4 3 2 3 4" xfId="29917"/>
    <cellStyle name="Normal 2 3 2 4 3 2 3 5" xfId="36886"/>
    <cellStyle name="Normal 2 3 2 4 3 2 4" xfId="13661"/>
    <cellStyle name="Normal 2 3 2 4 3 2 4 2" xfId="20628"/>
    <cellStyle name="Normal 2 3 2 4 3 2 4 3" xfId="27595"/>
    <cellStyle name="Normal 2 3 2 4 3 2 4 4" xfId="34564"/>
    <cellStyle name="Normal 2 3 2 4 3 2 5" xfId="11339"/>
    <cellStyle name="Normal 2 3 2 4 3 2 6" xfId="18306"/>
    <cellStyle name="Normal 2 3 2 4 3 2 7" xfId="25273"/>
    <cellStyle name="Normal 2 3 2 4 3 2 8" xfId="32241"/>
    <cellStyle name="Normal 2 3 2 4 3 3" xfId="3499"/>
    <cellStyle name="Normal 2 3 2 4 3 3 2" xfId="5351"/>
    <cellStyle name="Normal 2 3 2 4 3 3 2 2" xfId="10191"/>
    <cellStyle name="Normal 2 3 2 4 3 3 2 2 2" xfId="17189"/>
    <cellStyle name="Normal 2 3 2 4 3 3 2 2 3" xfId="24156"/>
    <cellStyle name="Normal 2 3 2 4 3 3 2 2 4" xfId="31123"/>
    <cellStyle name="Normal 2 3 2 4 3 3 2 2 5" xfId="38092"/>
    <cellStyle name="Normal 2 3 2 4 3 3 2 3" xfId="14869"/>
    <cellStyle name="Normal 2 3 2 4 3 3 2 3 2" xfId="21836"/>
    <cellStyle name="Normal 2 3 2 4 3 3 2 3 3" xfId="28803"/>
    <cellStyle name="Normal 2 3 2 4 3 3 2 3 4" xfId="35772"/>
    <cellStyle name="Normal 2 3 2 4 3 3 2 4" xfId="12547"/>
    <cellStyle name="Normal 2 3 2 4 3 3 2 5" xfId="19514"/>
    <cellStyle name="Normal 2 3 2 4 3 3 2 6" xfId="26481"/>
    <cellStyle name="Normal 2 3 2 4 3 3 2 7" xfId="33449"/>
    <cellStyle name="Normal 2 3 2 4 3 3 3" xfId="9111"/>
    <cellStyle name="Normal 2 3 2 4 3 3 3 2" xfId="16150"/>
    <cellStyle name="Normal 2 3 2 4 3 3 3 3" xfId="23117"/>
    <cellStyle name="Normal 2 3 2 4 3 3 3 4" xfId="30084"/>
    <cellStyle name="Normal 2 3 2 4 3 3 3 5" xfId="37053"/>
    <cellStyle name="Normal 2 3 2 4 3 3 4" xfId="13830"/>
    <cellStyle name="Normal 2 3 2 4 3 3 4 2" xfId="20797"/>
    <cellStyle name="Normal 2 3 2 4 3 3 4 3" xfId="27764"/>
    <cellStyle name="Normal 2 3 2 4 3 3 4 4" xfId="34733"/>
    <cellStyle name="Normal 2 3 2 4 3 3 5" xfId="11508"/>
    <cellStyle name="Normal 2 3 2 4 3 3 6" xfId="18475"/>
    <cellStyle name="Normal 2 3 2 4 3 3 7" xfId="25442"/>
    <cellStyle name="Normal 2 3 2 4 3 3 8" xfId="32410"/>
    <cellStyle name="Normal 2 3 2 4 3 4" xfId="3674"/>
    <cellStyle name="Normal 2 3 2 4 3 4 2" xfId="5352"/>
    <cellStyle name="Normal 2 3 2 4 3 4 2 2" xfId="10192"/>
    <cellStyle name="Normal 2 3 2 4 3 4 2 2 2" xfId="17190"/>
    <cellStyle name="Normal 2 3 2 4 3 4 2 2 3" xfId="24157"/>
    <cellStyle name="Normal 2 3 2 4 3 4 2 2 4" xfId="31124"/>
    <cellStyle name="Normal 2 3 2 4 3 4 2 2 5" xfId="38093"/>
    <cellStyle name="Normal 2 3 2 4 3 4 2 3" xfId="14870"/>
    <cellStyle name="Normal 2 3 2 4 3 4 2 3 2" xfId="21837"/>
    <cellStyle name="Normal 2 3 2 4 3 4 2 3 3" xfId="28804"/>
    <cellStyle name="Normal 2 3 2 4 3 4 2 3 4" xfId="35773"/>
    <cellStyle name="Normal 2 3 2 4 3 4 2 4" xfId="12548"/>
    <cellStyle name="Normal 2 3 2 4 3 4 2 5" xfId="19515"/>
    <cellStyle name="Normal 2 3 2 4 3 4 2 6" xfId="26482"/>
    <cellStyle name="Normal 2 3 2 4 3 4 2 7" xfId="33450"/>
    <cellStyle name="Normal 2 3 2 4 3 4 3" xfId="9282"/>
    <cellStyle name="Normal 2 3 2 4 3 4 3 2" xfId="16321"/>
    <cellStyle name="Normal 2 3 2 4 3 4 3 3" xfId="23288"/>
    <cellStyle name="Normal 2 3 2 4 3 4 3 4" xfId="30255"/>
    <cellStyle name="Normal 2 3 2 4 3 4 3 5" xfId="37224"/>
    <cellStyle name="Normal 2 3 2 4 3 4 4" xfId="14001"/>
    <cellStyle name="Normal 2 3 2 4 3 4 4 2" xfId="20968"/>
    <cellStyle name="Normal 2 3 2 4 3 4 4 3" xfId="27935"/>
    <cellStyle name="Normal 2 3 2 4 3 4 4 4" xfId="34904"/>
    <cellStyle name="Normal 2 3 2 4 3 4 5" xfId="11679"/>
    <cellStyle name="Normal 2 3 2 4 3 4 6" xfId="18646"/>
    <cellStyle name="Normal 2 3 2 4 3 4 7" xfId="25613"/>
    <cellStyle name="Normal 2 3 2 4 3 4 8" xfId="32581"/>
    <cellStyle name="Normal 2 3 2 4 3 5" xfId="3951"/>
    <cellStyle name="Normal 2 3 2 4 3 5 2" xfId="5353"/>
    <cellStyle name="Normal 2 3 2 4 3 5 2 2" xfId="10193"/>
    <cellStyle name="Normal 2 3 2 4 3 5 2 2 2" xfId="17191"/>
    <cellStyle name="Normal 2 3 2 4 3 5 2 2 3" xfId="24158"/>
    <cellStyle name="Normal 2 3 2 4 3 5 2 2 4" xfId="31125"/>
    <cellStyle name="Normal 2 3 2 4 3 5 2 2 5" xfId="38094"/>
    <cellStyle name="Normal 2 3 2 4 3 5 2 3" xfId="14871"/>
    <cellStyle name="Normal 2 3 2 4 3 5 2 3 2" xfId="21838"/>
    <cellStyle name="Normal 2 3 2 4 3 5 2 3 3" xfId="28805"/>
    <cellStyle name="Normal 2 3 2 4 3 5 2 3 4" xfId="35774"/>
    <cellStyle name="Normal 2 3 2 4 3 5 2 4" xfId="12549"/>
    <cellStyle name="Normal 2 3 2 4 3 5 2 5" xfId="19516"/>
    <cellStyle name="Normal 2 3 2 4 3 5 2 6" xfId="26483"/>
    <cellStyle name="Normal 2 3 2 4 3 5 2 7" xfId="33451"/>
    <cellStyle name="Normal 2 3 2 4 3 5 3" xfId="9557"/>
    <cellStyle name="Normal 2 3 2 4 3 5 3 2" xfId="16593"/>
    <cellStyle name="Normal 2 3 2 4 3 5 3 3" xfId="23560"/>
    <cellStyle name="Normal 2 3 2 4 3 5 3 4" xfId="30527"/>
    <cellStyle name="Normal 2 3 2 4 3 5 3 5" xfId="37496"/>
    <cellStyle name="Normal 2 3 2 4 3 5 4" xfId="14273"/>
    <cellStyle name="Normal 2 3 2 4 3 5 4 2" xfId="21240"/>
    <cellStyle name="Normal 2 3 2 4 3 5 4 3" xfId="28207"/>
    <cellStyle name="Normal 2 3 2 4 3 5 4 4" xfId="35176"/>
    <cellStyle name="Normal 2 3 2 4 3 5 5" xfId="11951"/>
    <cellStyle name="Normal 2 3 2 4 3 5 6" xfId="18918"/>
    <cellStyle name="Normal 2 3 2 4 3 5 7" xfId="25885"/>
    <cellStyle name="Normal 2 3 2 4 3 5 8" xfId="32853"/>
    <cellStyle name="Normal 2 3 2 4 3 6" xfId="5349"/>
    <cellStyle name="Normal 2 3 2 4 3 6 2" xfId="10189"/>
    <cellStyle name="Normal 2 3 2 4 3 6 2 2" xfId="17187"/>
    <cellStyle name="Normal 2 3 2 4 3 6 2 3" xfId="24154"/>
    <cellStyle name="Normal 2 3 2 4 3 6 2 4" xfId="31121"/>
    <cellStyle name="Normal 2 3 2 4 3 6 2 5" xfId="38090"/>
    <cellStyle name="Normal 2 3 2 4 3 6 3" xfId="14867"/>
    <cellStyle name="Normal 2 3 2 4 3 6 3 2" xfId="21834"/>
    <cellStyle name="Normal 2 3 2 4 3 6 3 3" xfId="28801"/>
    <cellStyle name="Normal 2 3 2 4 3 6 3 4" xfId="35770"/>
    <cellStyle name="Normal 2 3 2 4 3 6 4" xfId="12545"/>
    <cellStyle name="Normal 2 3 2 4 3 6 5" xfId="19512"/>
    <cellStyle name="Normal 2 3 2 4 3 6 6" xfId="26479"/>
    <cellStyle name="Normal 2 3 2 4 3 6 7" xfId="33447"/>
    <cellStyle name="Normal 2 3 2 4 3 7" xfId="6846"/>
    <cellStyle name="Normal 2 3 2 4 3 7 2" xfId="10815"/>
    <cellStyle name="Normal 2 3 2 4 3 7 2 2" xfId="17789"/>
    <cellStyle name="Normal 2 3 2 4 3 7 2 3" xfId="24756"/>
    <cellStyle name="Normal 2 3 2 4 3 7 2 4" xfId="31723"/>
    <cellStyle name="Normal 2 3 2 4 3 7 2 5" xfId="38692"/>
    <cellStyle name="Normal 2 3 2 4 3 7 3" xfId="15469"/>
    <cellStyle name="Normal 2 3 2 4 3 7 3 2" xfId="22436"/>
    <cellStyle name="Normal 2 3 2 4 3 7 3 3" xfId="29403"/>
    <cellStyle name="Normal 2 3 2 4 3 7 3 4" xfId="36372"/>
    <cellStyle name="Normal 2 3 2 4 3 7 4" xfId="13147"/>
    <cellStyle name="Normal 2 3 2 4 3 7 5" xfId="20114"/>
    <cellStyle name="Normal 2 3 2 4 3 7 6" xfId="27081"/>
    <cellStyle name="Normal 2 3 2 4 3 7 7" xfId="34050"/>
    <cellStyle name="Normal 2 3 2 4 3 8" xfId="7158"/>
    <cellStyle name="Normal 2 3 2 4 3 8 2" xfId="15642"/>
    <cellStyle name="Normal 2 3 2 4 3 8 2 2" xfId="22609"/>
    <cellStyle name="Normal 2 3 2 4 3 8 2 3" xfId="29576"/>
    <cellStyle name="Normal 2 3 2 4 3 8 2 4" xfId="36545"/>
    <cellStyle name="Normal 2 3 2 4 3 8 3" xfId="13320"/>
    <cellStyle name="Normal 2 3 2 4 3 8 4" xfId="20287"/>
    <cellStyle name="Normal 2 3 2 4 3 8 5" xfId="27254"/>
    <cellStyle name="Normal 2 3 2 4 3 8 6" xfId="34223"/>
    <cellStyle name="Normal 2 3 2 4 3 9" xfId="8048"/>
    <cellStyle name="Normal 2 3 2 4 3 9 2" xfId="15814"/>
    <cellStyle name="Normal 2 3 2 4 3 9 2 2" xfId="22781"/>
    <cellStyle name="Normal 2 3 2 4 3 9 2 3" xfId="29748"/>
    <cellStyle name="Normal 2 3 2 4 3 9 2 4" xfId="36717"/>
    <cellStyle name="Normal 2 3 2 4 3 9 3" xfId="11170"/>
    <cellStyle name="Normal 2 3 2 4 3 9 4" xfId="18137"/>
    <cellStyle name="Normal 2 3 2 4 3 9 5" xfId="25104"/>
    <cellStyle name="Normal 2 3 2 4 3 9 6" xfId="32072"/>
    <cellStyle name="Normal 2 3 2 4 4" xfId="3810"/>
    <cellStyle name="Normal 2 3 2 4 4 2" xfId="5354"/>
    <cellStyle name="Normal 2 3 2 4 4 2 2" xfId="10194"/>
    <cellStyle name="Normal 2 3 2 4 4 2 2 2" xfId="17192"/>
    <cellStyle name="Normal 2 3 2 4 4 2 2 3" xfId="24159"/>
    <cellStyle name="Normal 2 3 2 4 4 2 2 4" xfId="31126"/>
    <cellStyle name="Normal 2 3 2 4 4 2 2 5" xfId="38095"/>
    <cellStyle name="Normal 2 3 2 4 4 2 3" xfId="14872"/>
    <cellStyle name="Normal 2 3 2 4 4 2 3 2" xfId="21839"/>
    <cellStyle name="Normal 2 3 2 4 4 2 3 3" xfId="28806"/>
    <cellStyle name="Normal 2 3 2 4 4 2 3 4" xfId="35775"/>
    <cellStyle name="Normal 2 3 2 4 4 2 4" xfId="12550"/>
    <cellStyle name="Normal 2 3 2 4 4 2 5" xfId="19517"/>
    <cellStyle name="Normal 2 3 2 4 4 2 6" xfId="26484"/>
    <cellStyle name="Normal 2 3 2 4 4 2 7" xfId="33452"/>
    <cellStyle name="Normal 2 3 2 4 4 3" xfId="9416"/>
    <cellStyle name="Normal 2 3 2 4 4 3 2" xfId="16454"/>
    <cellStyle name="Normal 2 3 2 4 4 3 3" xfId="23421"/>
    <cellStyle name="Normal 2 3 2 4 4 3 4" xfId="30388"/>
    <cellStyle name="Normal 2 3 2 4 4 3 5" xfId="37357"/>
    <cellStyle name="Normal 2 3 2 4 4 4" xfId="14134"/>
    <cellStyle name="Normal 2 3 2 4 4 4 2" xfId="21101"/>
    <cellStyle name="Normal 2 3 2 4 4 4 3" xfId="28068"/>
    <cellStyle name="Normal 2 3 2 4 4 4 4" xfId="35037"/>
    <cellStyle name="Normal 2 3 2 4 4 5" xfId="11812"/>
    <cellStyle name="Normal 2 3 2 4 4 6" xfId="18779"/>
    <cellStyle name="Normal 2 3 2 4 4 7" xfId="25746"/>
    <cellStyle name="Normal 2 3 2 4 4 8" xfId="32714"/>
    <cellStyle name="Normal 2 3 2 4 5" xfId="5341"/>
    <cellStyle name="Normal 2 3 2 4 6" xfId="8044"/>
    <cellStyle name="Normal 2 3 2 5" xfId="1687"/>
    <cellStyle name="Normal 2 3 2 5 2" xfId="3808"/>
    <cellStyle name="Normal 2 3 2 5 2 2" xfId="5356"/>
    <cellStyle name="Normal 2 3 2 5 2 2 2" xfId="10195"/>
    <cellStyle name="Normal 2 3 2 5 2 2 2 2" xfId="17193"/>
    <cellStyle name="Normal 2 3 2 5 2 2 2 3" xfId="24160"/>
    <cellStyle name="Normal 2 3 2 5 2 2 2 4" xfId="31127"/>
    <cellStyle name="Normal 2 3 2 5 2 2 2 5" xfId="38096"/>
    <cellStyle name="Normal 2 3 2 5 2 2 3" xfId="14873"/>
    <cellStyle name="Normal 2 3 2 5 2 2 3 2" xfId="21840"/>
    <cellStyle name="Normal 2 3 2 5 2 2 3 3" xfId="28807"/>
    <cellStyle name="Normal 2 3 2 5 2 2 3 4" xfId="35776"/>
    <cellStyle name="Normal 2 3 2 5 2 2 4" xfId="12551"/>
    <cellStyle name="Normal 2 3 2 5 2 2 5" xfId="19518"/>
    <cellStyle name="Normal 2 3 2 5 2 2 6" xfId="26485"/>
    <cellStyle name="Normal 2 3 2 5 2 2 7" xfId="33453"/>
    <cellStyle name="Normal 2 3 2 5 2 3" xfId="9414"/>
    <cellStyle name="Normal 2 3 2 5 2 3 2" xfId="16452"/>
    <cellStyle name="Normal 2 3 2 5 2 3 3" xfId="23419"/>
    <cellStyle name="Normal 2 3 2 5 2 3 4" xfId="30386"/>
    <cellStyle name="Normal 2 3 2 5 2 3 5" xfId="37355"/>
    <cellStyle name="Normal 2 3 2 5 2 4" xfId="14132"/>
    <cellStyle name="Normal 2 3 2 5 2 4 2" xfId="21099"/>
    <cellStyle name="Normal 2 3 2 5 2 4 3" xfId="28066"/>
    <cellStyle name="Normal 2 3 2 5 2 4 4" xfId="35035"/>
    <cellStyle name="Normal 2 3 2 5 2 5" xfId="11810"/>
    <cellStyle name="Normal 2 3 2 5 2 6" xfId="18777"/>
    <cellStyle name="Normal 2 3 2 5 2 7" xfId="25744"/>
    <cellStyle name="Normal 2 3 2 5 2 8" xfId="32712"/>
    <cellStyle name="Normal 2 3 2 5 3" xfId="3809"/>
    <cellStyle name="Normal 2 3 2 5 3 2" xfId="5357"/>
    <cellStyle name="Normal 2 3 2 5 3 2 2" xfId="10196"/>
    <cellStyle name="Normal 2 3 2 5 3 2 2 2" xfId="17194"/>
    <cellStyle name="Normal 2 3 2 5 3 2 2 3" xfId="24161"/>
    <cellStyle name="Normal 2 3 2 5 3 2 2 4" xfId="31128"/>
    <cellStyle name="Normal 2 3 2 5 3 2 2 5" xfId="38097"/>
    <cellStyle name="Normal 2 3 2 5 3 2 3" xfId="14874"/>
    <cellStyle name="Normal 2 3 2 5 3 2 3 2" xfId="21841"/>
    <cellStyle name="Normal 2 3 2 5 3 2 3 3" xfId="28808"/>
    <cellStyle name="Normal 2 3 2 5 3 2 3 4" xfId="35777"/>
    <cellStyle name="Normal 2 3 2 5 3 2 4" xfId="12552"/>
    <cellStyle name="Normal 2 3 2 5 3 2 5" xfId="19519"/>
    <cellStyle name="Normal 2 3 2 5 3 2 6" xfId="26486"/>
    <cellStyle name="Normal 2 3 2 5 3 2 7" xfId="33454"/>
    <cellStyle name="Normal 2 3 2 5 3 3" xfId="9415"/>
    <cellStyle name="Normal 2 3 2 5 3 3 2" xfId="16453"/>
    <cellStyle name="Normal 2 3 2 5 3 3 3" xfId="23420"/>
    <cellStyle name="Normal 2 3 2 5 3 3 4" xfId="30387"/>
    <cellStyle name="Normal 2 3 2 5 3 3 5" xfId="37356"/>
    <cellStyle name="Normal 2 3 2 5 3 4" xfId="14133"/>
    <cellStyle name="Normal 2 3 2 5 3 4 2" xfId="21100"/>
    <cellStyle name="Normal 2 3 2 5 3 4 3" xfId="28067"/>
    <cellStyle name="Normal 2 3 2 5 3 4 4" xfId="35036"/>
    <cellStyle name="Normal 2 3 2 5 3 5" xfId="11811"/>
    <cellStyle name="Normal 2 3 2 5 3 6" xfId="18778"/>
    <cellStyle name="Normal 2 3 2 5 3 7" xfId="25745"/>
    <cellStyle name="Normal 2 3 2 5 3 8" xfId="32713"/>
    <cellStyle name="Normal 2 3 2 5 4" xfId="5355"/>
    <cellStyle name="Normal 2 3 2 5 5" xfId="8049"/>
    <cellStyle name="Normal 2 3 2 6" xfId="1688"/>
    <cellStyle name="Normal 2 3 2 6 2" xfId="3807"/>
    <cellStyle name="Normal 2 3 2 6 2 2" xfId="5359"/>
    <cellStyle name="Normal 2 3 2 6 2 2 2" xfId="10197"/>
    <cellStyle name="Normal 2 3 2 6 2 2 2 2" xfId="17195"/>
    <cellStyle name="Normal 2 3 2 6 2 2 2 3" xfId="24162"/>
    <cellStyle name="Normal 2 3 2 6 2 2 2 4" xfId="31129"/>
    <cellStyle name="Normal 2 3 2 6 2 2 2 5" xfId="38098"/>
    <cellStyle name="Normal 2 3 2 6 2 2 3" xfId="14875"/>
    <cellStyle name="Normal 2 3 2 6 2 2 3 2" xfId="21842"/>
    <cellStyle name="Normal 2 3 2 6 2 2 3 3" xfId="28809"/>
    <cellStyle name="Normal 2 3 2 6 2 2 3 4" xfId="35778"/>
    <cellStyle name="Normal 2 3 2 6 2 2 4" xfId="12553"/>
    <cellStyle name="Normal 2 3 2 6 2 2 5" xfId="19520"/>
    <cellStyle name="Normal 2 3 2 6 2 2 6" xfId="26487"/>
    <cellStyle name="Normal 2 3 2 6 2 2 7" xfId="33455"/>
    <cellStyle name="Normal 2 3 2 6 2 3" xfId="9413"/>
    <cellStyle name="Normal 2 3 2 6 2 3 2" xfId="16451"/>
    <cellStyle name="Normal 2 3 2 6 2 3 3" xfId="23418"/>
    <cellStyle name="Normal 2 3 2 6 2 3 4" xfId="30385"/>
    <cellStyle name="Normal 2 3 2 6 2 3 5" xfId="37354"/>
    <cellStyle name="Normal 2 3 2 6 2 4" xfId="14131"/>
    <cellStyle name="Normal 2 3 2 6 2 4 2" xfId="21098"/>
    <cellStyle name="Normal 2 3 2 6 2 4 3" xfId="28065"/>
    <cellStyle name="Normal 2 3 2 6 2 4 4" xfId="35034"/>
    <cellStyle name="Normal 2 3 2 6 2 5" xfId="11809"/>
    <cellStyle name="Normal 2 3 2 6 2 6" xfId="18776"/>
    <cellStyle name="Normal 2 3 2 6 2 7" xfId="25743"/>
    <cellStyle name="Normal 2 3 2 6 2 8" xfId="32711"/>
    <cellStyle name="Normal 2 3 2 6 3" xfId="5358"/>
    <cellStyle name="Normal 2 3 2 6 4" xfId="8050"/>
    <cellStyle name="Normal 2 3 2 7" xfId="1689"/>
    <cellStyle name="Normal 2 3 2 7 10" xfId="13493"/>
    <cellStyle name="Normal 2 3 2 7 10 2" xfId="20460"/>
    <cellStyle name="Normal 2 3 2 7 10 3" xfId="27427"/>
    <cellStyle name="Normal 2 3 2 7 10 4" xfId="34396"/>
    <cellStyle name="Normal 2 3 2 7 11" xfId="10999"/>
    <cellStyle name="Normal 2 3 2 7 12" xfId="17965"/>
    <cellStyle name="Normal 2 3 2 7 13" xfId="24933"/>
    <cellStyle name="Normal 2 3 2 7 14" xfId="31901"/>
    <cellStyle name="Normal 2 3 2 7 2" xfId="3298"/>
    <cellStyle name="Normal 2 3 2 7 2 2" xfId="5361"/>
    <cellStyle name="Normal 2 3 2 7 2 2 2" xfId="10199"/>
    <cellStyle name="Normal 2 3 2 7 2 2 2 2" xfId="17197"/>
    <cellStyle name="Normal 2 3 2 7 2 2 2 3" xfId="24164"/>
    <cellStyle name="Normal 2 3 2 7 2 2 2 4" xfId="31131"/>
    <cellStyle name="Normal 2 3 2 7 2 2 2 5" xfId="38100"/>
    <cellStyle name="Normal 2 3 2 7 2 2 3" xfId="14877"/>
    <cellStyle name="Normal 2 3 2 7 2 2 3 2" xfId="21844"/>
    <cellStyle name="Normal 2 3 2 7 2 2 3 3" xfId="28811"/>
    <cellStyle name="Normal 2 3 2 7 2 2 3 4" xfId="35780"/>
    <cellStyle name="Normal 2 3 2 7 2 2 4" xfId="12555"/>
    <cellStyle name="Normal 2 3 2 7 2 2 5" xfId="19522"/>
    <cellStyle name="Normal 2 3 2 7 2 2 6" xfId="26489"/>
    <cellStyle name="Normal 2 3 2 7 2 2 7" xfId="33457"/>
    <cellStyle name="Normal 2 3 2 7 2 3" xfId="8932"/>
    <cellStyle name="Normal 2 3 2 7 2 3 2" xfId="15984"/>
    <cellStyle name="Normal 2 3 2 7 2 3 3" xfId="22951"/>
    <cellStyle name="Normal 2 3 2 7 2 3 4" xfId="29918"/>
    <cellStyle name="Normal 2 3 2 7 2 3 5" xfId="36887"/>
    <cellStyle name="Normal 2 3 2 7 2 4" xfId="13662"/>
    <cellStyle name="Normal 2 3 2 7 2 4 2" xfId="20629"/>
    <cellStyle name="Normal 2 3 2 7 2 4 3" xfId="27596"/>
    <cellStyle name="Normal 2 3 2 7 2 4 4" xfId="34565"/>
    <cellStyle name="Normal 2 3 2 7 2 5" xfId="11340"/>
    <cellStyle name="Normal 2 3 2 7 2 6" xfId="18307"/>
    <cellStyle name="Normal 2 3 2 7 2 7" xfId="25274"/>
    <cellStyle name="Normal 2 3 2 7 2 8" xfId="32242"/>
    <cellStyle name="Normal 2 3 2 7 3" xfId="3500"/>
    <cellStyle name="Normal 2 3 2 7 3 2" xfId="5362"/>
    <cellStyle name="Normal 2 3 2 7 3 2 2" xfId="10200"/>
    <cellStyle name="Normal 2 3 2 7 3 2 2 2" xfId="17198"/>
    <cellStyle name="Normal 2 3 2 7 3 2 2 3" xfId="24165"/>
    <cellStyle name="Normal 2 3 2 7 3 2 2 4" xfId="31132"/>
    <cellStyle name="Normal 2 3 2 7 3 2 2 5" xfId="38101"/>
    <cellStyle name="Normal 2 3 2 7 3 2 3" xfId="14878"/>
    <cellStyle name="Normal 2 3 2 7 3 2 3 2" xfId="21845"/>
    <cellStyle name="Normal 2 3 2 7 3 2 3 3" xfId="28812"/>
    <cellStyle name="Normal 2 3 2 7 3 2 3 4" xfId="35781"/>
    <cellStyle name="Normal 2 3 2 7 3 2 4" xfId="12556"/>
    <cellStyle name="Normal 2 3 2 7 3 2 5" xfId="19523"/>
    <cellStyle name="Normal 2 3 2 7 3 2 6" xfId="26490"/>
    <cellStyle name="Normal 2 3 2 7 3 2 7" xfId="33458"/>
    <cellStyle name="Normal 2 3 2 7 3 3" xfId="9112"/>
    <cellStyle name="Normal 2 3 2 7 3 3 2" xfId="16151"/>
    <cellStyle name="Normal 2 3 2 7 3 3 3" xfId="23118"/>
    <cellStyle name="Normal 2 3 2 7 3 3 4" xfId="30085"/>
    <cellStyle name="Normal 2 3 2 7 3 3 5" xfId="37054"/>
    <cellStyle name="Normal 2 3 2 7 3 4" xfId="13831"/>
    <cellStyle name="Normal 2 3 2 7 3 4 2" xfId="20798"/>
    <cellStyle name="Normal 2 3 2 7 3 4 3" xfId="27765"/>
    <cellStyle name="Normal 2 3 2 7 3 4 4" xfId="34734"/>
    <cellStyle name="Normal 2 3 2 7 3 5" xfId="11509"/>
    <cellStyle name="Normal 2 3 2 7 3 6" xfId="18476"/>
    <cellStyle name="Normal 2 3 2 7 3 7" xfId="25443"/>
    <cellStyle name="Normal 2 3 2 7 3 8" xfId="32411"/>
    <cellStyle name="Normal 2 3 2 7 4" xfId="3675"/>
    <cellStyle name="Normal 2 3 2 7 4 2" xfId="5363"/>
    <cellStyle name="Normal 2 3 2 7 4 2 2" xfId="10201"/>
    <cellStyle name="Normal 2 3 2 7 4 2 2 2" xfId="17199"/>
    <cellStyle name="Normal 2 3 2 7 4 2 2 3" xfId="24166"/>
    <cellStyle name="Normal 2 3 2 7 4 2 2 4" xfId="31133"/>
    <cellStyle name="Normal 2 3 2 7 4 2 2 5" xfId="38102"/>
    <cellStyle name="Normal 2 3 2 7 4 2 3" xfId="14879"/>
    <cellStyle name="Normal 2 3 2 7 4 2 3 2" xfId="21846"/>
    <cellStyle name="Normal 2 3 2 7 4 2 3 3" xfId="28813"/>
    <cellStyle name="Normal 2 3 2 7 4 2 3 4" xfId="35782"/>
    <cellStyle name="Normal 2 3 2 7 4 2 4" xfId="12557"/>
    <cellStyle name="Normal 2 3 2 7 4 2 5" xfId="19524"/>
    <cellStyle name="Normal 2 3 2 7 4 2 6" xfId="26491"/>
    <cellStyle name="Normal 2 3 2 7 4 2 7" xfId="33459"/>
    <cellStyle name="Normal 2 3 2 7 4 3" xfId="9283"/>
    <cellStyle name="Normal 2 3 2 7 4 3 2" xfId="16322"/>
    <cellStyle name="Normal 2 3 2 7 4 3 3" xfId="23289"/>
    <cellStyle name="Normal 2 3 2 7 4 3 4" xfId="30256"/>
    <cellStyle name="Normal 2 3 2 7 4 3 5" xfId="37225"/>
    <cellStyle name="Normal 2 3 2 7 4 4" xfId="14002"/>
    <cellStyle name="Normal 2 3 2 7 4 4 2" xfId="20969"/>
    <cellStyle name="Normal 2 3 2 7 4 4 3" xfId="27936"/>
    <cellStyle name="Normal 2 3 2 7 4 4 4" xfId="34905"/>
    <cellStyle name="Normal 2 3 2 7 4 5" xfId="11680"/>
    <cellStyle name="Normal 2 3 2 7 4 6" xfId="18647"/>
    <cellStyle name="Normal 2 3 2 7 4 7" xfId="25614"/>
    <cellStyle name="Normal 2 3 2 7 4 8" xfId="32582"/>
    <cellStyle name="Normal 2 3 2 7 5" xfId="3952"/>
    <cellStyle name="Normal 2 3 2 7 5 2" xfId="5364"/>
    <cellStyle name="Normal 2 3 2 7 5 2 2" xfId="10202"/>
    <cellStyle name="Normal 2 3 2 7 5 2 2 2" xfId="17200"/>
    <cellStyle name="Normal 2 3 2 7 5 2 2 3" xfId="24167"/>
    <cellStyle name="Normal 2 3 2 7 5 2 2 4" xfId="31134"/>
    <cellStyle name="Normal 2 3 2 7 5 2 2 5" xfId="38103"/>
    <cellStyle name="Normal 2 3 2 7 5 2 3" xfId="14880"/>
    <cellStyle name="Normal 2 3 2 7 5 2 3 2" xfId="21847"/>
    <cellStyle name="Normal 2 3 2 7 5 2 3 3" xfId="28814"/>
    <cellStyle name="Normal 2 3 2 7 5 2 3 4" xfId="35783"/>
    <cellStyle name="Normal 2 3 2 7 5 2 4" xfId="12558"/>
    <cellStyle name="Normal 2 3 2 7 5 2 5" xfId="19525"/>
    <cellStyle name="Normal 2 3 2 7 5 2 6" xfId="26492"/>
    <cellStyle name="Normal 2 3 2 7 5 2 7" xfId="33460"/>
    <cellStyle name="Normal 2 3 2 7 5 3" xfId="9558"/>
    <cellStyle name="Normal 2 3 2 7 5 3 2" xfId="16594"/>
    <cellStyle name="Normal 2 3 2 7 5 3 3" xfId="23561"/>
    <cellStyle name="Normal 2 3 2 7 5 3 4" xfId="30528"/>
    <cellStyle name="Normal 2 3 2 7 5 3 5" xfId="37497"/>
    <cellStyle name="Normal 2 3 2 7 5 4" xfId="14274"/>
    <cellStyle name="Normal 2 3 2 7 5 4 2" xfId="21241"/>
    <cellStyle name="Normal 2 3 2 7 5 4 3" xfId="28208"/>
    <cellStyle name="Normal 2 3 2 7 5 4 4" xfId="35177"/>
    <cellStyle name="Normal 2 3 2 7 5 5" xfId="11952"/>
    <cellStyle name="Normal 2 3 2 7 5 6" xfId="18919"/>
    <cellStyle name="Normal 2 3 2 7 5 7" xfId="25886"/>
    <cellStyle name="Normal 2 3 2 7 5 8" xfId="32854"/>
    <cellStyle name="Normal 2 3 2 7 6" xfId="5360"/>
    <cellStyle name="Normal 2 3 2 7 6 2" xfId="10198"/>
    <cellStyle name="Normal 2 3 2 7 6 2 2" xfId="17196"/>
    <cellStyle name="Normal 2 3 2 7 6 2 3" xfId="24163"/>
    <cellStyle name="Normal 2 3 2 7 6 2 4" xfId="31130"/>
    <cellStyle name="Normal 2 3 2 7 6 2 5" xfId="38099"/>
    <cellStyle name="Normal 2 3 2 7 6 3" xfId="14876"/>
    <cellStyle name="Normal 2 3 2 7 6 3 2" xfId="21843"/>
    <cellStyle name="Normal 2 3 2 7 6 3 3" xfId="28810"/>
    <cellStyle name="Normal 2 3 2 7 6 3 4" xfId="35779"/>
    <cellStyle name="Normal 2 3 2 7 6 4" xfId="12554"/>
    <cellStyle name="Normal 2 3 2 7 6 5" xfId="19521"/>
    <cellStyle name="Normal 2 3 2 7 6 6" xfId="26488"/>
    <cellStyle name="Normal 2 3 2 7 6 7" xfId="33456"/>
    <cellStyle name="Normal 2 3 2 7 7" xfId="6847"/>
    <cellStyle name="Normal 2 3 2 7 7 2" xfId="10816"/>
    <cellStyle name="Normal 2 3 2 7 7 2 2" xfId="17790"/>
    <cellStyle name="Normal 2 3 2 7 7 2 3" xfId="24757"/>
    <cellStyle name="Normal 2 3 2 7 7 2 4" xfId="31724"/>
    <cellStyle name="Normal 2 3 2 7 7 2 5" xfId="38693"/>
    <cellStyle name="Normal 2 3 2 7 7 3" xfId="15470"/>
    <cellStyle name="Normal 2 3 2 7 7 3 2" xfId="22437"/>
    <cellStyle name="Normal 2 3 2 7 7 3 3" xfId="29404"/>
    <cellStyle name="Normal 2 3 2 7 7 3 4" xfId="36373"/>
    <cellStyle name="Normal 2 3 2 7 7 4" xfId="13148"/>
    <cellStyle name="Normal 2 3 2 7 7 5" xfId="20115"/>
    <cellStyle name="Normal 2 3 2 7 7 6" xfId="27082"/>
    <cellStyle name="Normal 2 3 2 7 7 7" xfId="34051"/>
    <cellStyle name="Normal 2 3 2 7 8" xfId="7159"/>
    <cellStyle name="Normal 2 3 2 7 8 2" xfId="15643"/>
    <cellStyle name="Normal 2 3 2 7 8 2 2" xfId="22610"/>
    <cellStyle name="Normal 2 3 2 7 8 2 3" xfId="29577"/>
    <cellStyle name="Normal 2 3 2 7 8 2 4" xfId="36546"/>
    <cellStyle name="Normal 2 3 2 7 8 3" xfId="13321"/>
    <cellStyle name="Normal 2 3 2 7 8 4" xfId="20288"/>
    <cellStyle name="Normal 2 3 2 7 8 5" xfId="27255"/>
    <cellStyle name="Normal 2 3 2 7 8 6" xfId="34224"/>
    <cellStyle name="Normal 2 3 2 7 9" xfId="8051"/>
    <cellStyle name="Normal 2 3 2 7 9 2" xfId="15815"/>
    <cellStyle name="Normal 2 3 2 7 9 2 2" xfId="22782"/>
    <cellStyle name="Normal 2 3 2 7 9 2 3" xfId="29749"/>
    <cellStyle name="Normal 2 3 2 7 9 2 4" xfId="36718"/>
    <cellStyle name="Normal 2 3 2 7 9 3" xfId="11171"/>
    <cellStyle name="Normal 2 3 2 7 9 4" xfId="18138"/>
    <cellStyle name="Normal 2 3 2 7 9 5" xfId="25105"/>
    <cellStyle name="Normal 2 3 2 7 9 6" xfId="32073"/>
    <cellStyle name="Normal 2 3 2 8" xfId="1690"/>
    <cellStyle name="Normal 2 3 2 8 10" xfId="13494"/>
    <cellStyle name="Normal 2 3 2 8 10 2" xfId="20461"/>
    <cellStyle name="Normal 2 3 2 8 10 3" xfId="27428"/>
    <cellStyle name="Normal 2 3 2 8 10 4" xfId="34397"/>
    <cellStyle name="Normal 2 3 2 8 11" xfId="11000"/>
    <cellStyle name="Normal 2 3 2 8 12" xfId="17966"/>
    <cellStyle name="Normal 2 3 2 8 13" xfId="24934"/>
    <cellStyle name="Normal 2 3 2 8 14" xfId="31902"/>
    <cellStyle name="Normal 2 3 2 8 2" xfId="3299"/>
    <cellStyle name="Normal 2 3 2 8 2 2" xfId="5366"/>
    <cellStyle name="Normal 2 3 2 8 2 2 2" xfId="10204"/>
    <cellStyle name="Normal 2 3 2 8 2 2 2 2" xfId="17202"/>
    <cellStyle name="Normal 2 3 2 8 2 2 2 3" xfId="24169"/>
    <cellStyle name="Normal 2 3 2 8 2 2 2 4" xfId="31136"/>
    <cellStyle name="Normal 2 3 2 8 2 2 2 5" xfId="38105"/>
    <cellStyle name="Normal 2 3 2 8 2 2 3" xfId="14882"/>
    <cellStyle name="Normal 2 3 2 8 2 2 3 2" xfId="21849"/>
    <cellStyle name="Normal 2 3 2 8 2 2 3 3" xfId="28816"/>
    <cellStyle name="Normal 2 3 2 8 2 2 3 4" xfId="35785"/>
    <cellStyle name="Normal 2 3 2 8 2 2 4" xfId="12560"/>
    <cellStyle name="Normal 2 3 2 8 2 2 5" xfId="19527"/>
    <cellStyle name="Normal 2 3 2 8 2 2 6" xfId="26494"/>
    <cellStyle name="Normal 2 3 2 8 2 2 7" xfId="33462"/>
    <cellStyle name="Normal 2 3 2 8 2 3" xfId="8933"/>
    <cellStyle name="Normal 2 3 2 8 2 3 2" xfId="15985"/>
    <cellStyle name="Normal 2 3 2 8 2 3 3" xfId="22952"/>
    <cellStyle name="Normal 2 3 2 8 2 3 4" xfId="29919"/>
    <cellStyle name="Normal 2 3 2 8 2 3 5" xfId="36888"/>
    <cellStyle name="Normal 2 3 2 8 2 4" xfId="13663"/>
    <cellStyle name="Normal 2 3 2 8 2 4 2" xfId="20630"/>
    <cellStyle name="Normal 2 3 2 8 2 4 3" xfId="27597"/>
    <cellStyle name="Normal 2 3 2 8 2 4 4" xfId="34566"/>
    <cellStyle name="Normal 2 3 2 8 2 5" xfId="11341"/>
    <cellStyle name="Normal 2 3 2 8 2 6" xfId="18308"/>
    <cellStyle name="Normal 2 3 2 8 2 7" xfId="25275"/>
    <cellStyle name="Normal 2 3 2 8 2 8" xfId="32243"/>
    <cellStyle name="Normal 2 3 2 8 3" xfId="3501"/>
    <cellStyle name="Normal 2 3 2 8 3 2" xfId="5367"/>
    <cellStyle name="Normal 2 3 2 8 3 2 2" xfId="10205"/>
    <cellStyle name="Normal 2 3 2 8 3 2 2 2" xfId="17203"/>
    <cellStyle name="Normal 2 3 2 8 3 2 2 3" xfId="24170"/>
    <cellStyle name="Normal 2 3 2 8 3 2 2 4" xfId="31137"/>
    <cellStyle name="Normal 2 3 2 8 3 2 2 5" xfId="38106"/>
    <cellStyle name="Normal 2 3 2 8 3 2 3" xfId="14883"/>
    <cellStyle name="Normal 2 3 2 8 3 2 3 2" xfId="21850"/>
    <cellStyle name="Normal 2 3 2 8 3 2 3 3" xfId="28817"/>
    <cellStyle name="Normal 2 3 2 8 3 2 3 4" xfId="35786"/>
    <cellStyle name="Normal 2 3 2 8 3 2 4" xfId="12561"/>
    <cellStyle name="Normal 2 3 2 8 3 2 5" xfId="19528"/>
    <cellStyle name="Normal 2 3 2 8 3 2 6" xfId="26495"/>
    <cellStyle name="Normal 2 3 2 8 3 2 7" xfId="33463"/>
    <cellStyle name="Normal 2 3 2 8 3 3" xfId="9113"/>
    <cellStyle name="Normal 2 3 2 8 3 3 2" xfId="16152"/>
    <cellStyle name="Normal 2 3 2 8 3 3 3" xfId="23119"/>
    <cellStyle name="Normal 2 3 2 8 3 3 4" xfId="30086"/>
    <cellStyle name="Normal 2 3 2 8 3 3 5" xfId="37055"/>
    <cellStyle name="Normal 2 3 2 8 3 4" xfId="13832"/>
    <cellStyle name="Normal 2 3 2 8 3 4 2" xfId="20799"/>
    <cellStyle name="Normal 2 3 2 8 3 4 3" xfId="27766"/>
    <cellStyle name="Normal 2 3 2 8 3 4 4" xfId="34735"/>
    <cellStyle name="Normal 2 3 2 8 3 5" xfId="11510"/>
    <cellStyle name="Normal 2 3 2 8 3 6" xfId="18477"/>
    <cellStyle name="Normal 2 3 2 8 3 7" xfId="25444"/>
    <cellStyle name="Normal 2 3 2 8 3 8" xfId="32412"/>
    <cellStyle name="Normal 2 3 2 8 4" xfId="3676"/>
    <cellStyle name="Normal 2 3 2 8 4 2" xfId="5368"/>
    <cellStyle name="Normal 2 3 2 8 4 2 2" xfId="10206"/>
    <cellStyle name="Normal 2 3 2 8 4 2 2 2" xfId="17204"/>
    <cellStyle name="Normal 2 3 2 8 4 2 2 3" xfId="24171"/>
    <cellStyle name="Normal 2 3 2 8 4 2 2 4" xfId="31138"/>
    <cellStyle name="Normal 2 3 2 8 4 2 2 5" xfId="38107"/>
    <cellStyle name="Normal 2 3 2 8 4 2 3" xfId="14884"/>
    <cellStyle name="Normal 2 3 2 8 4 2 3 2" xfId="21851"/>
    <cellStyle name="Normal 2 3 2 8 4 2 3 3" xfId="28818"/>
    <cellStyle name="Normal 2 3 2 8 4 2 3 4" xfId="35787"/>
    <cellStyle name="Normal 2 3 2 8 4 2 4" xfId="12562"/>
    <cellStyle name="Normal 2 3 2 8 4 2 5" xfId="19529"/>
    <cellStyle name="Normal 2 3 2 8 4 2 6" xfId="26496"/>
    <cellStyle name="Normal 2 3 2 8 4 2 7" xfId="33464"/>
    <cellStyle name="Normal 2 3 2 8 4 3" xfId="9284"/>
    <cellStyle name="Normal 2 3 2 8 4 3 2" xfId="16323"/>
    <cellStyle name="Normal 2 3 2 8 4 3 3" xfId="23290"/>
    <cellStyle name="Normal 2 3 2 8 4 3 4" xfId="30257"/>
    <cellStyle name="Normal 2 3 2 8 4 3 5" xfId="37226"/>
    <cellStyle name="Normal 2 3 2 8 4 4" xfId="14003"/>
    <cellStyle name="Normal 2 3 2 8 4 4 2" xfId="20970"/>
    <cellStyle name="Normal 2 3 2 8 4 4 3" xfId="27937"/>
    <cellStyle name="Normal 2 3 2 8 4 4 4" xfId="34906"/>
    <cellStyle name="Normal 2 3 2 8 4 5" xfId="11681"/>
    <cellStyle name="Normal 2 3 2 8 4 6" xfId="18648"/>
    <cellStyle name="Normal 2 3 2 8 4 7" xfId="25615"/>
    <cellStyle name="Normal 2 3 2 8 4 8" xfId="32583"/>
    <cellStyle name="Normal 2 3 2 8 5" xfId="3953"/>
    <cellStyle name="Normal 2 3 2 8 5 2" xfId="5369"/>
    <cellStyle name="Normal 2 3 2 8 5 2 2" xfId="10207"/>
    <cellStyle name="Normal 2 3 2 8 5 2 2 2" xfId="17205"/>
    <cellStyle name="Normal 2 3 2 8 5 2 2 3" xfId="24172"/>
    <cellStyle name="Normal 2 3 2 8 5 2 2 4" xfId="31139"/>
    <cellStyle name="Normal 2 3 2 8 5 2 2 5" xfId="38108"/>
    <cellStyle name="Normal 2 3 2 8 5 2 3" xfId="14885"/>
    <cellStyle name="Normal 2 3 2 8 5 2 3 2" xfId="21852"/>
    <cellStyle name="Normal 2 3 2 8 5 2 3 3" xfId="28819"/>
    <cellStyle name="Normal 2 3 2 8 5 2 3 4" xfId="35788"/>
    <cellStyle name="Normal 2 3 2 8 5 2 4" xfId="12563"/>
    <cellStyle name="Normal 2 3 2 8 5 2 5" xfId="19530"/>
    <cellStyle name="Normal 2 3 2 8 5 2 6" xfId="26497"/>
    <cellStyle name="Normal 2 3 2 8 5 2 7" xfId="33465"/>
    <cellStyle name="Normal 2 3 2 8 5 3" xfId="9559"/>
    <cellStyle name="Normal 2 3 2 8 5 3 2" xfId="16595"/>
    <cellStyle name="Normal 2 3 2 8 5 3 3" xfId="23562"/>
    <cellStyle name="Normal 2 3 2 8 5 3 4" xfId="30529"/>
    <cellStyle name="Normal 2 3 2 8 5 3 5" xfId="37498"/>
    <cellStyle name="Normal 2 3 2 8 5 4" xfId="14275"/>
    <cellStyle name="Normal 2 3 2 8 5 4 2" xfId="21242"/>
    <cellStyle name="Normal 2 3 2 8 5 4 3" xfId="28209"/>
    <cellStyle name="Normal 2 3 2 8 5 4 4" xfId="35178"/>
    <cellStyle name="Normal 2 3 2 8 5 5" xfId="11953"/>
    <cellStyle name="Normal 2 3 2 8 5 6" xfId="18920"/>
    <cellStyle name="Normal 2 3 2 8 5 7" xfId="25887"/>
    <cellStyle name="Normal 2 3 2 8 5 8" xfId="32855"/>
    <cellStyle name="Normal 2 3 2 8 6" xfId="5365"/>
    <cellStyle name="Normal 2 3 2 8 6 2" xfId="10203"/>
    <cellStyle name="Normal 2 3 2 8 6 2 2" xfId="17201"/>
    <cellStyle name="Normal 2 3 2 8 6 2 3" xfId="24168"/>
    <cellStyle name="Normal 2 3 2 8 6 2 4" xfId="31135"/>
    <cellStyle name="Normal 2 3 2 8 6 2 5" xfId="38104"/>
    <cellStyle name="Normal 2 3 2 8 6 3" xfId="14881"/>
    <cellStyle name="Normal 2 3 2 8 6 3 2" xfId="21848"/>
    <cellStyle name="Normal 2 3 2 8 6 3 3" xfId="28815"/>
    <cellStyle name="Normal 2 3 2 8 6 3 4" xfId="35784"/>
    <cellStyle name="Normal 2 3 2 8 6 4" xfId="12559"/>
    <cellStyle name="Normal 2 3 2 8 6 5" xfId="19526"/>
    <cellStyle name="Normal 2 3 2 8 6 6" xfId="26493"/>
    <cellStyle name="Normal 2 3 2 8 6 7" xfId="33461"/>
    <cellStyle name="Normal 2 3 2 8 7" xfId="6848"/>
    <cellStyle name="Normal 2 3 2 8 7 2" xfId="10817"/>
    <cellStyle name="Normal 2 3 2 8 7 2 2" xfId="17791"/>
    <cellStyle name="Normal 2 3 2 8 7 2 3" xfId="24758"/>
    <cellStyle name="Normal 2 3 2 8 7 2 4" xfId="31725"/>
    <cellStyle name="Normal 2 3 2 8 7 2 5" xfId="38694"/>
    <cellStyle name="Normal 2 3 2 8 7 3" xfId="15471"/>
    <cellStyle name="Normal 2 3 2 8 7 3 2" xfId="22438"/>
    <cellStyle name="Normal 2 3 2 8 7 3 3" xfId="29405"/>
    <cellStyle name="Normal 2 3 2 8 7 3 4" xfId="36374"/>
    <cellStyle name="Normal 2 3 2 8 7 4" xfId="13149"/>
    <cellStyle name="Normal 2 3 2 8 7 5" xfId="20116"/>
    <cellStyle name="Normal 2 3 2 8 7 6" xfId="27083"/>
    <cellStyle name="Normal 2 3 2 8 7 7" xfId="34052"/>
    <cellStyle name="Normal 2 3 2 8 8" xfId="7160"/>
    <cellStyle name="Normal 2 3 2 8 8 2" xfId="15644"/>
    <cellStyle name="Normal 2 3 2 8 8 2 2" xfId="22611"/>
    <cellStyle name="Normal 2 3 2 8 8 2 3" xfId="29578"/>
    <cellStyle name="Normal 2 3 2 8 8 2 4" xfId="36547"/>
    <cellStyle name="Normal 2 3 2 8 8 3" xfId="13322"/>
    <cellStyle name="Normal 2 3 2 8 8 4" xfId="20289"/>
    <cellStyle name="Normal 2 3 2 8 8 5" xfId="27256"/>
    <cellStyle name="Normal 2 3 2 8 8 6" xfId="34225"/>
    <cellStyle name="Normal 2 3 2 8 9" xfId="8052"/>
    <cellStyle name="Normal 2 3 2 8 9 2" xfId="15816"/>
    <cellStyle name="Normal 2 3 2 8 9 2 2" xfId="22783"/>
    <cellStyle name="Normal 2 3 2 8 9 2 3" xfId="29750"/>
    <cellStyle name="Normal 2 3 2 8 9 2 4" xfId="36719"/>
    <cellStyle name="Normal 2 3 2 8 9 3" xfId="11172"/>
    <cellStyle name="Normal 2 3 2 8 9 4" xfId="18139"/>
    <cellStyle name="Normal 2 3 2 8 9 5" xfId="25106"/>
    <cellStyle name="Normal 2 3 2 8 9 6" xfId="32074"/>
    <cellStyle name="Normal 2 3 2 9" xfId="3821"/>
    <cellStyle name="Normal 2 3 2 9 2" xfId="5370"/>
    <cellStyle name="Normal 2 3 2 9 2 2" xfId="10208"/>
    <cellStyle name="Normal 2 3 2 9 2 2 2" xfId="17206"/>
    <cellStyle name="Normal 2 3 2 9 2 2 3" xfId="24173"/>
    <cellStyle name="Normal 2 3 2 9 2 2 4" xfId="31140"/>
    <cellStyle name="Normal 2 3 2 9 2 2 5" xfId="38109"/>
    <cellStyle name="Normal 2 3 2 9 2 3" xfId="14886"/>
    <cellStyle name="Normal 2 3 2 9 2 3 2" xfId="21853"/>
    <cellStyle name="Normal 2 3 2 9 2 3 3" xfId="28820"/>
    <cellStyle name="Normal 2 3 2 9 2 3 4" xfId="35789"/>
    <cellStyle name="Normal 2 3 2 9 2 4" xfId="12564"/>
    <cellStyle name="Normal 2 3 2 9 2 5" xfId="19531"/>
    <cellStyle name="Normal 2 3 2 9 2 6" xfId="26498"/>
    <cellStyle name="Normal 2 3 2 9 2 7" xfId="33466"/>
    <cellStyle name="Normal 2 3 2 9 3" xfId="9427"/>
    <cellStyle name="Normal 2 3 2 9 3 2" xfId="16465"/>
    <cellStyle name="Normal 2 3 2 9 3 3" xfId="23432"/>
    <cellStyle name="Normal 2 3 2 9 3 4" xfId="30399"/>
    <cellStyle name="Normal 2 3 2 9 3 5" xfId="37368"/>
    <cellStyle name="Normal 2 3 2 9 4" xfId="14145"/>
    <cellStyle name="Normal 2 3 2 9 4 2" xfId="21112"/>
    <cellStyle name="Normal 2 3 2 9 4 3" xfId="28079"/>
    <cellStyle name="Normal 2 3 2 9 4 4" xfId="35048"/>
    <cellStyle name="Normal 2 3 2 9 5" xfId="11823"/>
    <cellStyle name="Normal 2 3 2 9 6" xfId="18790"/>
    <cellStyle name="Normal 2 3 2 9 7" xfId="25757"/>
    <cellStyle name="Normal 2 3 2 9 8" xfId="32725"/>
    <cellStyle name="Normal 2 3 3" xfId="1691"/>
    <cellStyle name="Normal 2 3 3 10" xfId="3677"/>
    <cellStyle name="Normal 2 3 3 10 2" xfId="5372"/>
    <cellStyle name="Normal 2 3 3 10 2 2" xfId="10210"/>
    <cellStyle name="Normal 2 3 3 10 2 2 2" xfId="17208"/>
    <cellStyle name="Normal 2 3 3 10 2 2 3" xfId="24175"/>
    <cellStyle name="Normal 2 3 3 10 2 2 4" xfId="31142"/>
    <cellStyle name="Normal 2 3 3 10 2 2 5" xfId="38111"/>
    <cellStyle name="Normal 2 3 3 10 2 3" xfId="14888"/>
    <cellStyle name="Normal 2 3 3 10 2 3 2" xfId="21855"/>
    <cellStyle name="Normal 2 3 3 10 2 3 3" xfId="28822"/>
    <cellStyle name="Normal 2 3 3 10 2 3 4" xfId="35791"/>
    <cellStyle name="Normal 2 3 3 10 2 4" xfId="12566"/>
    <cellStyle name="Normal 2 3 3 10 2 5" xfId="19533"/>
    <cellStyle name="Normal 2 3 3 10 2 6" xfId="26500"/>
    <cellStyle name="Normal 2 3 3 10 2 7" xfId="33468"/>
    <cellStyle name="Normal 2 3 3 10 3" xfId="9285"/>
    <cellStyle name="Normal 2 3 3 10 3 2" xfId="16324"/>
    <cellStyle name="Normal 2 3 3 10 3 3" xfId="23291"/>
    <cellStyle name="Normal 2 3 3 10 3 4" xfId="30258"/>
    <cellStyle name="Normal 2 3 3 10 3 5" xfId="37227"/>
    <cellStyle name="Normal 2 3 3 10 4" xfId="14004"/>
    <cellStyle name="Normal 2 3 3 10 4 2" xfId="20971"/>
    <cellStyle name="Normal 2 3 3 10 4 3" xfId="27938"/>
    <cellStyle name="Normal 2 3 3 10 4 4" xfId="34907"/>
    <cellStyle name="Normal 2 3 3 10 5" xfId="11682"/>
    <cellStyle name="Normal 2 3 3 10 6" xfId="18649"/>
    <cellStyle name="Normal 2 3 3 10 7" xfId="25616"/>
    <cellStyle name="Normal 2 3 3 10 8" xfId="32584"/>
    <cellStyle name="Normal 2 3 3 11" xfId="3954"/>
    <cellStyle name="Normal 2 3 3 11 2" xfId="5373"/>
    <cellStyle name="Normal 2 3 3 11 2 2" xfId="10211"/>
    <cellStyle name="Normal 2 3 3 11 2 2 2" xfId="17209"/>
    <cellStyle name="Normal 2 3 3 11 2 2 3" xfId="24176"/>
    <cellStyle name="Normal 2 3 3 11 2 2 4" xfId="31143"/>
    <cellStyle name="Normal 2 3 3 11 2 2 5" xfId="38112"/>
    <cellStyle name="Normal 2 3 3 11 2 3" xfId="14889"/>
    <cellStyle name="Normal 2 3 3 11 2 3 2" xfId="21856"/>
    <cellStyle name="Normal 2 3 3 11 2 3 3" xfId="28823"/>
    <cellStyle name="Normal 2 3 3 11 2 3 4" xfId="35792"/>
    <cellStyle name="Normal 2 3 3 11 2 4" xfId="12567"/>
    <cellStyle name="Normal 2 3 3 11 2 5" xfId="19534"/>
    <cellStyle name="Normal 2 3 3 11 2 6" xfId="26501"/>
    <cellStyle name="Normal 2 3 3 11 2 7" xfId="33469"/>
    <cellStyle name="Normal 2 3 3 11 3" xfId="9560"/>
    <cellStyle name="Normal 2 3 3 11 3 2" xfId="16596"/>
    <cellStyle name="Normal 2 3 3 11 3 3" xfId="23563"/>
    <cellStyle name="Normal 2 3 3 11 3 4" xfId="30530"/>
    <cellStyle name="Normal 2 3 3 11 3 5" xfId="37499"/>
    <cellStyle name="Normal 2 3 3 11 4" xfId="14276"/>
    <cellStyle name="Normal 2 3 3 11 4 2" xfId="21243"/>
    <cellStyle name="Normal 2 3 3 11 4 3" xfId="28210"/>
    <cellStyle name="Normal 2 3 3 11 4 4" xfId="35179"/>
    <cellStyle name="Normal 2 3 3 11 5" xfId="11954"/>
    <cellStyle name="Normal 2 3 3 11 6" xfId="18921"/>
    <cellStyle name="Normal 2 3 3 11 7" xfId="25888"/>
    <cellStyle name="Normal 2 3 3 11 8" xfId="32856"/>
    <cellStyle name="Normal 2 3 3 12" xfId="5371"/>
    <cellStyle name="Normal 2 3 3 12 2" xfId="10209"/>
    <cellStyle name="Normal 2 3 3 12 2 2" xfId="17207"/>
    <cellStyle name="Normal 2 3 3 12 2 3" xfId="24174"/>
    <cellStyle name="Normal 2 3 3 12 2 4" xfId="31141"/>
    <cellStyle name="Normal 2 3 3 12 2 5" xfId="38110"/>
    <cellStyle name="Normal 2 3 3 12 3" xfId="14887"/>
    <cellStyle name="Normal 2 3 3 12 3 2" xfId="21854"/>
    <cellStyle name="Normal 2 3 3 12 3 3" xfId="28821"/>
    <cellStyle name="Normal 2 3 3 12 3 4" xfId="35790"/>
    <cellStyle name="Normal 2 3 3 12 4" xfId="12565"/>
    <cellStyle name="Normal 2 3 3 12 5" xfId="19532"/>
    <cellStyle name="Normal 2 3 3 12 6" xfId="26499"/>
    <cellStyle name="Normal 2 3 3 12 7" xfId="33467"/>
    <cellStyle name="Normal 2 3 3 13" xfId="8053"/>
    <cellStyle name="Normal 2 3 3 13 2" xfId="15817"/>
    <cellStyle name="Normal 2 3 3 13 2 2" xfId="22784"/>
    <cellStyle name="Normal 2 3 3 13 2 3" xfId="29751"/>
    <cellStyle name="Normal 2 3 3 13 2 4" xfId="36720"/>
    <cellStyle name="Normal 2 3 3 13 3" xfId="11173"/>
    <cellStyle name="Normal 2 3 3 13 4" xfId="18140"/>
    <cellStyle name="Normal 2 3 3 13 5" xfId="25107"/>
    <cellStyle name="Normal 2 3 3 13 6" xfId="32075"/>
    <cellStyle name="Normal 2 3 3 14" xfId="13495"/>
    <cellStyle name="Normal 2 3 3 14 2" xfId="20462"/>
    <cellStyle name="Normal 2 3 3 14 3" xfId="27429"/>
    <cellStyle name="Normal 2 3 3 14 4" xfId="34398"/>
    <cellStyle name="Normal 2 3 3 2" xfId="1692"/>
    <cellStyle name="Normal 2 3 3 2 10" xfId="6849"/>
    <cellStyle name="Normal 2 3 3 2 10 2" xfId="10818"/>
    <cellStyle name="Normal 2 3 3 2 10 2 2" xfId="17792"/>
    <cellStyle name="Normal 2 3 3 2 10 2 3" xfId="24759"/>
    <cellStyle name="Normal 2 3 3 2 10 2 4" xfId="31726"/>
    <cellStyle name="Normal 2 3 3 2 10 2 5" xfId="38695"/>
    <cellStyle name="Normal 2 3 3 2 10 3" xfId="15472"/>
    <cellStyle name="Normal 2 3 3 2 10 3 2" xfId="22439"/>
    <cellStyle name="Normal 2 3 3 2 10 3 3" xfId="29406"/>
    <cellStyle name="Normal 2 3 3 2 10 3 4" xfId="36375"/>
    <cellStyle name="Normal 2 3 3 2 10 4" xfId="13150"/>
    <cellStyle name="Normal 2 3 3 2 10 5" xfId="20117"/>
    <cellStyle name="Normal 2 3 3 2 10 6" xfId="27084"/>
    <cellStyle name="Normal 2 3 3 2 10 7" xfId="34053"/>
    <cellStyle name="Normal 2 3 3 2 11" xfId="7161"/>
    <cellStyle name="Normal 2 3 3 2 11 2" xfId="15645"/>
    <cellStyle name="Normal 2 3 3 2 11 2 2" xfId="22612"/>
    <cellStyle name="Normal 2 3 3 2 11 2 3" xfId="29579"/>
    <cellStyle name="Normal 2 3 3 2 11 2 4" xfId="36548"/>
    <cellStyle name="Normal 2 3 3 2 11 3" xfId="13323"/>
    <cellStyle name="Normal 2 3 3 2 11 4" xfId="20290"/>
    <cellStyle name="Normal 2 3 3 2 11 5" xfId="27257"/>
    <cellStyle name="Normal 2 3 3 2 11 6" xfId="34226"/>
    <cellStyle name="Normal 2 3 3 2 12" xfId="8054"/>
    <cellStyle name="Normal 2 3 3 2 12 2" xfId="15818"/>
    <cellStyle name="Normal 2 3 3 2 12 2 2" xfId="22785"/>
    <cellStyle name="Normal 2 3 3 2 12 2 3" xfId="29752"/>
    <cellStyle name="Normal 2 3 3 2 12 2 4" xfId="36721"/>
    <cellStyle name="Normal 2 3 3 2 12 3" xfId="11174"/>
    <cellStyle name="Normal 2 3 3 2 12 4" xfId="18141"/>
    <cellStyle name="Normal 2 3 3 2 12 5" xfId="25108"/>
    <cellStyle name="Normal 2 3 3 2 12 6" xfId="32076"/>
    <cellStyle name="Normal 2 3 3 2 13" xfId="13496"/>
    <cellStyle name="Normal 2 3 3 2 13 2" xfId="20463"/>
    <cellStyle name="Normal 2 3 3 2 13 3" xfId="27430"/>
    <cellStyle name="Normal 2 3 3 2 13 4" xfId="34399"/>
    <cellStyle name="Normal 2 3 3 2 14" xfId="11001"/>
    <cellStyle name="Normal 2 3 3 2 15" xfId="17967"/>
    <cellStyle name="Normal 2 3 3 2 16" xfId="24935"/>
    <cellStyle name="Normal 2 3 3 2 17" xfId="31903"/>
    <cellStyle name="Normal 2 3 3 2 2" xfId="1693"/>
    <cellStyle name="Normal 2 3 3 2 2 10" xfId="8055"/>
    <cellStyle name="Normal 2 3 3 2 2 10 2" xfId="15819"/>
    <cellStyle name="Normal 2 3 3 2 2 10 2 2" xfId="22786"/>
    <cellStyle name="Normal 2 3 3 2 2 10 2 3" xfId="29753"/>
    <cellStyle name="Normal 2 3 3 2 2 10 2 4" xfId="36722"/>
    <cellStyle name="Normal 2 3 3 2 2 10 3" xfId="11175"/>
    <cellStyle name="Normal 2 3 3 2 2 10 4" xfId="18142"/>
    <cellStyle name="Normal 2 3 3 2 2 10 5" xfId="25109"/>
    <cellStyle name="Normal 2 3 3 2 2 10 6" xfId="32077"/>
    <cellStyle name="Normal 2 3 3 2 2 11" xfId="13497"/>
    <cellStyle name="Normal 2 3 3 2 2 11 2" xfId="20464"/>
    <cellStyle name="Normal 2 3 3 2 2 11 3" xfId="27431"/>
    <cellStyle name="Normal 2 3 3 2 2 11 4" xfId="34400"/>
    <cellStyle name="Normal 2 3 3 2 2 12" xfId="11002"/>
    <cellStyle name="Normal 2 3 3 2 2 13" xfId="17968"/>
    <cellStyle name="Normal 2 3 3 2 2 14" xfId="24936"/>
    <cellStyle name="Normal 2 3 3 2 2 15" xfId="31904"/>
    <cellStyle name="Normal 2 3 3 2 2 2" xfId="1694"/>
    <cellStyle name="Normal 2 3 3 2 2 2 10" xfId="13498"/>
    <cellStyle name="Normal 2 3 3 2 2 2 10 2" xfId="20465"/>
    <cellStyle name="Normal 2 3 3 2 2 2 10 3" xfId="27432"/>
    <cellStyle name="Normal 2 3 3 2 2 2 10 4" xfId="34401"/>
    <cellStyle name="Normal 2 3 3 2 2 2 11" xfId="11003"/>
    <cellStyle name="Normal 2 3 3 2 2 2 12" xfId="17969"/>
    <cellStyle name="Normal 2 3 3 2 2 2 13" xfId="24937"/>
    <cellStyle name="Normal 2 3 3 2 2 2 14" xfId="31905"/>
    <cellStyle name="Normal 2 3 3 2 2 2 2" xfId="3303"/>
    <cellStyle name="Normal 2 3 3 2 2 2 2 2" xfId="5377"/>
    <cellStyle name="Normal 2 3 3 2 2 2 2 2 2" xfId="10215"/>
    <cellStyle name="Normal 2 3 3 2 2 2 2 2 2 2" xfId="17213"/>
    <cellStyle name="Normal 2 3 3 2 2 2 2 2 2 3" xfId="24180"/>
    <cellStyle name="Normal 2 3 3 2 2 2 2 2 2 4" xfId="31147"/>
    <cellStyle name="Normal 2 3 3 2 2 2 2 2 2 5" xfId="38116"/>
    <cellStyle name="Normal 2 3 3 2 2 2 2 2 3" xfId="14893"/>
    <cellStyle name="Normal 2 3 3 2 2 2 2 2 3 2" xfId="21860"/>
    <cellStyle name="Normal 2 3 3 2 2 2 2 2 3 3" xfId="28827"/>
    <cellStyle name="Normal 2 3 3 2 2 2 2 2 3 4" xfId="35796"/>
    <cellStyle name="Normal 2 3 3 2 2 2 2 2 4" xfId="12571"/>
    <cellStyle name="Normal 2 3 3 2 2 2 2 2 5" xfId="19538"/>
    <cellStyle name="Normal 2 3 3 2 2 2 2 2 6" xfId="26505"/>
    <cellStyle name="Normal 2 3 3 2 2 2 2 2 7" xfId="33473"/>
    <cellStyle name="Normal 2 3 3 2 2 2 2 3" xfId="8937"/>
    <cellStyle name="Normal 2 3 3 2 2 2 2 3 2" xfId="15989"/>
    <cellStyle name="Normal 2 3 3 2 2 2 2 3 3" xfId="22956"/>
    <cellStyle name="Normal 2 3 3 2 2 2 2 3 4" xfId="29923"/>
    <cellStyle name="Normal 2 3 3 2 2 2 2 3 5" xfId="36892"/>
    <cellStyle name="Normal 2 3 3 2 2 2 2 4" xfId="13667"/>
    <cellStyle name="Normal 2 3 3 2 2 2 2 4 2" xfId="20634"/>
    <cellStyle name="Normal 2 3 3 2 2 2 2 4 3" xfId="27601"/>
    <cellStyle name="Normal 2 3 3 2 2 2 2 4 4" xfId="34570"/>
    <cellStyle name="Normal 2 3 3 2 2 2 2 5" xfId="11345"/>
    <cellStyle name="Normal 2 3 3 2 2 2 2 6" xfId="18312"/>
    <cellStyle name="Normal 2 3 3 2 2 2 2 7" xfId="25279"/>
    <cellStyle name="Normal 2 3 3 2 2 2 2 8" xfId="32247"/>
    <cellStyle name="Normal 2 3 3 2 2 2 3" xfId="3505"/>
    <cellStyle name="Normal 2 3 3 2 2 2 3 2" xfId="5378"/>
    <cellStyle name="Normal 2 3 3 2 2 2 3 2 2" xfId="10216"/>
    <cellStyle name="Normal 2 3 3 2 2 2 3 2 2 2" xfId="17214"/>
    <cellStyle name="Normal 2 3 3 2 2 2 3 2 2 3" xfId="24181"/>
    <cellStyle name="Normal 2 3 3 2 2 2 3 2 2 4" xfId="31148"/>
    <cellStyle name="Normal 2 3 3 2 2 2 3 2 2 5" xfId="38117"/>
    <cellStyle name="Normal 2 3 3 2 2 2 3 2 3" xfId="14894"/>
    <cellStyle name="Normal 2 3 3 2 2 2 3 2 3 2" xfId="21861"/>
    <cellStyle name="Normal 2 3 3 2 2 2 3 2 3 3" xfId="28828"/>
    <cellStyle name="Normal 2 3 3 2 2 2 3 2 3 4" xfId="35797"/>
    <cellStyle name="Normal 2 3 3 2 2 2 3 2 4" xfId="12572"/>
    <cellStyle name="Normal 2 3 3 2 2 2 3 2 5" xfId="19539"/>
    <cellStyle name="Normal 2 3 3 2 2 2 3 2 6" xfId="26506"/>
    <cellStyle name="Normal 2 3 3 2 2 2 3 2 7" xfId="33474"/>
    <cellStyle name="Normal 2 3 3 2 2 2 3 3" xfId="9117"/>
    <cellStyle name="Normal 2 3 3 2 2 2 3 3 2" xfId="16156"/>
    <cellStyle name="Normal 2 3 3 2 2 2 3 3 3" xfId="23123"/>
    <cellStyle name="Normal 2 3 3 2 2 2 3 3 4" xfId="30090"/>
    <cellStyle name="Normal 2 3 3 2 2 2 3 3 5" xfId="37059"/>
    <cellStyle name="Normal 2 3 3 2 2 2 3 4" xfId="13836"/>
    <cellStyle name="Normal 2 3 3 2 2 2 3 4 2" xfId="20803"/>
    <cellStyle name="Normal 2 3 3 2 2 2 3 4 3" xfId="27770"/>
    <cellStyle name="Normal 2 3 3 2 2 2 3 4 4" xfId="34739"/>
    <cellStyle name="Normal 2 3 3 2 2 2 3 5" xfId="11514"/>
    <cellStyle name="Normal 2 3 3 2 2 2 3 6" xfId="18481"/>
    <cellStyle name="Normal 2 3 3 2 2 2 3 7" xfId="25448"/>
    <cellStyle name="Normal 2 3 3 2 2 2 3 8" xfId="32416"/>
    <cellStyle name="Normal 2 3 3 2 2 2 4" xfId="3680"/>
    <cellStyle name="Normal 2 3 3 2 2 2 4 2" xfId="5379"/>
    <cellStyle name="Normal 2 3 3 2 2 2 4 2 2" xfId="10217"/>
    <cellStyle name="Normal 2 3 3 2 2 2 4 2 2 2" xfId="17215"/>
    <cellStyle name="Normal 2 3 3 2 2 2 4 2 2 3" xfId="24182"/>
    <cellStyle name="Normal 2 3 3 2 2 2 4 2 2 4" xfId="31149"/>
    <cellStyle name="Normal 2 3 3 2 2 2 4 2 2 5" xfId="38118"/>
    <cellStyle name="Normal 2 3 3 2 2 2 4 2 3" xfId="14895"/>
    <cellStyle name="Normal 2 3 3 2 2 2 4 2 3 2" xfId="21862"/>
    <cellStyle name="Normal 2 3 3 2 2 2 4 2 3 3" xfId="28829"/>
    <cellStyle name="Normal 2 3 3 2 2 2 4 2 3 4" xfId="35798"/>
    <cellStyle name="Normal 2 3 3 2 2 2 4 2 4" xfId="12573"/>
    <cellStyle name="Normal 2 3 3 2 2 2 4 2 5" xfId="19540"/>
    <cellStyle name="Normal 2 3 3 2 2 2 4 2 6" xfId="26507"/>
    <cellStyle name="Normal 2 3 3 2 2 2 4 2 7" xfId="33475"/>
    <cellStyle name="Normal 2 3 3 2 2 2 4 3" xfId="9288"/>
    <cellStyle name="Normal 2 3 3 2 2 2 4 3 2" xfId="16327"/>
    <cellStyle name="Normal 2 3 3 2 2 2 4 3 3" xfId="23294"/>
    <cellStyle name="Normal 2 3 3 2 2 2 4 3 4" xfId="30261"/>
    <cellStyle name="Normal 2 3 3 2 2 2 4 3 5" xfId="37230"/>
    <cellStyle name="Normal 2 3 3 2 2 2 4 4" xfId="14007"/>
    <cellStyle name="Normal 2 3 3 2 2 2 4 4 2" xfId="20974"/>
    <cellStyle name="Normal 2 3 3 2 2 2 4 4 3" xfId="27941"/>
    <cellStyle name="Normal 2 3 3 2 2 2 4 4 4" xfId="34910"/>
    <cellStyle name="Normal 2 3 3 2 2 2 4 5" xfId="11685"/>
    <cellStyle name="Normal 2 3 3 2 2 2 4 6" xfId="18652"/>
    <cellStyle name="Normal 2 3 3 2 2 2 4 7" xfId="25619"/>
    <cellStyle name="Normal 2 3 3 2 2 2 4 8" xfId="32587"/>
    <cellStyle name="Normal 2 3 3 2 2 2 5" xfId="3957"/>
    <cellStyle name="Normal 2 3 3 2 2 2 5 2" xfId="5380"/>
    <cellStyle name="Normal 2 3 3 2 2 2 5 2 2" xfId="10218"/>
    <cellStyle name="Normal 2 3 3 2 2 2 5 2 2 2" xfId="17216"/>
    <cellStyle name="Normal 2 3 3 2 2 2 5 2 2 3" xfId="24183"/>
    <cellStyle name="Normal 2 3 3 2 2 2 5 2 2 4" xfId="31150"/>
    <cellStyle name="Normal 2 3 3 2 2 2 5 2 2 5" xfId="38119"/>
    <cellStyle name="Normal 2 3 3 2 2 2 5 2 3" xfId="14896"/>
    <cellStyle name="Normal 2 3 3 2 2 2 5 2 3 2" xfId="21863"/>
    <cellStyle name="Normal 2 3 3 2 2 2 5 2 3 3" xfId="28830"/>
    <cellStyle name="Normal 2 3 3 2 2 2 5 2 3 4" xfId="35799"/>
    <cellStyle name="Normal 2 3 3 2 2 2 5 2 4" xfId="12574"/>
    <cellStyle name="Normal 2 3 3 2 2 2 5 2 5" xfId="19541"/>
    <cellStyle name="Normal 2 3 3 2 2 2 5 2 6" xfId="26508"/>
    <cellStyle name="Normal 2 3 3 2 2 2 5 2 7" xfId="33476"/>
    <cellStyle name="Normal 2 3 3 2 2 2 5 3" xfId="9563"/>
    <cellStyle name="Normal 2 3 3 2 2 2 5 3 2" xfId="16599"/>
    <cellStyle name="Normal 2 3 3 2 2 2 5 3 3" xfId="23566"/>
    <cellStyle name="Normal 2 3 3 2 2 2 5 3 4" xfId="30533"/>
    <cellStyle name="Normal 2 3 3 2 2 2 5 3 5" xfId="37502"/>
    <cellStyle name="Normal 2 3 3 2 2 2 5 4" xfId="14279"/>
    <cellStyle name="Normal 2 3 3 2 2 2 5 4 2" xfId="21246"/>
    <cellStyle name="Normal 2 3 3 2 2 2 5 4 3" xfId="28213"/>
    <cellStyle name="Normal 2 3 3 2 2 2 5 4 4" xfId="35182"/>
    <cellStyle name="Normal 2 3 3 2 2 2 5 5" xfId="11957"/>
    <cellStyle name="Normal 2 3 3 2 2 2 5 6" xfId="18924"/>
    <cellStyle name="Normal 2 3 3 2 2 2 5 7" xfId="25891"/>
    <cellStyle name="Normal 2 3 3 2 2 2 5 8" xfId="32859"/>
    <cellStyle name="Normal 2 3 3 2 2 2 6" xfId="5376"/>
    <cellStyle name="Normal 2 3 3 2 2 2 6 2" xfId="10214"/>
    <cellStyle name="Normal 2 3 3 2 2 2 6 2 2" xfId="17212"/>
    <cellStyle name="Normal 2 3 3 2 2 2 6 2 3" xfId="24179"/>
    <cellStyle name="Normal 2 3 3 2 2 2 6 2 4" xfId="31146"/>
    <cellStyle name="Normal 2 3 3 2 2 2 6 2 5" xfId="38115"/>
    <cellStyle name="Normal 2 3 3 2 2 2 6 3" xfId="14892"/>
    <cellStyle name="Normal 2 3 3 2 2 2 6 3 2" xfId="21859"/>
    <cellStyle name="Normal 2 3 3 2 2 2 6 3 3" xfId="28826"/>
    <cellStyle name="Normal 2 3 3 2 2 2 6 3 4" xfId="35795"/>
    <cellStyle name="Normal 2 3 3 2 2 2 6 4" xfId="12570"/>
    <cellStyle name="Normal 2 3 3 2 2 2 6 5" xfId="19537"/>
    <cellStyle name="Normal 2 3 3 2 2 2 6 6" xfId="26504"/>
    <cellStyle name="Normal 2 3 3 2 2 2 6 7" xfId="33472"/>
    <cellStyle name="Normal 2 3 3 2 2 2 7" xfId="6851"/>
    <cellStyle name="Normal 2 3 3 2 2 2 7 2" xfId="10820"/>
    <cellStyle name="Normal 2 3 3 2 2 2 7 2 2" xfId="17794"/>
    <cellStyle name="Normal 2 3 3 2 2 2 7 2 3" xfId="24761"/>
    <cellStyle name="Normal 2 3 3 2 2 2 7 2 4" xfId="31728"/>
    <cellStyle name="Normal 2 3 3 2 2 2 7 2 5" xfId="38697"/>
    <cellStyle name="Normal 2 3 3 2 2 2 7 3" xfId="15474"/>
    <cellStyle name="Normal 2 3 3 2 2 2 7 3 2" xfId="22441"/>
    <cellStyle name="Normal 2 3 3 2 2 2 7 3 3" xfId="29408"/>
    <cellStyle name="Normal 2 3 3 2 2 2 7 3 4" xfId="36377"/>
    <cellStyle name="Normal 2 3 3 2 2 2 7 4" xfId="13152"/>
    <cellStyle name="Normal 2 3 3 2 2 2 7 5" xfId="20119"/>
    <cellStyle name="Normal 2 3 3 2 2 2 7 6" xfId="27086"/>
    <cellStyle name="Normal 2 3 3 2 2 2 7 7" xfId="34055"/>
    <cellStyle name="Normal 2 3 3 2 2 2 8" xfId="7163"/>
    <cellStyle name="Normal 2 3 3 2 2 2 8 2" xfId="15647"/>
    <cellStyle name="Normal 2 3 3 2 2 2 8 2 2" xfId="22614"/>
    <cellStyle name="Normal 2 3 3 2 2 2 8 2 3" xfId="29581"/>
    <cellStyle name="Normal 2 3 3 2 2 2 8 2 4" xfId="36550"/>
    <cellStyle name="Normal 2 3 3 2 2 2 8 3" xfId="13325"/>
    <cellStyle name="Normal 2 3 3 2 2 2 8 4" xfId="20292"/>
    <cellStyle name="Normal 2 3 3 2 2 2 8 5" xfId="27259"/>
    <cellStyle name="Normal 2 3 3 2 2 2 8 6" xfId="34228"/>
    <cellStyle name="Normal 2 3 3 2 2 2 9" xfId="8056"/>
    <cellStyle name="Normal 2 3 3 2 2 2 9 2" xfId="15820"/>
    <cellStyle name="Normal 2 3 3 2 2 2 9 2 2" xfId="22787"/>
    <cellStyle name="Normal 2 3 3 2 2 2 9 2 3" xfId="29754"/>
    <cellStyle name="Normal 2 3 3 2 2 2 9 2 4" xfId="36723"/>
    <cellStyle name="Normal 2 3 3 2 2 2 9 3" xfId="11176"/>
    <cellStyle name="Normal 2 3 3 2 2 2 9 4" xfId="18143"/>
    <cellStyle name="Normal 2 3 3 2 2 2 9 5" xfId="25110"/>
    <cellStyle name="Normal 2 3 3 2 2 2 9 6" xfId="32078"/>
    <cellStyle name="Normal 2 3 3 2 2 3" xfId="3302"/>
    <cellStyle name="Normal 2 3 3 2 2 3 2" xfId="3804"/>
    <cellStyle name="Normal 2 3 3 2 2 3 2 2" xfId="5382"/>
    <cellStyle name="Normal 2 3 3 2 2 3 2 2 2" xfId="10220"/>
    <cellStyle name="Normal 2 3 3 2 2 3 2 2 2 2" xfId="17218"/>
    <cellStyle name="Normal 2 3 3 2 2 3 2 2 2 3" xfId="24185"/>
    <cellStyle name="Normal 2 3 3 2 2 3 2 2 2 4" xfId="31152"/>
    <cellStyle name="Normal 2 3 3 2 2 3 2 2 2 5" xfId="38121"/>
    <cellStyle name="Normal 2 3 3 2 2 3 2 2 3" xfId="14898"/>
    <cellStyle name="Normal 2 3 3 2 2 3 2 2 3 2" xfId="21865"/>
    <cellStyle name="Normal 2 3 3 2 2 3 2 2 3 3" xfId="28832"/>
    <cellStyle name="Normal 2 3 3 2 2 3 2 2 3 4" xfId="35801"/>
    <cellStyle name="Normal 2 3 3 2 2 3 2 2 4" xfId="12576"/>
    <cellStyle name="Normal 2 3 3 2 2 3 2 2 5" xfId="19543"/>
    <cellStyle name="Normal 2 3 3 2 2 3 2 2 6" xfId="26510"/>
    <cellStyle name="Normal 2 3 3 2 2 3 2 2 7" xfId="33478"/>
    <cellStyle name="Normal 2 3 3 2 2 3 2 3" xfId="9410"/>
    <cellStyle name="Normal 2 3 3 2 2 3 2 3 2" xfId="16448"/>
    <cellStyle name="Normal 2 3 3 2 2 3 2 3 3" xfId="23415"/>
    <cellStyle name="Normal 2 3 3 2 2 3 2 3 4" xfId="30382"/>
    <cellStyle name="Normal 2 3 3 2 2 3 2 3 5" xfId="37351"/>
    <cellStyle name="Normal 2 3 3 2 2 3 2 4" xfId="14128"/>
    <cellStyle name="Normal 2 3 3 2 2 3 2 4 2" xfId="21095"/>
    <cellStyle name="Normal 2 3 3 2 2 3 2 4 3" xfId="28062"/>
    <cellStyle name="Normal 2 3 3 2 2 3 2 4 4" xfId="35031"/>
    <cellStyle name="Normal 2 3 3 2 2 3 2 5" xfId="11806"/>
    <cellStyle name="Normal 2 3 3 2 2 3 2 6" xfId="18773"/>
    <cellStyle name="Normal 2 3 3 2 2 3 2 7" xfId="25740"/>
    <cellStyle name="Normal 2 3 3 2 2 3 2 8" xfId="32708"/>
    <cellStyle name="Normal 2 3 3 2 2 3 3" xfId="5381"/>
    <cellStyle name="Normal 2 3 3 2 2 3 3 2" xfId="10219"/>
    <cellStyle name="Normal 2 3 3 2 2 3 3 2 2" xfId="17217"/>
    <cellStyle name="Normal 2 3 3 2 2 3 3 2 3" xfId="24184"/>
    <cellStyle name="Normal 2 3 3 2 2 3 3 2 4" xfId="31151"/>
    <cellStyle name="Normal 2 3 3 2 2 3 3 2 5" xfId="38120"/>
    <cellStyle name="Normal 2 3 3 2 2 3 3 3" xfId="14897"/>
    <cellStyle name="Normal 2 3 3 2 2 3 3 3 2" xfId="21864"/>
    <cellStyle name="Normal 2 3 3 2 2 3 3 3 3" xfId="28831"/>
    <cellStyle name="Normal 2 3 3 2 2 3 3 3 4" xfId="35800"/>
    <cellStyle name="Normal 2 3 3 2 2 3 3 4" xfId="12575"/>
    <cellStyle name="Normal 2 3 3 2 2 3 3 5" xfId="19542"/>
    <cellStyle name="Normal 2 3 3 2 2 3 3 6" xfId="26509"/>
    <cellStyle name="Normal 2 3 3 2 2 3 3 7" xfId="33477"/>
    <cellStyle name="Normal 2 3 3 2 2 3 4" xfId="8936"/>
    <cellStyle name="Normal 2 3 3 2 2 3 4 2" xfId="15988"/>
    <cellStyle name="Normal 2 3 3 2 2 3 4 3" xfId="22955"/>
    <cellStyle name="Normal 2 3 3 2 2 3 4 4" xfId="29922"/>
    <cellStyle name="Normal 2 3 3 2 2 3 4 5" xfId="36891"/>
    <cellStyle name="Normal 2 3 3 2 2 3 5" xfId="13666"/>
    <cellStyle name="Normal 2 3 3 2 2 3 5 2" xfId="20633"/>
    <cellStyle name="Normal 2 3 3 2 2 3 5 3" xfId="27600"/>
    <cellStyle name="Normal 2 3 3 2 2 3 5 4" xfId="34569"/>
    <cellStyle name="Normal 2 3 3 2 2 3 6" xfId="11344"/>
    <cellStyle name="Normal 2 3 3 2 2 3 7" xfId="18311"/>
    <cellStyle name="Normal 2 3 3 2 2 3 8" xfId="25278"/>
    <cellStyle name="Normal 2 3 3 2 2 3 9" xfId="32246"/>
    <cellStyle name="Normal 2 3 3 2 2 4" xfId="3504"/>
    <cellStyle name="Normal 2 3 3 2 2 4 2" xfId="5383"/>
    <cellStyle name="Normal 2 3 3 2 2 4 2 2" xfId="10221"/>
    <cellStyle name="Normal 2 3 3 2 2 4 2 2 2" xfId="17219"/>
    <cellStyle name="Normal 2 3 3 2 2 4 2 2 3" xfId="24186"/>
    <cellStyle name="Normal 2 3 3 2 2 4 2 2 4" xfId="31153"/>
    <cellStyle name="Normal 2 3 3 2 2 4 2 2 5" xfId="38122"/>
    <cellStyle name="Normal 2 3 3 2 2 4 2 3" xfId="14899"/>
    <cellStyle name="Normal 2 3 3 2 2 4 2 3 2" xfId="21866"/>
    <cellStyle name="Normal 2 3 3 2 2 4 2 3 3" xfId="28833"/>
    <cellStyle name="Normal 2 3 3 2 2 4 2 3 4" xfId="35802"/>
    <cellStyle name="Normal 2 3 3 2 2 4 2 4" xfId="12577"/>
    <cellStyle name="Normal 2 3 3 2 2 4 2 5" xfId="19544"/>
    <cellStyle name="Normal 2 3 3 2 2 4 2 6" xfId="26511"/>
    <cellStyle name="Normal 2 3 3 2 2 4 2 7" xfId="33479"/>
    <cellStyle name="Normal 2 3 3 2 2 4 3" xfId="9116"/>
    <cellStyle name="Normal 2 3 3 2 2 4 3 2" xfId="16155"/>
    <cellStyle name="Normal 2 3 3 2 2 4 3 3" xfId="23122"/>
    <cellStyle name="Normal 2 3 3 2 2 4 3 4" xfId="30089"/>
    <cellStyle name="Normal 2 3 3 2 2 4 3 5" xfId="37058"/>
    <cellStyle name="Normal 2 3 3 2 2 4 4" xfId="13835"/>
    <cellStyle name="Normal 2 3 3 2 2 4 4 2" xfId="20802"/>
    <cellStyle name="Normal 2 3 3 2 2 4 4 3" xfId="27769"/>
    <cellStyle name="Normal 2 3 3 2 2 4 4 4" xfId="34738"/>
    <cellStyle name="Normal 2 3 3 2 2 4 5" xfId="11513"/>
    <cellStyle name="Normal 2 3 3 2 2 4 6" xfId="18480"/>
    <cellStyle name="Normal 2 3 3 2 2 4 7" xfId="25447"/>
    <cellStyle name="Normal 2 3 3 2 2 4 8" xfId="32415"/>
    <cellStyle name="Normal 2 3 3 2 2 5" xfId="3679"/>
    <cellStyle name="Normal 2 3 3 2 2 5 2" xfId="5384"/>
    <cellStyle name="Normal 2 3 3 2 2 5 2 2" xfId="10222"/>
    <cellStyle name="Normal 2 3 3 2 2 5 2 2 2" xfId="17220"/>
    <cellStyle name="Normal 2 3 3 2 2 5 2 2 3" xfId="24187"/>
    <cellStyle name="Normal 2 3 3 2 2 5 2 2 4" xfId="31154"/>
    <cellStyle name="Normal 2 3 3 2 2 5 2 2 5" xfId="38123"/>
    <cellStyle name="Normal 2 3 3 2 2 5 2 3" xfId="14900"/>
    <cellStyle name="Normal 2 3 3 2 2 5 2 3 2" xfId="21867"/>
    <cellStyle name="Normal 2 3 3 2 2 5 2 3 3" xfId="28834"/>
    <cellStyle name="Normal 2 3 3 2 2 5 2 3 4" xfId="35803"/>
    <cellStyle name="Normal 2 3 3 2 2 5 2 4" xfId="12578"/>
    <cellStyle name="Normal 2 3 3 2 2 5 2 5" xfId="19545"/>
    <cellStyle name="Normal 2 3 3 2 2 5 2 6" xfId="26512"/>
    <cellStyle name="Normal 2 3 3 2 2 5 2 7" xfId="33480"/>
    <cellStyle name="Normal 2 3 3 2 2 5 3" xfId="9287"/>
    <cellStyle name="Normal 2 3 3 2 2 5 3 2" xfId="16326"/>
    <cellStyle name="Normal 2 3 3 2 2 5 3 3" xfId="23293"/>
    <cellStyle name="Normal 2 3 3 2 2 5 3 4" xfId="30260"/>
    <cellStyle name="Normal 2 3 3 2 2 5 3 5" xfId="37229"/>
    <cellStyle name="Normal 2 3 3 2 2 5 4" xfId="14006"/>
    <cellStyle name="Normal 2 3 3 2 2 5 4 2" xfId="20973"/>
    <cellStyle name="Normal 2 3 3 2 2 5 4 3" xfId="27940"/>
    <cellStyle name="Normal 2 3 3 2 2 5 4 4" xfId="34909"/>
    <cellStyle name="Normal 2 3 3 2 2 5 5" xfId="11684"/>
    <cellStyle name="Normal 2 3 3 2 2 5 6" xfId="18651"/>
    <cellStyle name="Normal 2 3 3 2 2 5 7" xfId="25618"/>
    <cellStyle name="Normal 2 3 3 2 2 5 8" xfId="32586"/>
    <cellStyle name="Normal 2 3 3 2 2 6" xfId="3956"/>
    <cellStyle name="Normal 2 3 3 2 2 6 2" xfId="5385"/>
    <cellStyle name="Normal 2 3 3 2 2 6 2 2" xfId="10223"/>
    <cellStyle name="Normal 2 3 3 2 2 6 2 2 2" xfId="17221"/>
    <cellStyle name="Normal 2 3 3 2 2 6 2 2 3" xfId="24188"/>
    <cellStyle name="Normal 2 3 3 2 2 6 2 2 4" xfId="31155"/>
    <cellStyle name="Normal 2 3 3 2 2 6 2 2 5" xfId="38124"/>
    <cellStyle name="Normal 2 3 3 2 2 6 2 3" xfId="14901"/>
    <cellStyle name="Normal 2 3 3 2 2 6 2 3 2" xfId="21868"/>
    <cellStyle name="Normal 2 3 3 2 2 6 2 3 3" xfId="28835"/>
    <cellStyle name="Normal 2 3 3 2 2 6 2 3 4" xfId="35804"/>
    <cellStyle name="Normal 2 3 3 2 2 6 2 4" xfId="12579"/>
    <cellStyle name="Normal 2 3 3 2 2 6 2 5" xfId="19546"/>
    <cellStyle name="Normal 2 3 3 2 2 6 2 6" xfId="26513"/>
    <cellStyle name="Normal 2 3 3 2 2 6 2 7" xfId="33481"/>
    <cellStyle name="Normal 2 3 3 2 2 6 3" xfId="9562"/>
    <cellStyle name="Normal 2 3 3 2 2 6 3 2" xfId="16598"/>
    <cellStyle name="Normal 2 3 3 2 2 6 3 3" xfId="23565"/>
    <cellStyle name="Normal 2 3 3 2 2 6 3 4" xfId="30532"/>
    <cellStyle name="Normal 2 3 3 2 2 6 3 5" xfId="37501"/>
    <cellStyle name="Normal 2 3 3 2 2 6 4" xfId="14278"/>
    <cellStyle name="Normal 2 3 3 2 2 6 4 2" xfId="21245"/>
    <cellStyle name="Normal 2 3 3 2 2 6 4 3" xfId="28212"/>
    <cellStyle name="Normal 2 3 3 2 2 6 4 4" xfId="35181"/>
    <cellStyle name="Normal 2 3 3 2 2 6 5" xfId="11956"/>
    <cellStyle name="Normal 2 3 3 2 2 6 6" xfId="18923"/>
    <cellStyle name="Normal 2 3 3 2 2 6 7" xfId="25890"/>
    <cellStyle name="Normal 2 3 3 2 2 6 8" xfId="32858"/>
    <cellStyle name="Normal 2 3 3 2 2 7" xfId="5375"/>
    <cellStyle name="Normal 2 3 3 2 2 7 2" xfId="10213"/>
    <cellStyle name="Normal 2 3 3 2 2 7 2 2" xfId="17211"/>
    <cellStyle name="Normal 2 3 3 2 2 7 2 3" xfId="24178"/>
    <cellStyle name="Normal 2 3 3 2 2 7 2 4" xfId="31145"/>
    <cellStyle name="Normal 2 3 3 2 2 7 2 5" xfId="38114"/>
    <cellStyle name="Normal 2 3 3 2 2 7 3" xfId="14891"/>
    <cellStyle name="Normal 2 3 3 2 2 7 3 2" xfId="21858"/>
    <cellStyle name="Normal 2 3 3 2 2 7 3 3" xfId="28825"/>
    <cellStyle name="Normal 2 3 3 2 2 7 3 4" xfId="35794"/>
    <cellStyle name="Normal 2 3 3 2 2 7 4" xfId="12569"/>
    <cellStyle name="Normal 2 3 3 2 2 7 5" xfId="19536"/>
    <cellStyle name="Normal 2 3 3 2 2 7 6" xfId="26503"/>
    <cellStyle name="Normal 2 3 3 2 2 7 7" xfId="33471"/>
    <cellStyle name="Normal 2 3 3 2 2 8" xfId="6850"/>
    <cellStyle name="Normal 2 3 3 2 2 8 2" xfId="10819"/>
    <cellStyle name="Normal 2 3 3 2 2 8 2 2" xfId="17793"/>
    <cellStyle name="Normal 2 3 3 2 2 8 2 3" xfId="24760"/>
    <cellStyle name="Normal 2 3 3 2 2 8 2 4" xfId="31727"/>
    <cellStyle name="Normal 2 3 3 2 2 8 2 5" xfId="38696"/>
    <cellStyle name="Normal 2 3 3 2 2 8 3" xfId="15473"/>
    <cellStyle name="Normal 2 3 3 2 2 8 3 2" xfId="22440"/>
    <cellStyle name="Normal 2 3 3 2 2 8 3 3" xfId="29407"/>
    <cellStyle name="Normal 2 3 3 2 2 8 3 4" xfId="36376"/>
    <cellStyle name="Normal 2 3 3 2 2 8 4" xfId="13151"/>
    <cellStyle name="Normal 2 3 3 2 2 8 5" xfId="20118"/>
    <cellStyle name="Normal 2 3 3 2 2 8 6" xfId="27085"/>
    <cellStyle name="Normal 2 3 3 2 2 8 7" xfId="34054"/>
    <cellStyle name="Normal 2 3 3 2 2 9" xfId="7162"/>
    <cellStyle name="Normal 2 3 3 2 2 9 2" xfId="15646"/>
    <cellStyle name="Normal 2 3 3 2 2 9 2 2" xfId="22613"/>
    <cellStyle name="Normal 2 3 3 2 2 9 2 3" xfId="29580"/>
    <cellStyle name="Normal 2 3 3 2 2 9 2 4" xfId="36549"/>
    <cellStyle name="Normal 2 3 3 2 2 9 3" xfId="13324"/>
    <cellStyle name="Normal 2 3 3 2 2 9 4" xfId="20291"/>
    <cellStyle name="Normal 2 3 3 2 2 9 5" xfId="27258"/>
    <cellStyle name="Normal 2 3 3 2 2 9 6" xfId="34227"/>
    <cellStyle name="Normal 2 3 3 2 3" xfId="1695"/>
    <cellStyle name="Normal 2 3 3 2 3 10" xfId="13499"/>
    <cellStyle name="Normal 2 3 3 2 3 10 2" xfId="20466"/>
    <cellStyle name="Normal 2 3 3 2 3 10 3" xfId="27433"/>
    <cellStyle name="Normal 2 3 3 2 3 10 4" xfId="34402"/>
    <cellStyle name="Normal 2 3 3 2 3 11" xfId="11004"/>
    <cellStyle name="Normal 2 3 3 2 3 12" xfId="17970"/>
    <cellStyle name="Normal 2 3 3 2 3 13" xfId="24938"/>
    <cellStyle name="Normal 2 3 3 2 3 14" xfId="31906"/>
    <cellStyle name="Normal 2 3 3 2 3 2" xfId="3304"/>
    <cellStyle name="Normal 2 3 3 2 3 2 2" xfId="5387"/>
    <cellStyle name="Normal 2 3 3 2 3 2 2 2" xfId="10225"/>
    <cellStyle name="Normal 2 3 3 2 3 2 2 2 2" xfId="17223"/>
    <cellStyle name="Normal 2 3 3 2 3 2 2 2 3" xfId="24190"/>
    <cellStyle name="Normal 2 3 3 2 3 2 2 2 4" xfId="31157"/>
    <cellStyle name="Normal 2 3 3 2 3 2 2 2 5" xfId="38126"/>
    <cellStyle name="Normal 2 3 3 2 3 2 2 3" xfId="14903"/>
    <cellStyle name="Normal 2 3 3 2 3 2 2 3 2" xfId="21870"/>
    <cellStyle name="Normal 2 3 3 2 3 2 2 3 3" xfId="28837"/>
    <cellStyle name="Normal 2 3 3 2 3 2 2 3 4" xfId="35806"/>
    <cellStyle name="Normal 2 3 3 2 3 2 2 4" xfId="12581"/>
    <cellStyle name="Normal 2 3 3 2 3 2 2 5" xfId="19548"/>
    <cellStyle name="Normal 2 3 3 2 3 2 2 6" xfId="26515"/>
    <cellStyle name="Normal 2 3 3 2 3 2 2 7" xfId="33483"/>
    <cellStyle name="Normal 2 3 3 2 3 2 3" xfId="8938"/>
    <cellStyle name="Normal 2 3 3 2 3 2 3 2" xfId="15990"/>
    <cellStyle name="Normal 2 3 3 2 3 2 3 3" xfId="22957"/>
    <cellStyle name="Normal 2 3 3 2 3 2 3 4" xfId="29924"/>
    <cellStyle name="Normal 2 3 3 2 3 2 3 5" xfId="36893"/>
    <cellStyle name="Normal 2 3 3 2 3 2 4" xfId="13668"/>
    <cellStyle name="Normal 2 3 3 2 3 2 4 2" xfId="20635"/>
    <cellStyle name="Normal 2 3 3 2 3 2 4 3" xfId="27602"/>
    <cellStyle name="Normal 2 3 3 2 3 2 4 4" xfId="34571"/>
    <cellStyle name="Normal 2 3 3 2 3 2 5" xfId="11346"/>
    <cellStyle name="Normal 2 3 3 2 3 2 6" xfId="18313"/>
    <cellStyle name="Normal 2 3 3 2 3 2 7" xfId="25280"/>
    <cellStyle name="Normal 2 3 3 2 3 2 8" xfId="32248"/>
    <cellStyle name="Normal 2 3 3 2 3 3" xfId="3506"/>
    <cellStyle name="Normal 2 3 3 2 3 3 2" xfId="5388"/>
    <cellStyle name="Normal 2 3 3 2 3 3 2 2" xfId="10226"/>
    <cellStyle name="Normal 2 3 3 2 3 3 2 2 2" xfId="17224"/>
    <cellStyle name="Normal 2 3 3 2 3 3 2 2 3" xfId="24191"/>
    <cellStyle name="Normal 2 3 3 2 3 3 2 2 4" xfId="31158"/>
    <cellStyle name="Normal 2 3 3 2 3 3 2 2 5" xfId="38127"/>
    <cellStyle name="Normal 2 3 3 2 3 3 2 3" xfId="14904"/>
    <cellStyle name="Normal 2 3 3 2 3 3 2 3 2" xfId="21871"/>
    <cellStyle name="Normal 2 3 3 2 3 3 2 3 3" xfId="28838"/>
    <cellStyle name="Normal 2 3 3 2 3 3 2 3 4" xfId="35807"/>
    <cellStyle name="Normal 2 3 3 2 3 3 2 4" xfId="12582"/>
    <cellStyle name="Normal 2 3 3 2 3 3 2 5" xfId="19549"/>
    <cellStyle name="Normal 2 3 3 2 3 3 2 6" xfId="26516"/>
    <cellStyle name="Normal 2 3 3 2 3 3 2 7" xfId="33484"/>
    <cellStyle name="Normal 2 3 3 2 3 3 3" xfId="9118"/>
    <cellStyle name="Normal 2 3 3 2 3 3 3 2" xfId="16157"/>
    <cellStyle name="Normal 2 3 3 2 3 3 3 3" xfId="23124"/>
    <cellStyle name="Normal 2 3 3 2 3 3 3 4" xfId="30091"/>
    <cellStyle name="Normal 2 3 3 2 3 3 3 5" xfId="37060"/>
    <cellStyle name="Normal 2 3 3 2 3 3 4" xfId="13837"/>
    <cellStyle name="Normal 2 3 3 2 3 3 4 2" xfId="20804"/>
    <cellStyle name="Normal 2 3 3 2 3 3 4 3" xfId="27771"/>
    <cellStyle name="Normal 2 3 3 2 3 3 4 4" xfId="34740"/>
    <cellStyle name="Normal 2 3 3 2 3 3 5" xfId="11515"/>
    <cellStyle name="Normal 2 3 3 2 3 3 6" xfId="18482"/>
    <cellStyle name="Normal 2 3 3 2 3 3 7" xfId="25449"/>
    <cellStyle name="Normal 2 3 3 2 3 3 8" xfId="32417"/>
    <cellStyle name="Normal 2 3 3 2 3 4" xfId="3681"/>
    <cellStyle name="Normal 2 3 3 2 3 4 2" xfId="5389"/>
    <cellStyle name="Normal 2 3 3 2 3 4 2 2" xfId="10227"/>
    <cellStyle name="Normal 2 3 3 2 3 4 2 2 2" xfId="17225"/>
    <cellStyle name="Normal 2 3 3 2 3 4 2 2 3" xfId="24192"/>
    <cellStyle name="Normal 2 3 3 2 3 4 2 2 4" xfId="31159"/>
    <cellStyle name="Normal 2 3 3 2 3 4 2 2 5" xfId="38128"/>
    <cellStyle name="Normal 2 3 3 2 3 4 2 3" xfId="14905"/>
    <cellStyle name="Normal 2 3 3 2 3 4 2 3 2" xfId="21872"/>
    <cellStyle name="Normal 2 3 3 2 3 4 2 3 3" xfId="28839"/>
    <cellStyle name="Normal 2 3 3 2 3 4 2 3 4" xfId="35808"/>
    <cellStyle name="Normal 2 3 3 2 3 4 2 4" xfId="12583"/>
    <cellStyle name="Normal 2 3 3 2 3 4 2 5" xfId="19550"/>
    <cellStyle name="Normal 2 3 3 2 3 4 2 6" xfId="26517"/>
    <cellStyle name="Normal 2 3 3 2 3 4 2 7" xfId="33485"/>
    <cellStyle name="Normal 2 3 3 2 3 4 3" xfId="9289"/>
    <cellStyle name="Normal 2 3 3 2 3 4 3 2" xfId="16328"/>
    <cellStyle name="Normal 2 3 3 2 3 4 3 3" xfId="23295"/>
    <cellStyle name="Normal 2 3 3 2 3 4 3 4" xfId="30262"/>
    <cellStyle name="Normal 2 3 3 2 3 4 3 5" xfId="37231"/>
    <cellStyle name="Normal 2 3 3 2 3 4 4" xfId="14008"/>
    <cellStyle name="Normal 2 3 3 2 3 4 4 2" xfId="20975"/>
    <cellStyle name="Normal 2 3 3 2 3 4 4 3" xfId="27942"/>
    <cellStyle name="Normal 2 3 3 2 3 4 4 4" xfId="34911"/>
    <cellStyle name="Normal 2 3 3 2 3 4 5" xfId="11686"/>
    <cellStyle name="Normal 2 3 3 2 3 4 6" xfId="18653"/>
    <cellStyle name="Normal 2 3 3 2 3 4 7" xfId="25620"/>
    <cellStyle name="Normal 2 3 3 2 3 4 8" xfId="32588"/>
    <cellStyle name="Normal 2 3 3 2 3 5" xfId="3958"/>
    <cellStyle name="Normal 2 3 3 2 3 5 2" xfId="5390"/>
    <cellStyle name="Normal 2 3 3 2 3 5 2 2" xfId="10228"/>
    <cellStyle name="Normal 2 3 3 2 3 5 2 2 2" xfId="17226"/>
    <cellStyle name="Normal 2 3 3 2 3 5 2 2 3" xfId="24193"/>
    <cellStyle name="Normal 2 3 3 2 3 5 2 2 4" xfId="31160"/>
    <cellStyle name="Normal 2 3 3 2 3 5 2 2 5" xfId="38129"/>
    <cellStyle name="Normal 2 3 3 2 3 5 2 3" xfId="14906"/>
    <cellStyle name="Normal 2 3 3 2 3 5 2 3 2" xfId="21873"/>
    <cellStyle name="Normal 2 3 3 2 3 5 2 3 3" xfId="28840"/>
    <cellStyle name="Normal 2 3 3 2 3 5 2 3 4" xfId="35809"/>
    <cellStyle name="Normal 2 3 3 2 3 5 2 4" xfId="12584"/>
    <cellStyle name="Normal 2 3 3 2 3 5 2 5" xfId="19551"/>
    <cellStyle name="Normal 2 3 3 2 3 5 2 6" xfId="26518"/>
    <cellStyle name="Normal 2 3 3 2 3 5 2 7" xfId="33486"/>
    <cellStyle name="Normal 2 3 3 2 3 5 3" xfId="9564"/>
    <cellStyle name="Normal 2 3 3 2 3 5 3 2" xfId="16600"/>
    <cellStyle name="Normal 2 3 3 2 3 5 3 3" xfId="23567"/>
    <cellStyle name="Normal 2 3 3 2 3 5 3 4" xfId="30534"/>
    <cellStyle name="Normal 2 3 3 2 3 5 3 5" xfId="37503"/>
    <cellStyle name="Normal 2 3 3 2 3 5 4" xfId="14280"/>
    <cellStyle name="Normal 2 3 3 2 3 5 4 2" xfId="21247"/>
    <cellStyle name="Normal 2 3 3 2 3 5 4 3" xfId="28214"/>
    <cellStyle name="Normal 2 3 3 2 3 5 4 4" xfId="35183"/>
    <cellStyle name="Normal 2 3 3 2 3 5 5" xfId="11958"/>
    <cellStyle name="Normal 2 3 3 2 3 5 6" xfId="18925"/>
    <cellStyle name="Normal 2 3 3 2 3 5 7" xfId="25892"/>
    <cellStyle name="Normal 2 3 3 2 3 5 8" xfId="32860"/>
    <cellStyle name="Normal 2 3 3 2 3 6" xfId="5386"/>
    <cellStyle name="Normal 2 3 3 2 3 6 2" xfId="10224"/>
    <cellStyle name="Normal 2 3 3 2 3 6 2 2" xfId="17222"/>
    <cellStyle name="Normal 2 3 3 2 3 6 2 3" xfId="24189"/>
    <cellStyle name="Normal 2 3 3 2 3 6 2 4" xfId="31156"/>
    <cellStyle name="Normal 2 3 3 2 3 6 2 5" xfId="38125"/>
    <cellStyle name="Normal 2 3 3 2 3 6 3" xfId="14902"/>
    <cellStyle name="Normal 2 3 3 2 3 6 3 2" xfId="21869"/>
    <cellStyle name="Normal 2 3 3 2 3 6 3 3" xfId="28836"/>
    <cellStyle name="Normal 2 3 3 2 3 6 3 4" xfId="35805"/>
    <cellStyle name="Normal 2 3 3 2 3 6 4" xfId="12580"/>
    <cellStyle name="Normal 2 3 3 2 3 6 5" xfId="19547"/>
    <cellStyle name="Normal 2 3 3 2 3 6 6" xfId="26514"/>
    <cellStyle name="Normal 2 3 3 2 3 6 7" xfId="33482"/>
    <cellStyle name="Normal 2 3 3 2 3 7" xfId="6852"/>
    <cellStyle name="Normal 2 3 3 2 3 7 2" xfId="10821"/>
    <cellStyle name="Normal 2 3 3 2 3 7 2 2" xfId="17795"/>
    <cellStyle name="Normal 2 3 3 2 3 7 2 3" xfId="24762"/>
    <cellStyle name="Normal 2 3 3 2 3 7 2 4" xfId="31729"/>
    <cellStyle name="Normal 2 3 3 2 3 7 2 5" xfId="38698"/>
    <cellStyle name="Normal 2 3 3 2 3 7 3" xfId="15475"/>
    <cellStyle name="Normal 2 3 3 2 3 7 3 2" xfId="22442"/>
    <cellStyle name="Normal 2 3 3 2 3 7 3 3" xfId="29409"/>
    <cellStyle name="Normal 2 3 3 2 3 7 3 4" xfId="36378"/>
    <cellStyle name="Normal 2 3 3 2 3 7 4" xfId="13153"/>
    <cellStyle name="Normal 2 3 3 2 3 7 5" xfId="20120"/>
    <cellStyle name="Normal 2 3 3 2 3 7 6" xfId="27087"/>
    <cellStyle name="Normal 2 3 3 2 3 7 7" xfId="34056"/>
    <cellStyle name="Normal 2 3 3 2 3 8" xfId="7164"/>
    <cellStyle name="Normal 2 3 3 2 3 8 2" xfId="15648"/>
    <cellStyle name="Normal 2 3 3 2 3 8 2 2" xfId="22615"/>
    <cellStyle name="Normal 2 3 3 2 3 8 2 3" xfId="29582"/>
    <cellStyle name="Normal 2 3 3 2 3 8 2 4" xfId="36551"/>
    <cellStyle name="Normal 2 3 3 2 3 8 3" xfId="13326"/>
    <cellStyle name="Normal 2 3 3 2 3 8 4" xfId="20293"/>
    <cellStyle name="Normal 2 3 3 2 3 8 5" xfId="27260"/>
    <cellStyle name="Normal 2 3 3 2 3 8 6" xfId="34229"/>
    <cellStyle name="Normal 2 3 3 2 3 9" xfId="8057"/>
    <cellStyle name="Normal 2 3 3 2 3 9 2" xfId="15821"/>
    <cellStyle name="Normal 2 3 3 2 3 9 2 2" xfId="22788"/>
    <cellStyle name="Normal 2 3 3 2 3 9 2 3" xfId="29755"/>
    <cellStyle name="Normal 2 3 3 2 3 9 2 4" xfId="36724"/>
    <cellStyle name="Normal 2 3 3 2 3 9 3" xfId="11177"/>
    <cellStyle name="Normal 2 3 3 2 3 9 4" xfId="18144"/>
    <cellStyle name="Normal 2 3 3 2 3 9 5" xfId="25111"/>
    <cellStyle name="Normal 2 3 3 2 3 9 6" xfId="32079"/>
    <cellStyle name="Normal 2 3 3 2 4" xfId="1696"/>
    <cellStyle name="Normal 2 3 3 2 4 10" xfId="13500"/>
    <cellStyle name="Normal 2 3 3 2 4 10 2" xfId="20467"/>
    <cellStyle name="Normal 2 3 3 2 4 10 3" xfId="27434"/>
    <cellStyle name="Normal 2 3 3 2 4 10 4" xfId="34403"/>
    <cellStyle name="Normal 2 3 3 2 4 11" xfId="11005"/>
    <cellStyle name="Normal 2 3 3 2 4 12" xfId="17971"/>
    <cellStyle name="Normal 2 3 3 2 4 13" xfId="24939"/>
    <cellStyle name="Normal 2 3 3 2 4 14" xfId="31907"/>
    <cellStyle name="Normal 2 3 3 2 4 2" xfId="3305"/>
    <cellStyle name="Normal 2 3 3 2 4 2 2" xfId="5392"/>
    <cellStyle name="Normal 2 3 3 2 4 2 2 2" xfId="10230"/>
    <cellStyle name="Normal 2 3 3 2 4 2 2 2 2" xfId="17228"/>
    <cellStyle name="Normal 2 3 3 2 4 2 2 2 3" xfId="24195"/>
    <cellStyle name="Normal 2 3 3 2 4 2 2 2 4" xfId="31162"/>
    <cellStyle name="Normal 2 3 3 2 4 2 2 2 5" xfId="38131"/>
    <cellStyle name="Normal 2 3 3 2 4 2 2 3" xfId="14908"/>
    <cellStyle name="Normal 2 3 3 2 4 2 2 3 2" xfId="21875"/>
    <cellStyle name="Normal 2 3 3 2 4 2 2 3 3" xfId="28842"/>
    <cellStyle name="Normal 2 3 3 2 4 2 2 3 4" xfId="35811"/>
    <cellStyle name="Normal 2 3 3 2 4 2 2 4" xfId="12586"/>
    <cellStyle name="Normal 2 3 3 2 4 2 2 5" xfId="19553"/>
    <cellStyle name="Normal 2 3 3 2 4 2 2 6" xfId="26520"/>
    <cellStyle name="Normal 2 3 3 2 4 2 2 7" xfId="33488"/>
    <cellStyle name="Normal 2 3 3 2 4 2 3" xfId="8939"/>
    <cellStyle name="Normal 2 3 3 2 4 2 3 2" xfId="15991"/>
    <cellStyle name="Normal 2 3 3 2 4 2 3 3" xfId="22958"/>
    <cellStyle name="Normal 2 3 3 2 4 2 3 4" xfId="29925"/>
    <cellStyle name="Normal 2 3 3 2 4 2 3 5" xfId="36894"/>
    <cellStyle name="Normal 2 3 3 2 4 2 4" xfId="13669"/>
    <cellStyle name="Normal 2 3 3 2 4 2 4 2" xfId="20636"/>
    <cellStyle name="Normal 2 3 3 2 4 2 4 3" xfId="27603"/>
    <cellStyle name="Normal 2 3 3 2 4 2 4 4" xfId="34572"/>
    <cellStyle name="Normal 2 3 3 2 4 2 5" xfId="11347"/>
    <cellStyle name="Normal 2 3 3 2 4 2 6" xfId="18314"/>
    <cellStyle name="Normal 2 3 3 2 4 2 7" xfId="25281"/>
    <cellStyle name="Normal 2 3 3 2 4 2 8" xfId="32249"/>
    <cellStyle name="Normal 2 3 3 2 4 3" xfId="3507"/>
    <cellStyle name="Normal 2 3 3 2 4 3 2" xfId="5393"/>
    <cellStyle name="Normal 2 3 3 2 4 3 2 2" xfId="10231"/>
    <cellStyle name="Normal 2 3 3 2 4 3 2 2 2" xfId="17229"/>
    <cellStyle name="Normal 2 3 3 2 4 3 2 2 3" xfId="24196"/>
    <cellStyle name="Normal 2 3 3 2 4 3 2 2 4" xfId="31163"/>
    <cellStyle name="Normal 2 3 3 2 4 3 2 2 5" xfId="38132"/>
    <cellStyle name="Normal 2 3 3 2 4 3 2 3" xfId="14909"/>
    <cellStyle name="Normal 2 3 3 2 4 3 2 3 2" xfId="21876"/>
    <cellStyle name="Normal 2 3 3 2 4 3 2 3 3" xfId="28843"/>
    <cellStyle name="Normal 2 3 3 2 4 3 2 3 4" xfId="35812"/>
    <cellStyle name="Normal 2 3 3 2 4 3 2 4" xfId="12587"/>
    <cellStyle name="Normal 2 3 3 2 4 3 2 5" xfId="19554"/>
    <cellStyle name="Normal 2 3 3 2 4 3 2 6" xfId="26521"/>
    <cellStyle name="Normal 2 3 3 2 4 3 2 7" xfId="33489"/>
    <cellStyle name="Normal 2 3 3 2 4 3 3" xfId="9119"/>
    <cellStyle name="Normal 2 3 3 2 4 3 3 2" xfId="16158"/>
    <cellStyle name="Normal 2 3 3 2 4 3 3 3" xfId="23125"/>
    <cellStyle name="Normal 2 3 3 2 4 3 3 4" xfId="30092"/>
    <cellStyle name="Normal 2 3 3 2 4 3 3 5" xfId="37061"/>
    <cellStyle name="Normal 2 3 3 2 4 3 4" xfId="13838"/>
    <cellStyle name="Normal 2 3 3 2 4 3 4 2" xfId="20805"/>
    <cellStyle name="Normal 2 3 3 2 4 3 4 3" xfId="27772"/>
    <cellStyle name="Normal 2 3 3 2 4 3 4 4" xfId="34741"/>
    <cellStyle name="Normal 2 3 3 2 4 3 5" xfId="11516"/>
    <cellStyle name="Normal 2 3 3 2 4 3 6" xfId="18483"/>
    <cellStyle name="Normal 2 3 3 2 4 3 7" xfId="25450"/>
    <cellStyle name="Normal 2 3 3 2 4 3 8" xfId="32418"/>
    <cellStyle name="Normal 2 3 3 2 4 4" xfId="3682"/>
    <cellStyle name="Normal 2 3 3 2 4 4 2" xfId="5394"/>
    <cellStyle name="Normal 2 3 3 2 4 4 2 2" xfId="10232"/>
    <cellStyle name="Normal 2 3 3 2 4 4 2 2 2" xfId="17230"/>
    <cellStyle name="Normal 2 3 3 2 4 4 2 2 3" xfId="24197"/>
    <cellStyle name="Normal 2 3 3 2 4 4 2 2 4" xfId="31164"/>
    <cellStyle name="Normal 2 3 3 2 4 4 2 2 5" xfId="38133"/>
    <cellStyle name="Normal 2 3 3 2 4 4 2 3" xfId="14910"/>
    <cellStyle name="Normal 2 3 3 2 4 4 2 3 2" xfId="21877"/>
    <cellStyle name="Normal 2 3 3 2 4 4 2 3 3" xfId="28844"/>
    <cellStyle name="Normal 2 3 3 2 4 4 2 3 4" xfId="35813"/>
    <cellStyle name="Normal 2 3 3 2 4 4 2 4" xfId="12588"/>
    <cellStyle name="Normal 2 3 3 2 4 4 2 5" xfId="19555"/>
    <cellStyle name="Normal 2 3 3 2 4 4 2 6" xfId="26522"/>
    <cellStyle name="Normal 2 3 3 2 4 4 2 7" xfId="33490"/>
    <cellStyle name="Normal 2 3 3 2 4 4 3" xfId="9290"/>
    <cellStyle name="Normal 2 3 3 2 4 4 3 2" xfId="16329"/>
    <cellStyle name="Normal 2 3 3 2 4 4 3 3" xfId="23296"/>
    <cellStyle name="Normal 2 3 3 2 4 4 3 4" xfId="30263"/>
    <cellStyle name="Normal 2 3 3 2 4 4 3 5" xfId="37232"/>
    <cellStyle name="Normal 2 3 3 2 4 4 4" xfId="14009"/>
    <cellStyle name="Normal 2 3 3 2 4 4 4 2" xfId="20976"/>
    <cellStyle name="Normal 2 3 3 2 4 4 4 3" xfId="27943"/>
    <cellStyle name="Normal 2 3 3 2 4 4 4 4" xfId="34912"/>
    <cellStyle name="Normal 2 3 3 2 4 4 5" xfId="11687"/>
    <cellStyle name="Normal 2 3 3 2 4 4 6" xfId="18654"/>
    <cellStyle name="Normal 2 3 3 2 4 4 7" xfId="25621"/>
    <cellStyle name="Normal 2 3 3 2 4 4 8" xfId="32589"/>
    <cellStyle name="Normal 2 3 3 2 4 5" xfId="3959"/>
    <cellStyle name="Normal 2 3 3 2 4 5 2" xfId="5395"/>
    <cellStyle name="Normal 2 3 3 2 4 5 2 2" xfId="10233"/>
    <cellStyle name="Normal 2 3 3 2 4 5 2 2 2" xfId="17231"/>
    <cellStyle name="Normal 2 3 3 2 4 5 2 2 3" xfId="24198"/>
    <cellStyle name="Normal 2 3 3 2 4 5 2 2 4" xfId="31165"/>
    <cellStyle name="Normal 2 3 3 2 4 5 2 2 5" xfId="38134"/>
    <cellStyle name="Normal 2 3 3 2 4 5 2 3" xfId="14911"/>
    <cellStyle name="Normal 2 3 3 2 4 5 2 3 2" xfId="21878"/>
    <cellStyle name="Normal 2 3 3 2 4 5 2 3 3" xfId="28845"/>
    <cellStyle name="Normal 2 3 3 2 4 5 2 3 4" xfId="35814"/>
    <cellStyle name="Normal 2 3 3 2 4 5 2 4" xfId="12589"/>
    <cellStyle name="Normal 2 3 3 2 4 5 2 5" xfId="19556"/>
    <cellStyle name="Normal 2 3 3 2 4 5 2 6" xfId="26523"/>
    <cellStyle name="Normal 2 3 3 2 4 5 2 7" xfId="33491"/>
    <cellStyle name="Normal 2 3 3 2 4 5 3" xfId="9565"/>
    <cellStyle name="Normal 2 3 3 2 4 5 3 2" xfId="16601"/>
    <cellStyle name="Normal 2 3 3 2 4 5 3 3" xfId="23568"/>
    <cellStyle name="Normal 2 3 3 2 4 5 3 4" xfId="30535"/>
    <cellStyle name="Normal 2 3 3 2 4 5 3 5" xfId="37504"/>
    <cellStyle name="Normal 2 3 3 2 4 5 4" xfId="14281"/>
    <cellStyle name="Normal 2 3 3 2 4 5 4 2" xfId="21248"/>
    <cellStyle name="Normal 2 3 3 2 4 5 4 3" xfId="28215"/>
    <cellStyle name="Normal 2 3 3 2 4 5 4 4" xfId="35184"/>
    <cellStyle name="Normal 2 3 3 2 4 5 5" xfId="11959"/>
    <cellStyle name="Normal 2 3 3 2 4 5 6" xfId="18926"/>
    <cellStyle name="Normal 2 3 3 2 4 5 7" xfId="25893"/>
    <cellStyle name="Normal 2 3 3 2 4 5 8" xfId="32861"/>
    <cellStyle name="Normal 2 3 3 2 4 6" xfId="5391"/>
    <cellStyle name="Normal 2 3 3 2 4 6 2" xfId="10229"/>
    <cellStyle name="Normal 2 3 3 2 4 6 2 2" xfId="17227"/>
    <cellStyle name="Normal 2 3 3 2 4 6 2 3" xfId="24194"/>
    <cellStyle name="Normal 2 3 3 2 4 6 2 4" xfId="31161"/>
    <cellStyle name="Normal 2 3 3 2 4 6 2 5" xfId="38130"/>
    <cellStyle name="Normal 2 3 3 2 4 6 3" xfId="14907"/>
    <cellStyle name="Normal 2 3 3 2 4 6 3 2" xfId="21874"/>
    <cellStyle name="Normal 2 3 3 2 4 6 3 3" xfId="28841"/>
    <cellStyle name="Normal 2 3 3 2 4 6 3 4" xfId="35810"/>
    <cellStyle name="Normal 2 3 3 2 4 6 4" xfId="12585"/>
    <cellStyle name="Normal 2 3 3 2 4 6 5" xfId="19552"/>
    <cellStyle name="Normal 2 3 3 2 4 6 6" xfId="26519"/>
    <cellStyle name="Normal 2 3 3 2 4 6 7" xfId="33487"/>
    <cellStyle name="Normal 2 3 3 2 4 7" xfId="6853"/>
    <cellStyle name="Normal 2 3 3 2 4 7 2" xfId="10822"/>
    <cellStyle name="Normal 2 3 3 2 4 7 2 2" xfId="17796"/>
    <cellStyle name="Normal 2 3 3 2 4 7 2 3" xfId="24763"/>
    <cellStyle name="Normal 2 3 3 2 4 7 2 4" xfId="31730"/>
    <cellStyle name="Normal 2 3 3 2 4 7 2 5" xfId="38699"/>
    <cellStyle name="Normal 2 3 3 2 4 7 3" xfId="15476"/>
    <cellStyle name="Normal 2 3 3 2 4 7 3 2" xfId="22443"/>
    <cellStyle name="Normal 2 3 3 2 4 7 3 3" xfId="29410"/>
    <cellStyle name="Normal 2 3 3 2 4 7 3 4" xfId="36379"/>
    <cellStyle name="Normal 2 3 3 2 4 7 4" xfId="13154"/>
    <cellStyle name="Normal 2 3 3 2 4 7 5" xfId="20121"/>
    <cellStyle name="Normal 2 3 3 2 4 7 6" xfId="27088"/>
    <cellStyle name="Normal 2 3 3 2 4 7 7" xfId="34057"/>
    <cellStyle name="Normal 2 3 3 2 4 8" xfId="7165"/>
    <cellStyle name="Normal 2 3 3 2 4 8 2" xfId="15649"/>
    <cellStyle name="Normal 2 3 3 2 4 8 2 2" xfId="22616"/>
    <cellStyle name="Normal 2 3 3 2 4 8 2 3" xfId="29583"/>
    <cellStyle name="Normal 2 3 3 2 4 8 2 4" xfId="36552"/>
    <cellStyle name="Normal 2 3 3 2 4 8 3" xfId="13327"/>
    <cellStyle name="Normal 2 3 3 2 4 8 4" xfId="20294"/>
    <cellStyle name="Normal 2 3 3 2 4 8 5" xfId="27261"/>
    <cellStyle name="Normal 2 3 3 2 4 8 6" xfId="34230"/>
    <cellStyle name="Normal 2 3 3 2 4 9" xfId="8058"/>
    <cellStyle name="Normal 2 3 3 2 4 9 2" xfId="15822"/>
    <cellStyle name="Normal 2 3 3 2 4 9 2 2" xfId="22789"/>
    <cellStyle name="Normal 2 3 3 2 4 9 2 3" xfId="29756"/>
    <cellStyle name="Normal 2 3 3 2 4 9 2 4" xfId="36725"/>
    <cellStyle name="Normal 2 3 3 2 4 9 3" xfId="11178"/>
    <cellStyle name="Normal 2 3 3 2 4 9 4" xfId="18145"/>
    <cellStyle name="Normal 2 3 3 2 4 9 5" xfId="25112"/>
    <cellStyle name="Normal 2 3 3 2 4 9 6" xfId="32080"/>
    <cellStyle name="Normal 2 3 3 2 5" xfId="3301"/>
    <cellStyle name="Normal 2 3 3 2 5 2" xfId="3805"/>
    <cellStyle name="Normal 2 3 3 2 5 2 2" xfId="5397"/>
    <cellStyle name="Normal 2 3 3 2 5 2 2 2" xfId="10235"/>
    <cellStyle name="Normal 2 3 3 2 5 2 2 2 2" xfId="17233"/>
    <cellStyle name="Normal 2 3 3 2 5 2 2 2 3" xfId="24200"/>
    <cellStyle name="Normal 2 3 3 2 5 2 2 2 4" xfId="31167"/>
    <cellStyle name="Normal 2 3 3 2 5 2 2 2 5" xfId="38136"/>
    <cellStyle name="Normal 2 3 3 2 5 2 2 3" xfId="14913"/>
    <cellStyle name="Normal 2 3 3 2 5 2 2 3 2" xfId="21880"/>
    <cellStyle name="Normal 2 3 3 2 5 2 2 3 3" xfId="28847"/>
    <cellStyle name="Normal 2 3 3 2 5 2 2 3 4" xfId="35816"/>
    <cellStyle name="Normal 2 3 3 2 5 2 2 4" xfId="12591"/>
    <cellStyle name="Normal 2 3 3 2 5 2 2 5" xfId="19558"/>
    <cellStyle name="Normal 2 3 3 2 5 2 2 6" xfId="26525"/>
    <cellStyle name="Normal 2 3 3 2 5 2 2 7" xfId="33493"/>
    <cellStyle name="Normal 2 3 3 2 5 2 3" xfId="9411"/>
    <cellStyle name="Normal 2 3 3 2 5 2 3 2" xfId="16449"/>
    <cellStyle name="Normal 2 3 3 2 5 2 3 3" xfId="23416"/>
    <cellStyle name="Normal 2 3 3 2 5 2 3 4" xfId="30383"/>
    <cellStyle name="Normal 2 3 3 2 5 2 3 5" xfId="37352"/>
    <cellStyle name="Normal 2 3 3 2 5 2 4" xfId="14129"/>
    <cellStyle name="Normal 2 3 3 2 5 2 4 2" xfId="21096"/>
    <cellStyle name="Normal 2 3 3 2 5 2 4 3" xfId="28063"/>
    <cellStyle name="Normal 2 3 3 2 5 2 4 4" xfId="35032"/>
    <cellStyle name="Normal 2 3 3 2 5 2 5" xfId="11807"/>
    <cellStyle name="Normal 2 3 3 2 5 2 6" xfId="18774"/>
    <cellStyle name="Normal 2 3 3 2 5 2 7" xfId="25741"/>
    <cellStyle name="Normal 2 3 3 2 5 2 8" xfId="32709"/>
    <cellStyle name="Normal 2 3 3 2 5 3" xfId="5396"/>
    <cellStyle name="Normal 2 3 3 2 5 3 2" xfId="10234"/>
    <cellStyle name="Normal 2 3 3 2 5 3 2 2" xfId="17232"/>
    <cellStyle name="Normal 2 3 3 2 5 3 2 3" xfId="24199"/>
    <cellStyle name="Normal 2 3 3 2 5 3 2 4" xfId="31166"/>
    <cellStyle name="Normal 2 3 3 2 5 3 2 5" xfId="38135"/>
    <cellStyle name="Normal 2 3 3 2 5 3 3" xfId="14912"/>
    <cellStyle name="Normal 2 3 3 2 5 3 3 2" xfId="21879"/>
    <cellStyle name="Normal 2 3 3 2 5 3 3 3" xfId="28846"/>
    <cellStyle name="Normal 2 3 3 2 5 3 3 4" xfId="35815"/>
    <cellStyle name="Normal 2 3 3 2 5 3 4" xfId="12590"/>
    <cellStyle name="Normal 2 3 3 2 5 3 5" xfId="19557"/>
    <cellStyle name="Normal 2 3 3 2 5 3 6" xfId="26524"/>
    <cellStyle name="Normal 2 3 3 2 5 3 7" xfId="33492"/>
    <cellStyle name="Normal 2 3 3 2 5 4" xfId="8935"/>
    <cellStyle name="Normal 2 3 3 2 5 4 2" xfId="15987"/>
    <cellStyle name="Normal 2 3 3 2 5 4 3" xfId="22954"/>
    <cellStyle name="Normal 2 3 3 2 5 4 4" xfId="29921"/>
    <cellStyle name="Normal 2 3 3 2 5 4 5" xfId="36890"/>
    <cellStyle name="Normal 2 3 3 2 5 5" xfId="13665"/>
    <cellStyle name="Normal 2 3 3 2 5 5 2" xfId="20632"/>
    <cellStyle name="Normal 2 3 3 2 5 5 3" xfId="27599"/>
    <cellStyle name="Normal 2 3 3 2 5 5 4" xfId="34568"/>
    <cellStyle name="Normal 2 3 3 2 5 6" xfId="11343"/>
    <cellStyle name="Normal 2 3 3 2 5 7" xfId="18310"/>
    <cellStyle name="Normal 2 3 3 2 5 8" xfId="25277"/>
    <cellStyle name="Normal 2 3 3 2 5 9" xfId="32245"/>
    <cellStyle name="Normal 2 3 3 2 6" xfId="3503"/>
    <cellStyle name="Normal 2 3 3 2 6 2" xfId="5398"/>
    <cellStyle name="Normal 2 3 3 2 6 2 2" xfId="10236"/>
    <cellStyle name="Normal 2 3 3 2 6 2 2 2" xfId="17234"/>
    <cellStyle name="Normal 2 3 3 2 6 2 2 3" xfId="24201"/>
    <cellStyle name="Normal 2 3 3 2 6 2 2 4" xfId="31168"/>
    <cellStyle name="Normal 2 3 3 2 6 2 2 5" xfId="38137"/>
    <cellStyle name="Normal 2 3 3 2 6 2 3" xfId="14914"/>
    <cellStyle name="Normal 2 3 3 2 6 2 3 2" xfId="21881"/>
    <cellStyle name="Normal 2 3 3 2 6 2 3 3" xfId="28848"/>
    <cellStyle name="Normal 2 3 3 2 6 2 3 4" xfId="35817"/>
    <cellStyle name="Normal 2 3 3 2 6 2 4" xfId="12592"/>
    <cellStyle name="Normal 2 3 3 2 6 2 5" xfId="19559"/>
    <cellStyle name="Normal 2 3 3 2 6 2 6" xfId="26526"/>
    <cellStyle name="Normal 2 3 3 2 6 2 7" xfId="33494"/>
    <cellStyle name="Normal 2 3 3 2 6 3" xfId="9115"/>
    <cellStyle name="Normal 2 3 3 2 6 3 2" xfId="16154"/>
    <cellStyle name="Normal 2 3 3 2 6 3 3" xfId="23121"/>
    <cellStyle name="Normal 2 3 3 2 6 3 4" xfId="30088"/>
    <cellStyle name="Normal 2 3 3 2 6 3 5" xfId="37057"/>
    <cellStyle name="Normal 2 3 3 2 6 4" xfId="13834"/>
    <cellStyle name="Normal 2 3 3 2 6 4 2" xfId="20801"/>
    <cellStyle name="Normal 2 3 3 2 6 4 3" xfId="27768"/>
    <cellStyle name="Normal 2 3 3 2 6 4 4" xfId="34737"/>
    <cellStyle name="Normal 2 3 3 2 6 5" xfId="11512"/>
    <cellStyle name="Normal 2 3 3 2 6 6" xfId="18479"/>
    <cellStyle name="Normal 2 3 3 2 6 7" xfId="25446"/>
    <cellStyle name="Normal 2 3 3 2 6 8" xfId="32414"/>
    <cellStyle name="Normal 2 3 3 2 7" xfId="3678"/>
    <cellStyle name="Normal 2 3 3 2 7 2" xfId="5399"/>
    <cellStyle name="Normal 2 3 3 2 7 2 2" xfId="10237"/>
    <cellStyle name="Normal 2 3 3 2 7 2 2 2" xfId="17235"/>
    <cellStyle name="Normal 2 3 3 2 7 2 2 3" xfId="24202"/>
    <cellStyle name="Normal 2 3 3 2 7 2 2 4" xfId="31169"/>
    <cellStyle name="Normal 2 3 3 2 7 2 2 5" xfId="38138"/>
    <cellStyle name="Normal 2 3 3 2 7 2 3" xfId="14915"/>
    <cellStyle name="Normal 2 3 3 2 7 2 3 2" xfId="21882"/>
    <cellStyle name="Normal 2 3 3 2 7 2 3 3" xfId="28849"/>
    <cellStyle name="Normal 2 3 3 2 7 2 3 4" xfId="35818"/>
    <cellStyle name="Normal 2 3 3 2 7 2 4" xfId="12593"/>
    <cellStyle name="Normal 2 3 3 2 7 2 5" xfId="19560"/>
    <cellStyle name="Normal 2 3 3 2 7 2 6" xfId="26527"/>
    <cellStyle name="Normal 2 3 3 2 7 2 7" xfId="33495"/>
    <cellStyle name="Normal 2 3 3 2 7 3" xfId="9286"/>
    <cellStyle name="Normal 2 3 3 2 7 3 2" xfId="16325"/>
    <cellStyle name="Normal 2 3 3 2 7 3 3" xfId="23292"/>
    <cellStyle name="Normal 2 3 3 2 7 3 4" xfId="30259"/>
    <cellStyle name="Normal 2 3 3 2 7 3 5" xfId="37228"/>
    <cellStyle name="Normal 2 3 3 2 7 4" xfId="14005"/>
    <cellStyle name="Normal 2 3 3 2 7 4 2" xfId="20972"/>
    <cellStyle name="Normal 2 3 3 2 7 4 3" xfId="27939"/>
    <cellStyle name="Normal 2 3 3 2 7 4 4" xfId="34908"/>
    <cellStyle name="Normal 2 3 3 2 7 5" xfId="11683"/>
    <cellStyle name="Normal 2 3 3 2 7 6" xfId="18650"/>
    <cellStyle name="Normal 2 3 3 2 7 7" xfId="25617"/>
    <cellStyle name="Normal 2 3 3 2 7 8" xfId="32585"/>
    <cellStyle name="Normal 2 3 3 2 8" xfId="3955"/>
    <cellStyle name="Normal 2 3 3 2 8 2" xfId="5400"/>
    <cellStyle name="Normal 2 3 3 2 8 2 2" xfId="10238"/>
    <cellStyle name="Normal 2 3 3 2 8 2 2 2" xfId="17236"/>
    <cellStyle name="Normal 2 3 3 2 8 2 2 3" xfId="24203"/>
    <cellStyle name="Normal 2 3 3 2 8 2 2 4" xfId="31170"/>
    <cellStyle name="Normal 2 3 3 2 8 2 2 5" xfId="38139"/>
    <cellStyle name="Normal 2 3 3 2 8 2 3" xfId="14916"/>
    <cellStyle name="Normal 2 3 3 2 8 2 3 2" xfId="21883"/>
    <cellStyle name="Normal 2 3 3 2 8 2 3 3" xfId="28850"/>
    <cellStyle name="Normal 2 3 3 2 8 2 3 4" xfId="35819"/>
    <cellStyle name="Normal 2 3 3 2 8 2 4" xfId="12594"/>
    <cellStyle name="Normal 2 3 3 2 8 2 5" xfId="19561"/>
    <cellStyle name="Normal 2 3 3 2 8 2 6" xfId="26528"/>
    <cellStyle name="Normal 2 3 3 2 8 2 7" xfId="33496"/>
    <cellStyle name="Normal 2 3 3 2 8 3" xfId="9561"/>
    <cellStyle name="Normal 2 3 3 2 8 3 2" xfId="16597"/>
    <cellStyle name="Normal 2 3 3 2 8 3 3" xfId="23564"/>
    <cellStyle name="Normal 2 3 3 2 8 3 4" xfId="30531"/>
    <cellStyle name="Normal 2 3 3 2 8 3 5" xfId="37500"/>
    <cellStyle name="Normal 2 3 3 2 8 4" xfId="14277"/>
    <cellStyle name="Normal 2 3 3 2 8 4 2" xfId="21244"/>
    <cellStyle name="Normal 2 3 3 2 8 4 3" xfId="28211"/>
    <cellStyle name="Normal 2 3 3 2 8 4 4" xfId="35180"/>
    <cellStyle name="Normal 2 3 3 2 8 5" xfId="11955"/>
    <cellStyle name="Normal 2 3 3 2 8 6" xfId="18922"/>
    <cellStyle name="Normal 2 3 3 2 8 7" xfId="25889"/>
    <cellStyle name="Normal 2 3 3 2 8 8" xfId="32857"/>
    <cellStyle name="Normal 2 3 3 2 9" xfId="5374"/>
    <cellStyle name="Normal 2 3 3 2 9 2" xfId="10212"/>
    <cellStyle name="Normal 2 3 3 2 9 2 2" xfId="17210"/>
    <cellStyle name="Normal 2 3 3 2 9 2 3" xfId="24177"/>
    <cellStyle name="Normal 2 3 3 2 9 2 4" xfId="31144"/>
    <cellStyle name="Normal 2 3 3 2 9 2 5" xfId="38113"/>
    <cellStyle name="Normal 2 3 3 2 9 3" xfId="14890"/>
    <cellStyle name="Normal 2 3 3 2 9 3 2" xfId="21857"/>
    <cellStyle name="Normal 2 3 3 2 9 3 3" xfId="28824"/>
    <cellStyle name="Normal 2 3 3 2 9 3 4" xfId="35793"/>
    <cellStyle name="Normal 2 3 3 2 9 4" xfId="12568"/>
    <cellStyle name="Normal 2 3 3 2 9 5" xfId="19535"/>
    <cellStyle name="Normal 2 3 3 2 9 6" xfId="26502"/>
    <cellStyle name="Normal 2 3 3 2 9 7" xfId="33470"/>
    <cellStyle name="Normal 2 3 3 3" xfId="1697"/>
    <cellStyle name="Normal 2 3 3 3 2" xfId="1698"/>
    <cellStyle name="Normal 2 3 3 3 2 2" xfId="1699"/>
    <cellStyle name="Normal 2 3 3 3 2 3" xfId="1700"/>
    <cellStyle name="Normal 2 3 3 3 2 3 10" xfId="13501"/>
    <cellStyle name="Normal 2 3 3 3 2 3 10 2" xfId="20468"/>
    <cellStyle name="Normal 2 3 3 3 2 3 10 3" xfId="27435"/>
    <cellStyle name="Normal 2 3 3 3 2 3 10 4" xfId="34404"/>
    <cellStyle name="Normal 2 3 3 3 2 3 11" xfId="11006"/>
    <cellStyle name="Normal 2 3 3 3 2 3 12" xfId="17972"/>
    <cellStyle name="Normal 2 3 3 3 2 3 13" xfId="24940"/>
    <cellStyle name="Normal 2 3 3 3 2 3 14" xfId="31908"/>
    <cellStyle name="Normal 2 3 3 3 2 3 2" xfId="3306"/>
    <cellStyle name="Normal 2 3 3 3 2 3 2 2" xfId="5402"/>
    <cellStyle name="Normal 2 3 3 3 2 3 2 2 2" xfId="10240"/>
    <cellStyle name="Normal 2 3 3 3 2 3 2 2 2 2" xfId="17238"/>
    <cellStyle name="Normal 2 3 3 3 2 3 2 2 2 3" xfId="24205"/>
    <cellStyle name="Normal 2 3 3 3 2 3 2 2 2 4" xfId="31172"/>
    <cellStyle name="Normal 2 3 3 3 2 3 2 2 2 5" xfId="38141"/>
    <cellStyle name="Normal 2 3 3 3 2 3 2 2 3" xfId="14918"/>
    <cellStyle name="Normal 2 3 3 3 2 3 2 2 3 2" xfId="21885"/>
    <cellStyle name="Normal 2 3 3 3 2 3 2 2 3 3" xfId="28852"/>
    <cellStyle name="Normal 2 3 3 3 2 3 2 2 3 4" xfId="35821"/>
    <cellStyle name="Normal 2 3 3 3 2 3 2 2 4" xfId="12596"/>
    <cellStyle name="Normal 2 3 3 3 2 3 2 2 5" xfId="19563"/>
    <cellStyle name="Normal 2 3 3 3 2 3 2 2 6" xfId="26530"/>
    <cellStyle name="Normal 2 3 3 3 2 3 2 2 7" xfId="33498"/>
    <cellStyle name="Normal 2 3 3 3 2 3 2 3" xfId="8940"/>
    <cellStyle name="Normal 2 3 3 3 2 3 2 3 2" xfId="15992"/>
    <cellStyle name="Normal 2 3 3 3 2 3 2 3 3" xfId="22959"/>
    <cellStyle name="Normal 2 3 3 3 2 3 2 3 4" xfId="29926"/>
    <cellStyle name="Normal 2 3 3 3 2 3 2 3 5" xfId="36895"/>
    <cellStyle name="Normal 2 3 3 3 2 3 2 4" xfId="13670"/>
    <cellStyle name="Normal 2 3 3 3 2 3 2 4 2" xfId="20637"/>
    <cellStyle name="Normal 2 3 3 3 2 3 2 4 3" xfId="27604"/>
    <cellStyle name="Normal 2 3 3 3 2 3 2 4 4" xfId="34573"/>
    <cellStyle name="Normal 2 3 3 3 2 3 2 5" xfId="11348"/>
    <cellStyle name="Normal 2 3 3 3 2 3 2 6" xfId="18315"/>
    <cellStyle name="Normal 2 3 3 3 2 3 2 7" xfId="25282"/>
    <cellStyle name="Normal 2 3 3 3 2 3 2 8" xfId="32250"/>
    <cellStyle name="Normal 2 3 3 3 2 3 3" xfId="3508"/>
    <cellStyle name="Normal 2 3 3 3 2 3 3 2" xfId="5403"/>
    <cellStyle name="Normal 2 3 3 3 2 3 3 2 2" xfId="10241"/>
    <cellStyle name="Normal 2 3 3 3 2 3 3 2 2 2" xfId="17239"/>
    <cellStyle name="Normal 2 3 3 3 2 3 3 2 2 3" xfId="24206"/>
    <cellStyle name="Normal 2 3 3 3 2 3 3 2 2 4" xfId="31173"/>
    <cellStyle name="Normal 2 3 3 3 2 3 3 2 2 5" xfId="38142"/>
    <cellStyle name="Normal 2 3 3 3 2 3 3 2 3" xfId="14919"/>
    <cellStyle name="Normal 2 3 3 3 2 3 3 2 3 2" xfId="21886"/>
    <cellStyle name="Normal 2 3 3 3 2 3 3 2 3 3" xfId="28853"/>
    <cellStyle name="Normal 2 3 3 3 2 3 3 2 3 4" xfId="35822"/>
    <cellStyle name="Normal 2 3 3 3 2 3 3 2 4" xfId="12597"/>
    <cellStyle name="Normal 2 3 3 3 2 3 3 2 5" xfId="19564"/>
    <cellStyle name="Normal 2 3 3 3 2 3 3 2 6" xfId="26531"/>
    <cellStyle name="Normal 2 3 3 3 2 3 3 2 7" xfId="33499"/>
    <cellStyle name="Normal 2 3 3 3 2 3 3 3" xfId="9120"/>
    <cellStyle name="Normal 2 3 3 3 2 3 3 3 2" xfId="16159"/>
    <cellStyle name="Normal 2 3 3 3 2 3 3 3 3" xfId="23126"/>
    <cellStyle name="Normal 2 3 3 3 2 3 3 3 4" xfId="30093"/>
    <cellStyle name="Normal 2 3 3 3 2 3 3 3 5" xfId="37062"/>
    <cellStyle name="Normal 2 3 3 3 2 3 3 4" xfId="13839"/>
    <cellStyle name="Normal 2 3 3 3 2 3 3 4 2" xfId="20806"/>
    <cellStyle name="Normal 2 3 3 3 2 3 3 4 3" xfId="27773"/>
    <cellStyle name="Normal 2 3 3 3 2 3 3 4 4" xfId="34742"/>
    <cellStyle name="Normal 2 3 3 3 2 3 3 5" xfId="11517"/>
    <cellStyle name="Normal 2 3 3 3 2 3 3 6" xfId="18484"/>
    <cellStyle name="Normal 2 3 3 3 2 3 3 7" xfId="25451"/>
    <cellStyle name="Normal 2 3 3 3 2 3 3 8" xfId="32419"/>
    <cellStyle name="Normal 2 3 3 3 2 3 4" xfId="3683"/>
    <cellStyle name="Normal 2 3 3 3 2 3 4 2" xfId="5404"/>
    <cellStyle name="Normal 2 3 3 3 2 3 4 2 2" xfId="10242"/>
    <cellStyle name="Normal 2 3 3 3 2 3 4 2 2 2" xfId="17240"/>
    <cellStyle name="Normal 2 3 3 3 2 3 4 2 2 3" xfId="24207"/>
    <cellStyle name="Normal 2 3 3 3 2 3 4 2 2 4" xfId="31174"/>
    <cellStyle name="Normal 2 3 3 3 2 3 4 2 2 5" xfId="38143"/>
    <cellStyle name="Normal 2 3 3 3 2 3 4 2 3" xfId="14920"/>
    <cellStyle name="Normal 2 3 3 3 2 3 4 2 3 2" xfId="21887"/>
    <cellStyle name="Normal 2 3 3 3 2 3 4 2 3 3" xfId="28854"/>
    <cellStyle name="Normal 2 3 3 3 2 3 4 2 3 4" xfId="35823"/>
    <cellStyle name="Normal 2 3 3 3 2 3 4 2 4" xfId="12598"/>
    <cellStyle name="Normal 2 3 3 3 2 3 4 2 5" xfId="19565"/>
    <cellStyle name="Normal 2 3 3 3 2 3 4 2 6" xfId="26532"/>
    <cellStyle name="Normal 2 3 3 3 2 3 4 2 7" xfId="33500"/>
    <cellStyle name="Normal 2 3 3 3 2 3 4 3" xfId="9291"/>
    <cellStyle name="Normal 2 3 3 3 2 3 4 3 2" xfId="16330"/>
    <cellStyle name="Normal 2 3 3 3 2 3 4 3 3" xfId="23297"/>
    <cellStyle name="Normal 2 3 3 3 2 3 4 3 4" xfId="30264"/>
    <cellStyle name="Normal 2 3 3 3 2 3 4 3 5" xfId="37233"/>
    <cellStyle name="Normal 2 3 3 3 2 3 4 4" xfId="14010"/>
    <cellStyle name="Normal 2 3 3 3 2 3 4 4 2" xfId="20977"/>
    <cellStyle name="Normal 2 3 3 3 2 3 4 4 3" xfId="27944"/>
    <cellStyle name="Normal 2 3 3 3 2 3 4 4 4" xfId="34913"/>
    <cellStyle name="Normal 2 3 3 3 2 3 4 5" xfId="11688"/>
    <cellStyle name="Normal 2 3 3 3 2 3 4 6" xfId="18655"/>
    <cellStyle name="Normal 2 3 3 3 2 3 4 7" xfId="25622"/>
    <cellStyle name="Normal 2 3 3 3 2 3 4 8" xfId="32590"/>
    <cellStyle name="Normal 2 3 3 3 2 3 5" xfId="3960"/>
    <cellStyle name="Normal 2 3 3 3 2 3 5 2" xfId="5405"/>
    <cellStyle name="Normal 2 3 3 3 2 3 5 2 2" xfId="10243"/>
    <cellStyle name="Normal 2 3 3 3 2 3 5 2 2 2" xfId="17241"/>
    <cellStyle name="Normal 2 3 3 3 2 3 5 2 2 3" xfId="24208"/>
    <cellStyle name="Normal 2 3 3 3 2 3 5 2 2 4" xfId="31175"/>
    <cellStyle name="Normal 2 3 3 3 2 3 5 2 2 5" xfId="38144"/>
    <cellStyle name="Normal 2 3 3 3 2 3 5 2 3" xfId="14921"/>
    <cellStyle name="Normal 2 3 3 3 2 3 5 2 3 2" xfId="21888"/>
    <cellStyle name="Normal 2 3 3 3 2 3 5 2 3 3" xfId="28855"/>
    <cellStyle name="Normal 2 3 3 3 2 3 5 2 3 4" xfId="35824"/>
    <cellStyle name="Normal 2 3 3 3 2 3 5 2 4" xfId="12599"/>
    <cellStyle name="Normal 2 3 3 3 2 3 5 2 5" xfId="19566"/>
    <cellStyle name="Normal 2 3 3 3 2 3 5 2 6" xfId="26533"/>
    <cellStyle name="Normal 2 3 3 3 2 3 5 2 7" xfId="33501"/>
    <cellStyle name="Normal 2 3 3 3 2 3 5 3" xfId="9566"/>
    <cellStyle name="Normal 2 3 3 3 2 3 5 3 2" xfId="16602"/>
    <cellStyle name="Normal 2 3 3 3 2 3 5 3 3" xfId="23569"/>
    <cellStyle name="Normal 2 3 3 3 2 3 5 3 4" xfId="30536"/>
    <cellStyle name="Normal 2 3 3 3 2 3 5 3 5" xfId="37505"/>
    <cellStyle name="Normal 2 3 3 3 2 3 5 4" xfId="14282"/>
    <cellStyle name="Normal 2 3 3 3 2 3 5 4 2" xfId="21249"/>
    <cellStyle name="Normal 2 3 3 3 2 3 5 4 3" xfId="28216"/>
    <cellStyle name="Normal 2 3 3 3 2 3 5 4 4" xfId="35185"/>
    <cellStyle name="Normal 2 3 3 3 2 3 5 5" xfId="11960"/>
    <cellStyle name="Normal 2 3 3 3 2 3 5 6" xfId="18927"/>
    <cellStyle name="Normal 2 3 3 3 2 3 5 7" xfId="25894"/>
    <cellStyle name="Normal 2 3 3 3 2 3 5 8" xfId="32862"/>
    <cellStyle name="Normal 2 3 3 3 2 3 6" xfId="5401"/>
    <cellStyle name="Normal 2 3 3 3 2 3 6 2" xfId="10239"/>
    <cellStyle name="Normal 2 3 3 3 2 3 6 2 2" xfId="17237"/>
    <cellStyle name="Normal 2 3 3 3 2 3 6 2 3" xfId="24204"/>
    <cellStyle name="Normal 2 3 3 3 2 3 6 2 4" xfId="31171"/>
    <cellStyle name="Normal 2 3 3 3 2 3 6 2 5" xfId="38140"/>
    <cellStyle name="Normal 2 3 3 3 2 3 6 3" xfId="14917"/>
    <cellStyle name="Normal 2 3 3 3 2 3 6 3 2" xfId="21884"/>
    <cellStyle name="Normal 2 3 3 3 2 3 6 3 3" xfId="28851"/>
    <cellStyle name="Normal 2 3 3 3 2 3 6 3 4" xfId="35820"/>
    <cellStyle name="Normal 2 3 3 3 2 3 6 4" xfId="12595"/>
    <cellStyle name="Normal 2 3 3 3 2 3 6 5" xfId="19562"/>
    <cellStyle name="Normal 2 3 3 3 2 3 6 6" xfId="26529"/>
    <cellStyle name="Normal 2 3 3 3 2 3 6 7" xfId="33497"/>
    <cellStyle name="Normal 2 3 3 3 2 3 7" xfId="6854"/>
    <cellStyle name="Normal 2 3 3 3 2 3 7 2" xfId="10823"/>
    <cellStyle name="Normal 2 3 3 3 2 3 7 2 2" xfId="17797"/>
    <cellStyle name="Normal 2 3 3 3 2 3 7 2 3" xfId="24764"/>
    <cellStyle name="Normal 2 3 3 3 2 3 7 2 4" xfId="31731"/>
    <cellStyle name="Normal 2 3 3 3 2 3 7 2 5" xfId="38700"/>
    <cellStyle name="Normal 2 3 3 3 2 3 7 3" xfId="15477"/>
    <cellStyle name="Normal 2 3 3 3 2 3 7 3 2" xfId="22444"/>
    <cellStyle name="Normal 2 3 3 3 2 3 7 3 3" xfId="29411"/>
    <cellStyle name="Normal 2 3 3 3 2 3 7 3 4" xfId="36380"/>
    <cellStyle name="Normal 2 3 3 3 2 3 7 4" xfId="13155"/>
    <cellStyle name="Normal 2 3 3 3 2 3 7 5" xfId="20122"/>
    <cellStyle name="Normal 2 3 3 3 2 3 7 6" xfId="27089"/>
    <cellStyle name="Normal 2 3 3 3 2 3 7 7" xfId="34058"/>
    <cellStyle name="Normal 2 3 3 3 2 3 8" xfId="7166"/>
    <cellStyle name="Normal 2 3 3 3 2 3 8 2" xfId="15650"/>
    <cellStyle name="Normal 2 3 3 3 2 3 8 2 2" xfId="22617"/>
    <cellStyle name="Normal 2 3 3 3 2 3 8 2 3" xfId="29584"/>
    <cellStyle name="Normal 2 3 3 3 2 3 8 2 4" xfId="36553"/>
    <cellStyle name="Normal 2 3 3 3 2 3 8 3" xfId="13328"/>
    <cellStyle name="Normal 2 3 3 3 2 3 8 4" xfId="20295"/>
    <cellStyle name="Normal 2 3 3 3 2 3 8 5" xfId="27262"/>
    <cellStyle name="Normal 2 3 3 3 2 3 8 6" xfId="34231"/>
    <cellStyle name="Normal 2 3 3 3 2 3 9" xfId="8059"/>
    <cellStyle name="Normal 2 3 3 3 2 3 9 2" xfId="15823"/>
    <cellStyle name="Normal 2 3 3 3 2 3 9 2 2" xfId="22790"/>
    <cellStyle name="Normal 2 3 3 3 2 3 9 2 3" xfId="29757"/>
    <cellStyle name="Normal 2 3 3 3 2 3 9 2 4" xfId="36726"/>
    <cellStyle name="Normal 2 3 3 3 2 3 9 3" xfId="11179"/>
    <cellStyle name="Normal 2 3 3 3 2 3 9 4" xfId="18146"/>
    <cellStyle name="Normal 2 3 3 3 2 3 9 5" xfId="25113"/>
    <cellStyle name="Normal 2 3 3 3 2 3 9 6" xfId="32081"/>
    <cellStyle name="Normal 2 3 3 3 3" xfId="1701"/>
    <cellStyle name="Normal 2 3 3 3 3 10" xfId="13502"/>
    <cellStyle name="Normal 2 3 3 3 3 10 2" xfId="20469"/>
    <cellStyle name="Normal 2 3 3 3 3 10 3" xfId="27436"/>
    <cellStyle name="Normal 2 3 3 3 3 10 4" xfId="34405"/>
    <cellStyle name="Normal 2 3 3 3 3 11" xfId="11007"/>
    <cellStyle name="Normal 2 3 3 3 3 12" xfId="17973"/>
    <cellStyle name="Normal 2 3 3 3 3 13" xfId="24941"/>
    <cellStyle name="Normal 2 3 3 3 3 14" xfId="31909"/>
    <cellStyle name="Normal 2 3 3 3 3 2" xfId="3307"/>
    <cellStyle name="Normal 2 3 3 3 3 2 2" xfId="5407"/>
    <cellStyle name="Normal 2 3 3 3 3 2 2 2" xfId="10245"/>
    <cellStyle name="Normal 2 3 3 3 3 2 2 2 2" xfId="17243"/>
    <cellStyle name="Normal 2 3 3 3 3 2 2 2 3" xfId="24210"/>
    <cellStyle name="Normal 2 3 3 3 3 2 2 2 4" xfId="31177"/>
    <cellStyle name="Normal 2 3 3 3 3 2 2 2 5" xfId="38146"/>
    <cellStyle name="Normal 2 3 3 3 3 2 2 3" xfId="14923"/>
    <cellStyle name="Normal 2 3 3 3 3 2 2 3 2" xfId="21890"/>
    <cellStyle name="Normal 2 3 3 3 3 2 2 3 3" xfId="28857"/>
    <cellStyle name="Normal 2 3 3 3 3 2 2 3 4" xfId="35826"/>
    <cellStyle name="Normal 2 3 3 3 3 2 2 4" xfId="12601"/>
    <cellStyle name="Normal 2 3 3 3 3 2 2 5" xfId="19568"/>
    <cellStyle name="Normal 2 3 3 3 3 2 2 6" xfId="26535"/>
    <cellStyle name="Normal 2 3 3 3 3 2 2 7" xfId="33503"/>
    <cellStyle name="Normal 2 3 3 3 3 2 3" xfId="8941"/>
    <cellStyle name="Normal 2 3 3 3 3 2 3 2" xfId="15993"/>
    <cellStyle name="Normal 2 3 3 3 3 2 3 3" xfId="22960"/>
    <cellStyle name="Normal 2 3 3 3 3 2 3 4" xfId="29927"/>
    <cellStyle name="Normal 2 3 3 3 3 2 3 5" xfId="36896"/>
    <cellStyle name="Normal 2 3 3 3 3 2 4" xfId="13671"/>
    <cellStyle name="Normal 2 3 3 3 3 2 4 2" xfId="20638"/>
    <cellStyle name="Normal 2 3 3 3 3 2 4 3" xfId="27605"/>
    <cellStyle name="Normal 2 3 3 3 3 2 4 4" xfId="34574"/>
    <cellStyle name="Normal 2 3 3 3 3 2 5" xfId="11349"/>
    <cellStyle name="Normal 2 3 3 3 3 2 6" xfId="18316"/>
    <cellStyle name="Normal 2 3 3 3 3 2 7" xfId="25283"/>
    <cellStyle name="Normal 2 3 3 3 3 2 8" xfId="32251"/>
    <cellStyle name="Normal 2 3 3 3 3 3" xfId="3509"/>
    <cellStyle name="Normal 2 3 3 3 3 3 2" xfId="5408"/>
    <cellStyle name="Normal 2 3 3 3 3 3 2 2" xfId="10246"/>
    <cellStyle name="Normal 2 3 3 3 3 3 2 2 2" xfId="17244"/>
    <cellStyle name="Normal 2 3 3 3 3 3 2 2 3" xfId="24211"/>
    <cellStyle name="Normal 2 3 3 3 3 3 2 2 4" xfId="31178"/>
    <cellStyle name="Normal 2 3 3 3 3 3 2 2 5" xfId="38147"/>
    <cellStyle name="Normal 2 3 3 3 3 3 2 3" xfId="14924"/>
    <cellStyle name="Normal 2 3 3 3 3 3 2 3 2" xfId="21891"/>
    <cellStyle name="Normal 2 3 3 3 3 3 2 3 3" xfId="28858"/>
    <cellStyle name="Normal 2 3 3 3 3 3 2 3 4" xfId="35827"/>
    <cellStyle name="Normal 2 3 3 3 3 3 2 4" xfId="12602"/>
    <cellStyle name="Normal 2 3 3 3 3 3 2 5" xfId="19569"/>
    <cellStyle name="Normal 2 3 3 3 3 3 2 6" xfId="26536"/>
    <cellStyle name="Normal 2 3 3 3 3 3 2 7" xfId="33504"/>
    <cellStyle name="Normal 2 3 3 3 3 3 3" xfId="9121"/>
    <cellStyle name="Normal 2 3 3 3 3 3 3 2" xfId="16160"/>
    <cellStyle name="Normal 2 3 3 3 3 3 3 3" xfId="23127"/>
    <cellStyle name="Normal 2 3 3 3 3 3 3 4" xfId="30094"/>
    <cellStyle name="Normal 2 3 3 3 3 3 3 5" xfId="37063"/>
    <cellStyle name="Normal 2 3 3 3 3 3 4" xfId="13840"/>
    <cellStyle name="Normal 2 3 3 3 3 3 4 2" xfId="20807"/>
    <cellStyle name="Normal 2 3 3 3 3 3 4 3" xfId="27774"/>
    <cellStyle name="Normal 2 3 3 3 3 3 4 4" xfId="34743"/>
    <cellStyle name="Normal 2 3 3 3 3 3 5" xfId="11518"/>
    <cellStyle name="Normal 2 3 3 3 3 3 6" xfId="18485"/>
    <cellStyle name="Normal 2 3 3 3 3 3 7" xfId="25452"/>
    <cellStyle name="Normal 2 3 3 3 3 3 8" xfId="32420"/>
    <cellStyle name="Normal 2 3 3 3 3 4" xfId="3684"/>
    <cellStyle name="Normal 2 3 3 3 3 4 2" xfId="5409"/>
    <cellStyle name="Normal 2 3 3 3 3 4 2 2" xfId="10247"/>
    <cellStyle name="Normal 2 3 3 3 3 4 2 2 2" xfId="17245"/>
    <cellStyle name="Normal 2 3 3 3 3 4 2 2 3" xfId="24212"/>
    <cellStyle name="Normal 2 3 3 3 3 4 2 2 4" xfId="31179"/>
    <cellStyle name="Normal 2 3 3 3 3 4 2 2 5" xfId="38148"/>
    <cellStyle name="Normal 2 3 3 3 3 4 2 3" xfId="14925"/>
    <cellStyle name="Normal 2 3 3 3 3 4 2 3 2" xfId="21892"/>
    <cellStyle name="Normal 2 3 3 3 3 4 2 3 3" xfId="28859"/>
    <cellStyle name="Normal 2 3 3 3 3 4 2 3 4" xfId="35828"/>
    <cellStyle name="Normal 2 3 3 3 3 4 2 4" xfId="12603"/>
    <cellStyle name="Normal 2 3 3 3 3 4 2 5" xfId="19570"/>
    <cellStyle name="Normal 2 3 3 3 3 4 2 6" xfId="26537"/>
    <cellStyle name="Normal 2 3 3 3 3 4 2 7" xfId="33505"/>
    <cellStyle name="Normal 2 3 3 3 3 4 3" xfId="9292"/>
    <cellStyle name="Normal 2 3 3 3 3 4 3 2" xfId="16331"/>
    <cellStyle name="Normal 2 3 3 3 3 4 3 3" xfId="23298"/>
    <cellStyle name="Normal 2 3 3 3 3 4 3 4" xfId="30265"/>
    <cellStyle name="Normal 2 3 3 3 3 4 3 5" xfId="37234"/>
    <cellStyle name="Normal 2 3 3 3 3 4 4" xfId="14011"/>
    <cellStyle name="Normal 2 3 3 3 3 4 4 2" xfId="20978"/>
    <cellStyle name="Normal 2 3 3 3 3 4 4 3" xfId="27945"/>
    <cellStyle name="Normal 2 3 3 3 3 4 4 4" xfId="34914"/>
    <cellStyle name="Normal 2 3 3 3 3 4 5" xfId="11689"/>
    <cellStyle name="Normal 2 3 3 3 3 4 6" xfId="18656"/>
    <cellStyle name="Normal 2 3 3 3 3 4 7" xfId="25623"/>
    <cellStyle name="Normal 2 3 3 3 3 4 8" xfId="32591"/>
    <cellStyle name="Normal 2 3 3 3 3 5" xfId="3961"/>
    <cellStyle name="Normal 2 3 3 3 3 5 2" xfId="5410"/>
    <cellStyle name="Normal 2 3 3 3 3 5 2 2" xfId="10248"/>
    <cellStyle name="Normal 2 3 3 3 3 5 2 2 2" xfId="17246"/>
    <cellStyle name="Normal 2 3 3 3 3 5 2 2 3" xfId="24213"/>
    <cellStyle name="Normal 2 3 3 3 3 5 2 2 4" xfId="31180"/>
    <cellStyle name="Normal 2 3 3 3 3 5 2 2 5" xfId="38149"/>
    <cellStyle name="Normal 2 3 3 3 3 5 2 3" xfId="14926"/>
    <cellStyle name="Normal 2 3 3 3 3 5 2 3 2" xfId="21893"/>
    <cellStyle name="Normal 2 3 3 3 3 5 2 3 3" xfId="28860"/>
    <cellStyle name="Normal 2 3 3 3 3 5 2 3 4" xfId="35829"/>
    <cellStyle name="Normal 2 3 3 3 3 5 2 4" xfId="12604"/>
    <cellStyle name="Normal 2 3 3 3 3 5 2 5" xfId="19571"/>
    <cellStyle name="Normal 2 3 3 3 3 5 2 6" xfId="26538"/>
    <cellStyle name="Normal 2 3 3 3 3 5 2 7" xfId="33506"/>
    <cellStyle name="Normal 2 3 3 3 3 5 3" xfId="9567"/>
    <cellStyle name="Normal 2 3 3 3 3 5 3 2" xfId="16603"/>
    <cellStyle name="Normal 2 3 3 3 3 5 3 3" xfId="23570"/>
    <cellStyle name="Normal 2 3 3 3 3 5 3 4" xfId="30537"/>
    <cellStyle name="Normal 2 3 3 3 3 5 3 5" xfId="37506"/>
    <cellStyle name="Normal 2 3 3 3 3 5 4" xfId="14283"/>
    <cellStyle name="Normal 2 3 3 3 3 5 4 2" xfId="21250"/>
    <cellStyle name="Normal 2 3 3 3 3 5 4 3" xfId="28217"/>
    <cellStyle name="Normal 2 3 3 3 3 5 4 4" xfId="35186"/>
    <cellStyle name="Normal 2 3 3 3 3 5 5" xfId="11961"/>
    <cellStyle name="Normal 2 3 3 3 3 5 6" xfId="18928"/>
    <cellStyle name="Normal 2 3 3 3 3 5 7" xfId="25895"/>
    <cellStyle name="Normal 2 3 3 3 3 5 8" xfId="32863"/>
    <cellStyle name="Normal 2 3 3 3 3 6" xfId="5406"/>
    <cellStyle name="Normal 2 3 3 3 3 6 2" xfId="10244"/>
    <cellStyle name="Normal 2 3 3 3 3 6 2 2" xfId="17242"/>
    <cellStyle name="Normal 2 3 3 3 3 6 2 3" xfId="24209"/>
    <cellStyle name="Normal 2 3 3 3 3 6 2 4" xfId="31176"/>
    <cellStyle name="Normal 2 3 3 3 3 6 2 5" xfId="38145"/>
    <cellStyle name="Normal 2 3 3 3 3 6 3" xfId="14922"/>
    <cellStyle name="Normal 2 3 3 3 3 6 3 2" xfId="21889"/>
    <cellStyle name="Normal 2 3 3 3 3 6 3 3" xfId="28856"/>
    <cellStyle name="Normal 2 3 3 3 3 6 3 4" xfId="35825"/>
    <cellStyle name="Normal 2 3 3 3 3 6 4" xfId="12600"/>
    <cellStyle name="Normal 2 3 3 3 3 6 5" xfId="19567"/>
    <cellStyle name="Normal 2 3 3 3 3 6 6" xfId="26534"/>
    <cellStyle name="Normal 2 3 3 3 3 6 7" xfId="33502"/>
    <cellStyle name="Normal 2 3 3 3 3 7" xfId="6855"/>
    <cellStyle name="Normal 2 3 3 3 3 7 2" xfId="10824"/>
    <cellStyle name="Normal 2 3 3 3 3 7 2 2" xfId="17798"/>
    <cellStyle name="Normal 2 3 3 3 3 7 2 3" xfId="24765"/>
    <cellStyle name="Normal 2 3 3 3 3 7 2 4" xfId="31732"/>
    <cellStyle name="Normal 2 3 3 3 3 7 2 5" xfId="38701"/>
    <cellStyle name="Normal 2 3 3 3 3 7 3" xfId="15478"/>
    <cellStyle name="Normal 2 3 3 3 3 7 3 2" xfId="22445"/>
    <cellStyle name="Normal 2 3 3 3 3 7 3 3" xfId="29412"/>
    <cellStyle name="Normal 2 3 3 3 3 7 3 4" xfId="36381"/>
    <cellStyle name="Normal 2 3 3 3 3 7 4" xfId="13156"/>
    <cellStyle name="Normal 2 3 3 3 3 7 5" xfId="20123"/>
    <cellStyle name="Normal 2 3 3 3 3 7 6" xfId="27090"/>
    <cellStyle name="Normal 2 3 3 3 3 7 7" xfId="34059"/>
    <cellStyle name="Normal 2 3 3 3 3 8" xfId="7167"/>
    <cellStyle name="Normal 2 3 3 3 3 8 2" xfId="15651"/>
    <cellStyle name="Normal 2 3 3 3 3 8 2 2" xfId="22618"/>
    <cellStyle name="Normal 2 3 3 3 3 8 2 3" xfId="29585"/>
    <cellStyle name="Normal 2 3 3 3 3 8 2 4" xfId="36554"/>
    <cellStyle name="Normal 2 3 3 3 3 8 3" xfId="13329"/>
    <cellStyle name="Normal 2 3 3 3 3 8 4" xfId="20296"/>
    <cellStyle name="Normal 2 3 3 3 3 8 5" xfId="27263"/>
    <cellStyle name="Normal 2 3 3 3 3 8 6" xfId="34232"/>
    <cellStyle name="Normal 2 3 3 3 3 9" xfId="8060"/>
    <cellStyle name="Normal 2 3 3 3 3 9 2" xfId="15824"/>
    <cellStyle name="Normal 2 3 3 3 3 9 2 2" xfId="22791"/>
    <cellStyle name="Normal 2 3 3 3 3 9 2 3" xfId="29758"/>
    <cellStyle name="Normal 2 3 3 3 3 9 2 4" xfId="36727"/>
    <cellStyle name="Normal 2 3 3 3 3 9 3" xfId="11180"/>
    <cellStyle name="Normal 2 3 3 3 3 9 4" xfId="18147"/>
    <cellStyle name="Normal 2 3 3 3 3 9 5" xfId="25114"/>
    <cellStyle name="Normal 2 3 3 3 3 9 6" xfId="32082"/>
    <cellStyle name="Normal 2 3 3 3 4" xfId="3803"/>
    <cellStyle name="Normal 2 3 3 3 4 2" xfId="5411"/>
    <cellStyle name="Normal 2 3 3 3 4 2 2" xfId="10249"/>
    <cellStyle name="Normal 2 3 3 3 4 2 2 2" xfId="17247"/>
    <cellStyle name="Normal 2 3 3 3 4 2 2 3" xfId="24214"/>
    <cellStyle name="Normal 2 3 3 3 4 2 2 4" xfId="31181"/>
    <cellStyle name="Normal 2 3 3 3 4 2 2 5" xfId="38150"/>
    <cellStyle name="Normal 2 3 3 3 4 2 3" xfId="14927"/>
    <cellStyle name="Normal 2 3 3 3 4 2 3 2" xfId="21894"/>
    <cellStyle name="Normal 2 3 3 3 4 2 3 3" xfId="28861"/>
    <cellStyle name="Normal 2 3 3 3 4 2 3 4" xfId="35830"/>
    <cellStyle name="Normal 2 3 3 3 4 2 4" xfId="12605"/>
    <cellStyle name="Normal 2 3 3 3 4 2 5" xfId="19572"/>
    <cellStyle name="Normal 2 3 3 3 4 2 6" xfId="26539"/>
    <cellStyle name="Normal 2 3 3 3 4 2 7" xfId="33507"/>
    <cellStyle name="Normal 2 3 3 3 4 3" xfId="9409"/>
    <cellStyle name="Normal 2 3 3 3 4 3 2" xfId="16447"/>
    <cellStyle name="Normal 2 3 3 3 4 3 3" xfId="23414"/>
    <cellStyle name="Normal 2 3 3 3 4 3 4" xfId="30381"/>
    <cellStyle name="Normal 2 3 3 3 4 3 5" xfId="37350"/>
    <cellStyle name="Normal 2 3 3 3 4 4" xfId="14127"/>
    <cellStyle name="Normal 2 3 3 3 4 4 2" xfId="21094"/>
    <cellStyle name="Normal 2 3 3 3 4 4 3" xfId="28061"/>
    <cellStyle name="Normal 2 3 3 3 4 4 4" xfId="35030"/>
    <cellStyle name="Normal 2 3 3 3 4 5" xfId="11805"/>
    <cellStyle name="Normal 2 3 3 3 4 6" xfId="18772"/>
    <cellStyle name="Normal 2 3 3 3 4 7" xfId="25739"/>
    <cellStyle name="Normal 2 3 3 3 4 8" xfId="32707"/>
    <cellStyle name="Normal 2 3 3 4" xfId="1702"/>
    <cellStyle name="Normal 2 3 3 4 10" xfId="8061"/>
    <cellStyle name="Normal 2 3 3 4 10 2" xfId="15825"/>
    <cellStyle name="Normal 2 3 3 4 10 2 2" xfId="22792"/>
    <cellStyle name="Normal 2 3 3 4 10 2 3" xfId="29759"/>
    <cellStyle name="Normal 2 3 3 4 10 2 4" xfId="36728"/>
    <cellStyle name="Normal 2 3 3 4 10 3" xfId="11181"/>
    <cellStyle name="Normal 2 3 3 4 10 4" xfId="18148"/>
    <cellStyle name="Normal 2 3 3 4 10 5" xfId="25115"/>
    <cellStyle name="Normal 2 3 3 4 10 6" xfId="32083"/>
    <cellStyle name="Normal 2 3 3 4 11" xfId="13503"/>
    <cellStyle name="Normal 2 3 3 4 11 2" xfId="20470"/>
    <cellStyle name="Normal 2 3 3 4 11 3" xfId="27437"/>
    <cellStyle name="Normal 2 3 3 4 11 4" xfId="34406"/>
    <cellStyle name="Normal 2 3 3 4 12" xfId="11008"/>
    <cellStyle name="Normal 2 3 3 4 13" xfId="17974"/>
    <cellStyle name="Normal 2 3 3 4 14" xfId="24942"/>
    <cellStyle name="Normal 2 3 3 4 15" xfId="31910"/>
    <cellStyle name="Normal 2 3 3 4 2" xfId="1703"/>
    <cellStyle name="Normal 2 3 3 4 2 10" xfId="13504"/>
    <cellStyle name="Normal 2 3 3 4 2 10 2" xfId="20471"/>
    <cellStyle name="Normal 2 3 3 4 2 10 3" xfId="27438"/>
    <cellStyle name="Normal 2 3 3 4 2 10 4" xfId="34407"/>
    <cellStyle name="Normal 2 3 3 4 2 11" xfId="11009"/>
    <cellStyle name="Normal 2 3 3 4 2 12" xfId="17975"/>
    <cellStyle name="Normal 2 3 3 4 2 13" xfId="24943"/>
    <cellStyle name="Normal 2 3 3 4 2 14" xfId="31911"/>
    <cellStyle name="Normal 2 3 3 4 2 2" xfId="3309"/>
    <cellStyle name="Normal 2 3 3 4 2 2 2" xfId="3801"/>
    <cellStyle name="Normal 2 3 3 4 2 2 2 2" xfId="5415"/>
    <cellStyle name="Normal 2 3 3 4 2 2 2 2 2" xfId="10253"/>
    <cellStyle name="Normal 2 3 3 4 2 2 2 2 2 2" xfId="17251"/>
    <cellStyle name="Normal 2 3 3 4 2 2 2 2 2 3" xfId="24218"/>
    <cellStyle name="Normal 2 3 3 4 2 2 2 2 2 4" xfId="31185"/>
    <cellStyle name="Normal 2 3 3 4 2 2 2 2 2 5" xfId="38154"/>
    <cellStyle name="Normal 2 3 3 4 2 2 2 2 3" xfId="14931"/>
    <cellStyle name="Normal 2 3 3 4 2 2 2 2 3 2" xfId="21898"/>
    <cellStyle name="Normal 2 3 3 4 2 2 2 2 3 3" xfId="28865"/>
    <cellStyle name="Normal 2 3 3 4 2 2 2 2 3 4" xfId="35834"/>
    <cellStyle name="Normal 2 3 3 4 2 2 2 2 4" xfId="12609"/>
    <cellStyle name="Normal 2 3 3 4 2 2 2 2 5" xfId="19576"/>
    <cellStyle name="Normal 2 3 3 4 2 2 2 2 6" xfId="26543"/>
    <cellStyle name="Normal 2 3 3 4 2 2 2 2 7" xfId="33511"/>
    <cellStyle name="Normal 2 3 3 4 2 2 2 3" xfId="9407"/>
    <cellStyle name="Normal 2 3 3 4 2 2 2 3 2" xfId="16445"/>
    <cellStyle name="Normal 2 3 3 4 2 2 2 3 3" xfId="23412"/>
    <cellStyle name="Normal 2 3 3 4 2 2 2 3 4" xfId="30379"/>
    <cellStyle name="Normal 2 3 3 4 2 2 2 3 5" xfId="37348"/>
    <cellStyle name="Normal 2 3 3 4 2 2 2 4" xfId="14125"/>
    <cellStyle name="Normal 2 3 3 4 2 2 2 4 2" xfId="21092"/>
    <cellStyle name="Normal 2 3 3 4 2 2 2 4 3" xfId="28059"/>
    <cellStyle name="Normal 2 3 3 4 2 2 2 4 4" xfId="35028"/>
    <cellStyle name="Normal 2 3 3 4 2 2 2 5" xfId="11803"/>
    <cellStyle name="Normal 2 3 3 4 2 2 2 6" xfId="18770"/>
    <cellStyle name="Normal 2 3 3 4 2 2 2 7" xfId="25737"/>
    <cellStyle name="Normal 2 3 3 4 2 2 2 8" xfId="32705"/>
    <cellStyle name="Normal 2 3 3 4 2 2 3" xfId="5414"/>
    <cellStyle name="Normal 2 3 3 4 2 2 3 2" xfId="10252"/>
    <cellStyle name="Normal 2 3 3 4 2 2 3 2 2" xfId="17250"/>
    <cellStyle name="Normal 2 3 3 4 2 2 3 2 3" xfId="24217"/>
    <cellStyle name="Normal 2 3 3 4 2 2 3 2 4" xfId="31184"/>
    <cellStyle name="Normal 2 3 3 4 2 2 3 2 5" xfId="38153"/>
    <cellStyle name="Normal 2 3 3 4 2 2 3 3" xfId="14930"/>
    <cellStyle name="Normal 2 3 3 4 2 2 3 3 2" xfId="21897"/>
    <cellStyle name="Normal 2 3 3 4 2 2 3 3 3" xfId="28864"/>
    <cellStyle name="Normal 2 3 3 4 2 2 3 3 4" xfId="35833"/>
    <cellStyle name="Normal 2 3 3 4 2 2 3 4" xfId="12608"/>
    <cellStyle name="Normal 2 3 3 4 2 2 3 5" xfId="19575"/>
    <cellStyle name="Normal 2 3 3 4 2 2 3 6" xfId="26542"/>
    <cellStyle name="Normal 2 3 3 4 2 2 3 7" xfId="33510"/>
    <cellStyle name="Normal 2 3 3 4 2 2 4" xfId="8943"/>
    <cellStyle name="Normal 2 3 3 4 2 2 4 2" xfId="15995"/>
    <cellStyle name="Normal 2 3 3 4 2 2 4 3" xfId="22962"/>
    <cellStyle name="Normal 2 3 3 4 2 2 4 4" xfId="29929"/>
    <cellStyle name="Normal 2 3 3 4 2 2 4 5" xfId="36898"/>
    <cellStyle name="Normal 2 3 3 4 2 2 5" xfId="13673"/>
    <cellStyle name="Normal 2 3 3 4 2 2 5 2" xfId="20640"/>
    <cellStyle name="Normal 2 3 3 4 2 2 5 3" xfId="27607"/>
    <cellStyle name="Normal 2 3 3 4 2 2 5 4" xfId="34576"/>
    <cellStyle name="Normal 2 3 3 4 2 2 6" xfId="11351"/>
    <cellStyle name="Normal 2 3 3 4 2 2 7" xfId="18318"/>
    <cellStyle name="Normal 2 3 3 4 2 2 8" xfId="25285"/>
    <cellStyle name="Normal 2 3 3 4 2 2 9" xfId="32253"/>
    <cellStyle name="Normal 2 3 3 4 2 3" xfId="3511"/>
    <cellStyle name="Normal 2 3 3 4 2 3 2" xfId="5416"/>
    <cellStyle name="Normal 2 3 3 4 2 3 2 2" xfId="10254"/>
    <cellStyle name="Normal 2 3 3 4 2 3 2 2 2" xfId="17252"/>
    <cellStyle name="Normal 2 3 3 4 2 3 2 2 3" xfId="24219"/>
    <cellStyle name="Normal 2 3 3 4 2 3 2 2 4" xfId="31186"/>
    <cellStyle name="Normal 2 3 3 4 2 3 2 2 5" xfId="38155"/>
    <cellStyle name="Normal 2 3 3 4 2 3 2 3" xfId="14932"/>
    <cellStyle name="Normal 2 3 3 4 2 3 2 3 2" xfId="21899"/>
    <cellStyle name="Normal 2 3 3 4 2 3 2 3 3" xfId="28866"/>
    <cellStyle name="Normal 2 3 3 4 2 3 2 3 4" xfId="35835"/>
    <cellStyle name="Normal 2 3 3 4 2 3 2 4" xfId="12610"/>
    <cellStyle name="Normal 2 3 3 4 2 3 2 5" xfId="19577"/>
    <cellStyle name="Normal 2 3 3 4 2 3 2 6" xfId="26544"/>
    <cellStyle name="Normal 2 3 3 4 2 3 2 7" xfId="33512"/>
    <cellStyle name="Normal 2 3 3 4 2 3 3" xfId="9123"/>
    <cellStyle name="Normal 2 3 3 4 2 3 3 2" xfId="16162"/>
    <cellStyle name="Normal 2 3 3 4 2 3 3 3" xfId="23129"/>
    <cellStyle name="Normal 2 3 3 4 2 3 3 4" xfId="30096"/>
    <cellStyle name="Normal 2 3 3 4 2 3 3 5" xfId="37065"/>
    <cellStyle name="Normal 2 3 3 4 2 3 4" xfId="13842"/>
    <cellStyle name="Normal 2 3 3 4 2 3 4 2" xfId="20809"/>
    <cellStyle name="Normal 2 3 3 4 2 3 4 3" xfId="27776"/>
    <cellStyle name="Normal 2 3 3 4 2 3 4 4" xfId="34745"/>
    <cellStyle name="Normal 2 3 3 4 2 3 5" xfId="11520"/>
    <cellStyle name="Normal 2 3 3 4 2 3 6" xfId="18487"/>
    <cellStyle name="Normal 2 3 3 4 2 3 7" xfId="25454"/>
    <cellStyle name="Normal 2 3 3 4 2 3 8" xfId="32422"/>
    <cellStyle name="Normal 2 3 3 4 2 4" xfId="3686"/>
    <cellStyle name="Normal 2 3 3 4 2 4 2" xfId="5417"/>
    <cellStyle name="Normal 2 3 3 4 2 4 2 2" xfId="10255"/>
    <cellStyle name="Normal 2 3 3 4 2 4 2 2 2" xfId="17253"/>
    <cellStyle name="Normal 2 3 3 4 2 4 2 2 3" xfId="24220"/>
    <cellStyle name="Normal 2 3 3 4 2 4 2 2 4" xfId="31187"/>
    <cellStyle name="Normal 2 3 3 4 2 4 2 2 5" xfId="38156"/>
    <cellStyle name="Normal 2 3 3 4 2 4 2 3" xfId="14933"/>
    <cellStyle name="Normal 2 3 3 4 2 4 2 3 2" xfId="21900"/>
    <cellStyle name="Normal 2 3 3 4 2 4 2 3 3" xfId="28867"/>
    <cellStyle name="Normal 2 3 3 4 2 4 2 3 4" xfId="35836"/>
    <cellStyle name="Normal 2 3 3 4 2 4 2 4" xfId="12611"/>
    <cellStyle name="Normal 2 3 3 4 2 4 2 5" xfId="19578"/>
    <cellStyle name="Normal 2 3 3 4 2 4 2 6" xfId="26545"/>
    <cellStyle name="Normal 2 3 3 4 2 4 2 7" xfId="33513"/>
    <cellStyle name="Normal 2 3 3 4 2 4 3" xfId="9294"/>
    <cellStyle name="Normal 2 3 3 4 2 4 3 2" xfId="16333"/>
    <cellStyle name="Normal 2 3 3 4 2 4 3 3" xfId="23300"/>
    <cellStyle name="Normal 2 3 3 4 2 4 3 4" xfId="30267"/>
    <cellStyle name="Normal 2 3 3 4 2 4 3 5" xfId="37236"/>
    <cellStyle name="Normal 2 3 3 4 2 4 4" xfId="14013"/>
    <cellStyle name="Normal 2 3 3 4 2 4 4 2" xfId="20980"/>
    <cellStyle name="Normal 2 3 3 4 2 4 4 3" xfId="27947"/>
    <cellStyle name="Normal 2 3 3 4 2 4 4 4" xfId="34916"/>
    <cellStyle name="Normal 2 3 3 4 2 4 5" xfId="11691"/>
    <cellStyle name="Normal 2 3 3 4 2 4 6" xfId="18658"/>
    <cellStyle name="Normal 2 3 3 4 2 4 7" xfId="25625"/>
    <cellStyle name="Normal 2 3 3 4 2 4 8" xfId="32593"/>
    <cellStyle name="Normal 2 3 3 4 2 5" xfId="3963"/>
    <cellStyle name="Normal 2 3 3 4 2 5 2" xfId="5418"/>
    <cellStyle name="Normal 2 3 3 4 2 5 2 2" xfId="10256"/>
    <cellStyle name="Normal 2 3 3 4 2 5 2 2 2" xfId="17254"/>
    <cellStyle name="Normal 2 3 3 4 2 5 2 2 3" xfId="24221"/>
    <cellStyle name="Normal 2 3 3 4 2 5 2 2 4" xfId="31188"/>
    <cellStyle name="Normal 2 3 3 4 2 5 2 2 5" xfId="38157"/>
    <cellStyle name="Normal 2 3 3 4 2 5 2 3" xfId="14934"/>
    <cellStyle name="Normal 2 3 3 4 2 5 2 3 2" xfId="21901"/>
    <cellStyle name="Normal 2 3 3 4 2 5 2 3 3" xfId="28868"/>
    <cellStyle name="Normal 2 3 3 4 2 5 2 3 4" xfId="35837"/>
    <cellStyle name="Normal 2 3 3 4 2 5 2 4" xfId="12612"/>
    <cellStyle name="Normal 2 3 3 4 2 5 2 5" xfId="19579"/>
    <cellStyle name="Normal 2 3 3 4 2 5 2 6" xfId="26546"/>
    <cellStyle name="Normal 2 3 3 4 2 5 2 7" xfId="33514"/>
    <cellStyle name="Normal 2 3 3 4 2 5 3" xfId="9569"/>
    <cellStyle name="Normal 2 3 3 4 2 5 3 2" xfId="16605"/>
    <cellStyle name="Normal 2 3 3 4 2 5 3 3" xfId="23572"/>
    <cellStyle name="Normal 2 3 3 4 2 5 3 4" xfId="30539"/>
    <cellStyle name="Normal 2 3 3 4 2 5 3 5" xfId="37508"/>
    <cellStyle name="Normal 2 3 3 4 2 5 4" xfId="14285"/>
    <cellStyle name="Normal 2 3 3 4 2 5 4 2" xfId="21252"/>
    <cellStyle name="Normal 2 3 3 4 2 5 4 3" xfId="28219"/>
    <cellStyle name="Normal 2 3 3 4 2 5 4 4" xfId="35188"/>
    <cellStyle name="Normal 2 3 3 4 2 5 5" xfId="11963"/>
    <cellStyle name="Normal 2 3 3 4 2 5 6" xfId="18930"/>
    <cellStyle name="Normal 2 3 3 4 2 5 7" xfId="25897"/>
    <cellStyle name="Normal 2 3 3 4 2 5 8" xfId="32865"/>
    <cellStyle name="Normal 2 3 3 4 2 6" xfId="5413"/>
    <cellStyle name="Normal 2 3 3 4 2 6 2" xfId="10251"/>
    <cellStyle name="Normal 2 3 3 4 2 6 2 2" xfId="17249"/>
    <cellStyle name="Normal 2 3 3 4 2 6 2 3" xfId="24216"/>
    <cellStyle name="Normal 2 3 3 4 2 6 2 4" xfId="31183"/>
    <cellStyle name="Normal 2 3 3 4 2 6 2 5" xfId="38152"/>
    <cellStyle name="Normal 2 3 3 4 2 6 3" xfId="14929"/>
    <cellStyle name="Normal 2 3 3 4 2 6 3 2" xfId="21896"/>
    <cellStyle name="Normal 2 3 3 4 2 6 3 3" xfId="28863"/>
    <cellStyle name="Normal 2 3 3 4 2 6 3 4" xfId="35832"/>
    <cellStyle name="Normal 2 3 3 4 2 6 4" xfId="12607"/>
    <cellStyle name="Normal 2 3 3 4 2 6 5" xfId="19574"/>
    <cellStyle name="Normal 2 3 3 4 2 6 6" xfId="26541"/>
    <cellStyle name="Normal 2 3 3 4 2 6 7" xfId="33509"/>
    <cellStyle name="Normal 2 3 3 4 2 7" xfId="6857"/>
    <cellStyle name="Normal 2 3 3 4 2 7 2" xfId="10826"/>
    <cellStyle name="Normal 2 3 3 4 2 7 2 2" xfId="17800"/>
    <cellStyle name="Normal 2 3 3 4 2 7 2 3" xfId="24767"/>
    <cellStyle name="Normal 2 3 3 4 2 7 2 4" xfId="31734"/>
    <cellStyle name="Normal 2 3 3 4 2 7 2 5" xfId="38703"/>
    <cellStyle name="Normal 2 3 3 4 2 7 3" xfId="15480"/>
    <cellStyle name="Normal 2 3 3 4 2 7 3 2" xfId="22447"/>
    <cellStyle name="Normal 2 3 3 4 2 7 3 3" xfId="29414"/>
    <cellStyle name="Normal 2 3 3 4 2 7 3 4" xfId="36383"/>
    <cellStyle name="Normal 2 3 3 4 2 7 4" xfId="13158"/>
    <cellStyle name="Normal 2 3 3 4 2 7 5" xfId="20125"/>
    <cellStyle name="Normal 2 3 3 4 2 7 6" xfId="27092"/>
    <cellStyle name="Normal 2 3 3 4 2 7 7" xfId="34061"/>
    <cellStyle name="Normal 2 3 3 4 2 8" xfId="7169"/>
    <cellStyle name="Normal 2 3 3 4 2 8 2" xfId="15653"/>
    <cellStyle name="Normal 2 3 3 4 2 8 2 2" xfId="22620"/>
    <cellStyle name="Normal 2 3 3 4 2 8 2 3" xfId="29587"/>
    <cellStyle name="Normal 2 3 3 4 2 8 2 4" xfId="36556"/>
    <cellStyle name="Normal 2 3 3 4 2 8 3" xfId="13331"/>
    <cellStyle name="Normal 2 3 3 4 2 8 4" xfId="20298"/>
    <cellStyle name="Normal 2 3 3 4 2 8 5" xfId="27265"/>
    <cellStyle name="Normal 2 3 3 4 2 8 6" xfId="34234"/>
    <cellStyle name="Normal 2 3 3 4 2 9" xfId="8062"/>
    <cellStyle name="Normal 2 3 3 4 2 9 2" xfId="15826"/>
    <cellStyle name="Normal 2 3 3 4 2 9 2 2" xfId="22793"/>
    <cellStyle name="Normal 2 3 3 4 2 9 2 3" xfId="29760"/>
    <cellStyle name="Normal 2 3 3 4 2 9 2 4" xfId="36729"/>
    <cellStyle name="Normal 2 3 3 4 2 9 3" xfId="11182"/>
    <cellStyle name="Normal 2 3 3 4 2 9 4" xfId="18149"/>
    <cellStyle name="Normal 2 3 3 4 2 9 5" xfId="25116"/>
    <cellStyle name="Normal 2 3 3 4 2 9 6" xfId="32084"/>
    <cellStyle name="Normal 2 3 3 4 3" xfId="3308"/>
    <cellStyle name="Normal 2 3 3 4 3 2" xfId="3802"/>
    <cellStyle name="Normal 2 3 3 4 3 2 2" xfId="5420"/>
    <cellStyle name="Normal 2 3 3 4 3 2 2 2" xfId="10258"/>
    <cellStyle name="Normal 2 3 3 4 3 2 2 2 2" xfId="17256"/>
    <cellStyle name="Normal 2 3 3 4 3 2 2 2 3" xfId="24223"/>
    <cellStyle name="Normal 2 3 3 4 3 2 2 2 4" xfId="31190"/>
    <cellStyle name="Normal 2 3 3 4 3 2 2 2 5" xfId="38159"/>
    <cellStyle name="Normal 2 3 3 4 3 2 2 3" xfId="14936"/>
    <cellStyle name="Normal 2 3 3 4 3 2 2 3 2" xfId="21903"/>
    <cellStyle name="Normal 2 3 3 4 3 2 2 3 3" xfId="28870"/>
    <cellStyle name="Normal 2 3 3 4 3 2 2 3 4" xfId="35839"/>
    <cellStyle name="Normal 2 3 3 4 3 2 2 4" xfId="12614"/>
    <cellStyle name="Normal 2 3 3 4 3 2 2 5" xfId="19581"/>
    <cellStyle name="Normal 2 3 3 4 3 2 2 6" xfId="26548"/>
    <cellStyle name="Normal 2 3 3 4 3 2 2 7" xfId="33516"/>
    <cellStyle name="Normal 2 3 3 4 3 2 3" xfId="9408"/>
    <cellStyle name="Normal 2 3 3 4 3 2 3 2" xfId="16446"/>
    <cellStyle name="Normal 2 3 3 4 3 2 3 3" xfId="23413"/>
    <cellStyle name="Normal 2 3 3 4 3 2 3 4" xfId="30380"/>
    <cellStyle name="Normal 2 3 3 4 3 2 3 5" xfId="37349"/>
    <cellStyle name="Normal 2 3 3 4 3 2 4" xfId="14126"/>
    <cellStyle name="Normal 2 3 3 4 3 2 4 2" xfId="21093"/>
    <cellStyle name="Normal 2 3 3 4 3 2 4 3" xfId="28060"/>
    <cellStyle name="Normal 2 3 3 4 3 2 4 4" xfId="35029"/>
    <cellStyle name="Normal 2 3 3 4 3 2 5" xfId="11804"/>
    <cellStyle name="Normal 2 3 3 4 3 2 6" xfId="18771"/>
    <cellStyle name="Normal 2 3 3 4 3 2 7" xfId="25738"/>
    <cellStyle name="Normal 2 3 3 4 3 2 8" xfId="32706"/>
    <cellStyle name="Normal 2 3 3 4 3 3" xfId="5419"/>
    <cellStyle name="Normal 2 3 3 4 3 3 2" xfId="10257"/>
    <cellStyle name="Normal 2 3 3 4 3 3 2 2" xfId="17255"/>
    <cellStyle name="Normal 2 3 3 4 3 3 2 3" xfId="24222"/>
    <cellStyle name="Normal 2 3 3 4 3 3 2 4" xfId="31189"/>
    <cellStyle name="Normal 2 3 3 4 3 3 2 5" xfId="38158"/>
    <cellStyle name="Normal 2 3 3 4 3 3 3" xfId="14935"/>
    <cellStyle name="Normal 2 3 3 4 3 3 3 2" xfId="21902"/>
    <cellStyle name="Normal 2 3 3 4 3 3 3 3" xfId="28869"/>
    <cellStyle name="Normal 2 3 3 4 3 3 3 4" xfId="35838"/>
    <cellStyle name="Normal 2 3 3 4 3 3 4" xfId="12613"/>
    <cellStyle name="Normal 2 3 3 4 3 3 5" xfId="19580"/>
    <cellStyle name="Normal 2 3 3 4 3 3 6" xfId="26547"/>
    <cellStyle name="Normal 2 3 3 4 3 3 7" xfId="33515"/>
    <cellStyle name="Normal 2 3 3 4 3 4" xfId="8942"/>
    <cellStyle name="Normal 2 3 3 4 3 4 2" xfId="15994"/>
    <cellStyle name="Normal 2 3 3 4 3 4 3" xfId="22961"/>
    <cellStyle name="Normal 2 3 3 4 3 4 4" xfId="29928"/>
    <cellStyle name="Normal 2 3 3 4 3 4 5" xfId="36897"/>
    <cellStyle name="Normal 2 3 3 4 3 5" xfId="13672"/>
    <cellStyle name="Normal 2 3 3 4 3 5 2" xfId="20639"/>
    <cellStyle name="Normal 2 3 3 4 3 5 3" xfId="27606"/>
    <cellStyle name="Normal 2 3 3 4 3 5 4" xfId="34575"/>
    <cellStyle name="Normal 2 3 3 4 3 6" xfId="11350"/>
    <cellStyle name="Normal 2 3 3 4 3 7" xfId="18317"/>
    <cellStyle name="Normal 2 3 3 4 3 8" xfId="25284"/>
    <cellStyle name="Normal 2 3 3 4 3 9" xfId="32252"/>
    <cellStyle name="Normal 2 3 3 4 4" xfId="3510"/>
    <cellStyle name="Normal 2 3 3 4 4 2" xfId="5421"/>
    <cellStyle name="Normal 2 3 3 4 4 2 2" xfId="10259"/>
    <cellStyle name="Normal 2 3 3 4 4 2 2 2" xfId="17257"/>
    <cellStyle name="Normal 2 3 3 4 4 2 2 3" xfId="24224"/>
    <cellStyle name="Normal 2 3 3 4 4 2 2 4" xfId="31191"/>
    <cellStyle name="Normal 2 3 3 4 4 2 2 5" xfId="38160"/>
    <cellStyle name="Normal 2 3 3 4 4 2 3" xfId="14937"/>
    <cellStyle name="Normal 2 3 3 4 4 2 3 2" xfId="21904"/>
    <cellStyle name="Normal 2 3 3 4 4 2 3 3" xfId="28871"/>
    <cellStyle name="Normal 2 3 3 4 4 2 3 4" xfId="35840"/>
    <cellStyle name="Normal 2 3 3 4 4 2 4" xfId="12615"/>
    <cellStyle name="Normal 2 3 3 4 4 2 5" xfId="19582"/>
    <cellStyle name="Normal 2 3 3 4 4 2 6" xfId="26549"/>
    <cellStyle name="Normal 2 3 3 4 4 2 7" xfId="33517"/>
    <cellStyle name="Normal 2 3 3 4 4 3" xfId="9122"/>
    <cellStyle name="Normal 2 3 3 4 4 3 2" xfId="16161"/>
    <cellStyle name="Normal 2 3 3 4 4 3 3" xfId="23128"/>
    <cellStyle name="Normal 2 3 3 4 4 3 4" xfId="30095"/>
    <cellStyle name="Normal 2 3 3 4 4 3 5" xfId="37064"/>
    <cellStyle name="Normal 2 3 3 4 4 4" xfId="13841"/>
    <cellStyle name="Normal 2 3 3 4 4 4 2" xfId="20808"/>
    <cellStyle name="Normal 2 3 3 4 4 4 3" xfId="27775"/>
    <cellStyle name="Normal 2 3 3 4 4 4 4" xfId="34744"/>
    <cellStyle name="Normal 2 3 3 4 4 5" xfId="11519"/>
    <cellStyle name="Normal 2 3 3 4 4 6" xfId="18486"/>
    <cellStyle name="Normal 2 3 3 4 4 7" xfId="25453"/>
    <cellStyle name="Normal 2 3 3 4 4 8" xfId="32421"/>
    <cellStyle name="Normal 2 3 3 4 5" xfId="3685"/>
    <cellStyle name="Normal 2 3 3 4 5 2" xfId="5422"/>
    <cellStyle name="Normal 2 3 3 4 5 2 2" xfId="10260"/>
    <cellStyle name="Normal 2 3 3 4 5 2 2 2" xfId="17258"/>
    <cellStyle name="Normal 2 3 3 4 5 2 2 3" xfId="24225"/>
    <cellStyle name="Normal 2 3 3 4 5 2 2 4" xfId="31192"/>
    <cellStyle name="Normal 2 3 3 4 5 2 2 5" xfId="38161"/>
    <cellStyle name="Normal 2 3 3 4 5 2 3" xfId="14938"/>
    <cellStyle name="Normal 2 3 3 4 5 2 3 2" xfId="21905"/>
    <cellStyle name="Normal 2 3 3 4 5 2 3 3" xfId="28872"/>
    <cellStyle name="Normal 2 3 3 4 5 2 3 4" xfId="35841"/>
    <cellStyle name="Normal 2 3 3 4 5 2 4" xfId="12616"/>
    <cellStyle name="Normal 2 3 3 4 5 2 5" xfId="19583"/>
    <cellStyle name="Normal 2 3 3 4 5 2 6" xfId="26550"/>
    <cellStyle name="Normal 2 3 3 4 5 2 7" xfId="33518"/>
    <cellStyle name="Normal 2 3 3 4 5 3" xfId="9293"/>
    <cellStyle name="Normal 2 3 3 4 5 3 2" xfId="16332"/>
    <cellStyle name="Normal 2 3 3 4 5 3 3" xfId="23299"/>
    <cellStyle name="Normal 2 3 3 4 5 3 4" xfId="30266"/>
    <cellStyle name="Normal 2 3 3 4 5 3 5" xfId="37235"/>
    <cellStyle name="Normal 2 3 3 4 5 4" xfId="14012"/>
    <cellStyle name="Normal 2 3 3 4 5 4 2" xfId="20979"/>
    <cellStyle name="Normal 2 3 3 4 5 4 3" xfId="27946"/>
    <cellStyle name="Normal 2 3 3 4 5 4 4" xfId="34915"/>
    <cellStyle name="Normal 2 3 3 4 5 5" xfId="11690"/>
    <cellStyle name="Normal 2 3 3 4 5 6" xfId="18657"/>
    <cellStyle name="Normal 2 3 3 4 5 7" xfId="25624"/>
    <cellStyle name="Normal 2 3 3 4 5 8" xfId="32592"/>
    <cellStyle name="Normal 2 3 3 4 6" xfId="3962"/>
    <cellStyle name="Normal 2 3 3 4 6 2" xfId="5423"/>
    <cellStyle name="Normal 2 3 3 4 6 2 2" xfId="10261"/>
    <cellStyle name="Normal 2 3 3 4 6 2 2 2" xfId="17259"/>
    <cellStyle name="Normal 2 3 3 4 6 2 2 3" xfId="24226"/>
    <cellStyle name="Normal 2 3 3 4 6 2 2 4" xfId="31193"/>
    <cellStyle name="Normal 2 3 3 4 6 2 2 5" xfId="38162"/>
    <cellStyle name="Normal 2 3 3 4 6 2 3" xfId="14939"/>
    <cellStyle name="Normal 2 3 3 4 6 2 3 2" xfId="21906"/>
    <cellStyle name="Normal 2 3 3 4 6 2 3 3" xfId="28873"/>
    <cellStyle name="Normal 2 3 3 4 6 2 3 4" xfId="35842"/>
    <cellStyle name="Normal 2 3 3 4 6 2 4" xfId="12617"/>
    <cellStyle name="Normal 2 3 3 4 6 2 5" xfId="19584"/>
    <cellStyle name="Normal 2 3 3 4 6 2 6" xfId="26551"/>
    <cellStyle name="Normal 2 3 3 4 6 2 7" xfId="33519"/>
    <cellStyle name="Normal 2 3 3 4 6 3" xfId="9568"/>
    <cellStyle name="Normal 2 3 3 4 6 3 2" xfId="16604"/>
    <cellStyle name="Normal 2 3 3 4 6 3 3" xfId="23571"/>
    <cellStyle name="Normal 2 3 3 4 6 3 4" xfId="30538"/>
    <cellStyle name="Normal 2 3 3 4 6 3 5" xfId="37507"/>
    <cellStyle name="Normal 2 3 3 4 6 4" xfId="14284"/>
    <cellStyle name="Normal 2 3 3 4 6 4 2" xfId="21251"/>
    <cellStyle name="Normal 2 3 3 4 6 4 3" xfId="28218"/>
    <cellStyle name="Normal 2 3 3 4 6 4 4" xfId="35187"/>
    <cellStyle name="Normal 2 3 3 4 6 5" xfId="11962"/>
    <cellStyle name="Normal 2 3 3 4 6 6" xfId="18929"/>
    <cellStyle name="Normal 2 3 3 4 6 7" xfId="25896"/>
    <cellStyle name="Normal 2 3 3 4 6 8" xfId="32864"/>
    <cellStyle name="Normal 2 3 3 4 7" xfId="5412"/>
    <cellStyle name="Normal 2 3 3 4 7 2" xfId="10250"/>
    <cellStyle name="Normal 2 3 3 4 7 2 2" xfId="17248"/>
    <cellStyle name="Normal 2 3 3 4 7 2 3" xfId="24215"/>
    <cellStyle name="Normal 2 3 3 4 7 2 4" xfId="31182"/>
    <cellStyle name="Normal 2 3 3 4 7 2 5" xfId="38151"/>
    <cellStyle name="Normal 2 3 3 4 7 3" xfId="14928"/>
    <cellStyle name="Normal 2 3 3 4 7 3 2" xfId="21895"/>
    <cellStyle name="Normal 2 3 3 4 7 3 3" xfId="28862"/>
    <cellStyle name="Normal 2 3 3 4 7 3 4" xfId="35831"/>
    <cellStyle name="Normal 2 3 3 4 7 4" xfId="12606"/>
    <cellStyle name="Normal 2 3 3 4 7 5" xfId="19573"/>
    <cellStyle name="Normal 2 3 3 4 7 6" xfId="26540"/>
    <cellStyle name="Normal 2 3 3 4 7 7" xfId="33508"/>
    <cellStyle name="Normal 2 3 3 4 8" xfId="6856"/>
    <cellStyle name="Normal 2 3 3 4 8 2" xfId="10825"/>
    <cellStyle name="Normal 2 3 3 4 8 2 2" xfId="17799"/>
    <cellStyle name="Normal 2 3 3 4 8 2 3" xfId="24766"/>
    <cellStyle name="Normal 2 3 3 4 8 2 4" xfId="31733"/>
    <cellStyle name="Normal 2 3 3 4 8 2 5" xfId="38702"/>
    <cellStyle name="Normal 2 3 3 4 8 3" xfId="15479"/>
    <cellStyle name="Normal 2 3 3 4 8 3 2" xfId="22446"/>
    <cellStyle name="Normal 2 3 3 4 8 3 3" xfId="29413"/>
    <cellStyle name="Normal 2 3 3 4 8 3 4" xfId="36382"/>
    <cellStyle name="Normal 2 3 3 4 8 4" xfId="13157"/>
    <cellStyle name="Normal 2 3 3 4 8 5" xfId="20124"/>
    <cellStyle name="Normal 2 3 3 4 8 6" xfId="27091"/>
    <cellStyle name="Normal 2 3 3 4 8 7" xfId="34060"/>
    <cellStyle name="Normal 2 3 3 4 9" xfId="7168"/>
    <cellStyle name="Normal 2 3 3 4 9 2" xfId="15652"/>
    <cellStyle name="Normal 2 3 3 4 9 2 2" xfId="22619"/>
    <cellStyle name="Normal 2 3 3 4 9 2 3" xfId="29586"/>
    <cellStyle name="Normal 2 3 3 4 9 2 4" xfId="36555"/>
    <cellStyle name="Normal 2 3 3 4 9 3" xfId="13330"/>
    <cellStyle name="Normal 2 3 3 4 9 4" xfId="20297"/>
    <cellStyle name="Normal 2 3 3 4 9 5" xfId="27264"/>
    <cellStyle name="Normal 2 3 3 4 9 6" xfId="34233"/>
    <cellStyle name="Normal 2 3 3 5" xfId="1704"/>
    <cellStyle name="Normal 2 3 3 5 10" xfId="13505"/>
    <cellStyle name="Normal 2 3 3 5 10 2" xfId="20472"/>
    <cellStyle name="Normal 2 3 3 5 10 3" xfId="27439"/>
    <cellStyle name="Normal 2 3 3 5 10 4" xfId="34408"/>
    <cellStyle name="Normal 2 3 3 5 11" xfId="11010"/>
    <cellStyle name="Normal 2 3 3 5 12" xfId="17976"/>
    <cellStyle name="Normal 2 3 3 5 13" xfId="24944"/>
    <cellStyle name="Normal 2 3 3 5 14" xfId="31912"/>
    <cellStyle name="Normal 2 3 3 5 2" xfId="3310"/>
    <cellStyle name="Normal 2 3 3 5 2 2" xfId="3800"/>
    <cellStyle name="Normal 2 3 3 5 2 2 2" xfId="5426"/>
    <cellStyle name="Normal 2 3 3 5 2 2 2 2" xfId="10264"/>
    <cellStyle name="Normal 2 3 3 5 2 2 2 2 2" xfId="17262"/>
    <cellStyle name="Normal 2 3 3 5 2 2 2 2 3" xfId="24229"/>
    <cellStyle name="Normal 2 3 3 5 2 2 2 2 4" xfId="31196"/>
    <cellStyle name="Normal 2 3 3 5 2 2 2 2 5" xfId="38165"/>
    <cellStyle name="Normal 2 3 3 5 2 2 2 3" xfId="14942"/>
    <cellStyle name="Normal 2 3 3 5 2 2 2 3 2" xfId="21909"/>
    <cellStyle name="Normal 2 3 3 5 2 2 2 3 3" xfId="28876"/>
    <cellStyle name="Normal 2 3 3 5 2 2 2 3 4" xfId="35845"/>
    <cellStyle name="Normal 2 3 3 5 2 2 2 4" xfId="12620"/>
    <cellStyle name="Normal 2 3 3 5 2 2 2 5" xfId="19587"/>
    <cellStyle name="Normal 2 3 3 5 2 2 2 6" xfId="26554"/>
    <cellStyle name="Normal 2 3 3 5 2 2 2 7" xfId="33522"/>
    <cellStyle name="Normal 2 3 3 5 2 2 3" xfId="9406"/>
    <cellStyle name="Normal 2 3 3 5 2 2 3 2" xfId="16444"/>
    <cellStyle name="Normal 2 3 3 5 2 2 3 3" xfId="23411"/>
    <cellStyle name="Normal 2 3 3 5 2 2 3 4" xfId="30378"/>
    <cellStyle name="Normal 2 3 3 5 2 2 3 5" xfId="37347"/>
    <cellStyle name="Normal 2 3 3 5 2 2 4" xfId="14124"/>
    <cellStyle name="Normal 2 3 3 5 2 2 4 2" xfId="21091"/>
    <cellStyle name="Normal 2 3 3 5 2 2 4 3" xfId="28058"/>
    <cellStyle name="Normal 2 3 3 5 2 2 4 4" xfId="35027"/>
    <cellStyle name="Normal 2 3 3 5 2 2 5" xfId="11802"/>
    <cellStyle name="Normal 2 3 3 5 2 2 6" xfId="18769"/>
    <cellStyle name="Normal 2 3 3 5 2 2 7" xfId="25736"/>
    <cellStyle name="Normal 2 3 3 5 2 2 8" xfId="32704"/>
    <cellStyle name="Normal 2 3 3 5 2 3" xfId="5425"/>
    <cellStyle name="Normal 2 3 3 5 2 3 2" xfId="10263"/>
    <cellStyle name="Normal 2 3 3 5 2 3 2 2" xfId="17261"/>
    <cellStyle name="Normal 2 3 3 5 2 3 2 3" xfId="24228"/>
    <cellStyle name="Normal 2 3 3 5 2 3 2 4" xfId="31195"/>
    <cellStyle name="Normal 2 3 3 5 2 3 2 5" xfId="38164"/>
    <cellStyle name="Normal 2 3 3 5 2 3 3" xfId="14941"/>
    <cellStyle name="Normal 2 3 3 5 2 3 3 2" xfId="21908"/>
    <cellStyle name="Normal 2 3 3 5 2 3 3 3" xfId="28875"/>
    <cellStyle name="Normal 2 3 3 5 2 3 3 4" xfId="35844"/>
    <cellStyle name="Normal 2 3 3 5 2 3 4" xfId="12619"/>
    <cellStyle name="Normal 2 3 3 5 2 3 5" xfId="19586"/>
    <cellStyle name="Normal 2 3 3 5 2 3 6" xfId="26553"/>
    <cellStyle name="Normal 2 3 3 5 2 3 7" xfId="33521"/>
    <cellStyle name="Normal 2 3 3 5 2 4" xfId="8944"/>
    <cellStyle name="Normal 2 3 3 5 2 4 2" xfId="15996"/>
    <cellStyle name="Normal 2 3 3 5 2 4 3" xfId="22963"/>
    <cellStyle name="Normal 2 3 3 5 2 4 4" xfId="29930"/>
    <cellStyle name="Normal 2 3 3 5 2 4 5" xfId="36899"/>
    <cellStyle name="Normal 2 3 3 5 2 5" xfId="13674"/>
    <cellStyle name="Normal 2 3 3 5 2 5 2" xfId="20641"/>
    <cellStyle name="Normal 2 3 3 5 2 5 3" xfId="27608"/>
    <cellStyle name="Normal 2 3 3 5 2 5 4" xfId="34577"/>
    <cellStyle name="Normal 2 3 3 5 2 6" xfId="11352"/>
    <cellStyle name="Normal 2 3 3 5 2 7" xfId="18319"/>
    <cellStyle name="Normal 2 3 3 5 2 8" xfId="25286"/>
    <cellStyle name="Normal 2 3 3 5 2 9" xfId="32254"/>
    <cellStyle name="Normal 2 3 3 5 3" xfId="3512"/>
    <cellStyle name="Normal 2 3 3 5 3 2" xfId="5427"/>
    <cellStyle name="Normal 2 3 3 5 3 2 2" xfId="10265"/>
    <cellStyle name="Normal 2 3 3 5 3 2 2 2" xfId="17263"/>
    <cellStyle name="Normal 2 3 3 5 3 2 2 3" xfId="24230"/>
    <cellStyle name="Normal 2 3 3 5 3 2 2 4" xfId="31197"/>
    <cellStyle name="Normal 2 3 3 5 3 2 2 5" xfId="38166"/>
    <cellStyle name="Normal 2 3 3 5 3 2 3" xfId="14943"/>
    <cellStyle name="Normal 2 3 3 5 3 2 3 2" xfId="21910"/>
    <cellStyle name="Normal 2 3 3 5 3 2 3 3" xfId="28877"/>
    <cellStyle name="Normal 2 3 3 5 3 2 3 4" xfId="35846"/>
    <cellStyle name="Normal 2 3 3 5 3 2 4" xfId="12621"/>
    <cellStyle name="Normal 2 3 3 5 3 2 5" xfId="19588"/>
    <cellStyle name="Normal 2 3 3 5 3 2 6" xfId="26555"/>
    <cellStyle name="Normal 2 3 3 5 3 2 7" xfId="33523"/>
    <cellStyle name="Normal 2 3 3 5 3 3" xfId="9124"/>
    <cellStyle name="Normal 2 3 3 5 3 3 2" xfId="16163"/>
    <cellStyle name="Normal 2 3 3 5 3 3 3" xfId="23130"/>
    <cellStyle name="Normal 2 3 3 5 3 3 4" xfId="30097"/>
    <cellStyle name="Normal 2 3 3 5 3 3 5" xfId="37066"/>
    <cellStyle name="Normal 2 3 3 5 3 4" xfId="13843"/>
    <cellStyle name="Normal 2 3 3 5 3 4 2" xfId="20810"/>
    <cellStyle name="Normal 2 3 3 5 3 4 3" xfId="27777"/>
    <cellStyle name="Normal 2 3 3 5 3 4 4" xfId="34746"/>
    <cellStyle name="Normal 2 3 3 5 3 5" xfId="11521"/>
    <cellStyle name="Normal 2 3 3 5 3 6" xfId="18488"/>
    <cellStyle name="Normal 2 3 3 5 3 7" xfId="25455"/>
    <cellStyle name="Normal 2 3 3 5 3 8" xfId="32423"/>
    <cellStyle name="Normal 2 3 3 5 4" xfId="3687"/>
    <cellStyle name="Normal 2 3 3 5 4 2" xfId="5428"/>
    <cellStyle name="Normal 2 3 3 5 4 2 2" xfId="10266"/>
    <cellStyle name="Normal 2 3 3 5 4 2 2 2" xfId="17264"/>
    <cellStyle name="Normal 2 3 3 5 4 2 2 3" xfId="24231"/>
    <cellStyle name="Normal 2 3 3 5 4 2 2 4" xfId="31198"/>
    <cellStyle name="Normal 2 3 3 5 4 2 2 5" xfId="38167"/>
    <cellStyle name="Normal 2 3 3 5 4 2 3" xfId="14944"/>
    <cellStyle name="Normal 2 3 3 5 4 2 3 2" xfId="21911"/>
    <cellStyle name="Normal 2 3 3 5 4 2 3 3" xfId="28878"/>
    <cellStyle name="Normal 2 3 3 5 4 2 3 4" xfId="35847"/>
    <cellStyle name="Normal 2 3 3 5 4 2 4" xfId="12622"/>
    <cellStyle name="Normal 2 3 3 5 4 2 5" xfId="19589"/>
    <cellStyle name="Normal 2 3 3 5 4 2 6" xfId="26556"/>
    <cellStyle name="Normal 2 3 3 5 4 2 7" xfId="33524"/>
    <cellStyle name="Normal 2 3 3 5 4 3" xfId="9295"/>
    <cellStyle name="Normal 2 3 3 5 4 3 2" xfId="16334"/>
    <cellStyle name="Normal 2 3 3 5 4 3 3" xfId="23301"/>
    <cellStyle name="Normal 2 3 3 5 4 3 4" xfId="30268"/>
    <cellStyle name="Normal 2 3 3 5 4 3 5" xfId="37237"/>
    <cellStyle name="Normal 2 3 3 5 4 4" xfId="14014"/>
    <cellStyle name="Normal 2 3 3 5 4 4 2" xfId="20981"/>
    <cellStyle name="Normal 2 3 3 5 4 4 3" xfId="27948"/>
    <cellStyle name="Normal 2 3 3 5 4 4 4" xfId="34917"/>
    <cellStyle name="Normal 2 3 3 5 4 5" xfId="11692"/>
    <cellStyle name="Normal 2 3 3 5 4 6" xfId="18659"/>
    <cellStyle name="Normal 2 3 3 5 4 7" xfId="25626"/>
    <cellStyle name="Normal 2 3 3 5 4 8" xfId="32594"/>
    <cellStyle name="Normal 2 3 3 5 5" xfId="3964"/>
    <cellStyle name="Normal 2 3 3 5 5 2" xfId="5429"/>
    <cellStyle name="Normal 2 3 3 5 5 2 2" xfId="10267"/>
    <cellStyle name="Normal 2 3 3 5 5 2 2 2" xfId="17265"/>
    <cellStyle name="Normal 2 3 3 5 5 2 2 3" xfId="24232"/>
    <cellStyle name="Normal 2 3 3 5 5 2 2 4" xfId="31199"/>
    <cellStyle name="Normal 2 3 3 5 5 2 2 5" xfId="38168"/>
    <cellStyle name="Normal 2 3 3 5 5 2 3" xfId="14945"/>
    <cellStyle name="Normal 2 3 3 5 5 2 3 2" xfId="21912"/>
    <cellStyle name="Normal 2 3 3 5 5 2 3 3" xfId="28879"/>
    <cellStyle name="Normal 2 3 3 5 5 2 3 4" xfId="35848"/>
    <cellStyle name="Normal 2 3 3 5 5 2 4" xfId="12623"/>
    <cellStyle name="Normal 2 3 3 5 5 2 5" xfId="19590"/>
    <cellStyle name="Normal 2 3 3 5 5 2 6" xfId="26557"/>
    <cellStyle name="Normal 2 3 3 5 5 2 7" xfId="33525"/>
    <cellStyle name="Normal 2 3 3 5 5 3" xfId="9570"/>
    <cellStyle name="Normal 2 3 3 5 5 3 2" xfId="16606"/>
    <cellStyle name="Normal 2 3 3 5 5 3 3" xfId="23573"/>
    <cellStyle name="Normal 2 3 3 5 5 3 4" xfId="30540"/>
    <cellStyle name="Normal 2 3 3 5 5 3 5" xfId="37509"/>
    <cellStyle name="Normal 2 3 3 5 5 4" xfId="14286"/>
    <cellStyle name="Normal 2 3 3 5 5 4 2" xfId="21253"/>
    <cellStyle name="Normal 2 3 3 5 5 4 3" xfId="28220"/>
    <cellStyle name="Normal 2 3 3 5 5 4 4" xfId="35189"/>
    <cellStyle name="Normal 2 3 3 5 5 5" xfId="11964"/>
    <cellStyle name="Normal 2 3 3 5 5 6" xfId="18931"/>
    <cellStyle name="Normal 2 3 3 5 5 7" xfId="25898"/>
    <cellStyle name="Normal 2 3 3 5 5 8" xfId="32866"/>
    <cellStyle name="Normal 2 3 3 5 6" xfId="5424"/>
    <cellStyle name="Normal 2 3 3 5 6 2" xfId="10262"/>
    <cellStyle name="Normal 2 3 3 5 6 2 2" xfId="17260"/>
    <cellStyle name="Normal 2 3 3 5 6 2 3" xfId="24227"/>
    <cellStyle name="Normal 2 3 3 5 6 2 4" xfId="31194"/>
    <cellStyle name="Normal 2 3 3 5 6 2 5" xfId="38163"/>
    <cellStyle name="Normal 2 3 3 5 6 3" xfId="14940"/>
    <cellStyle name="Normal 2 3 3 5 6 3 2" xfId="21907"/>
    <cellStyle name="Normal 2 3 3 5 6 3 3" xfId="28874"/>
    <cellStyle name="Normal 2 3 3 5 6 3 4" xfId="35843"/>
    <cellStyle name="Normal 2 3 3 5 6 4" xfId="12618"/>
    <cellStyle name="Normal 2 3 3 5 6 5" xfId="19585"/>
    <cellStyle name="Normal 2 3 3 5 6 6" xfId="26552"/>
    <cellStyle name="Normal 2 3 3 5 6 7" xfId="33520"/>
    <cellStyle name="Normal 2 3 3 5 7" xfId="6858"/>
    <cellStyle name="Normal 2 3 3 5 7 2" xfId="10827"/>
    <cellStyle name="Normal 2 3 3 5 7 2 2" xfId="17801"/>
    <cellStyle name="Normal 2 3 3 5 7 2 3" xfId="24768"/>
    <cellStyle name="Normal 2 3 3 5 7 2 4" xfId="31735"/>
    <cellStyle name="Normal 2 3 3 5 7 2 5" xfId="38704"/>
    <cellStyle name="Normal 2 3 3 5 7 3" xfId="15481"/>
    <cellStyle name="Normal 2 3 3 5 7 3 2" xfId="22448"/>
    <cellStyle name="Normal 2 3 3 5 7 3 3" xfId="29415"/>
    <cellStyle name="Normal 2 3 3 5 7 3 4" xfId="36384"/>
    <cellStyle name="Normal 2 3 3 5 7 4" xfId="13159"/>
    <cellStyle name="Normal 2 3 3 5 7 5" xfId="20126"/>
    <cellStyle name="Normal 2 3 3 5 7 6" xfId="27093"/>
    <cellStyle name="Normal 2 3 3 5 7 7" xfId="34062"/>
    <cellStyle name="Normal 2 3 3 5 8" xfId="7170"/>
    <cellStyle name="Normal 2 3 3 5 8 2" xfId="15654"/>
    <cellStyle name="Normal 2 3 3 5 8 2 2" xfId="22621"/>
    <cellStyle name="Normal 2 3 3 5 8 2 3" xfId="29588"/>
    <cellStyle name="Normal 2 3 3 5 8 2 4" xfId="36557"/>
    <cellStyle name="Normal 2 3 3 5 8 3" xfId="13332"/>
    <cellStyle name="Normal 2 3 3 5 8 4" xfId="20299"/>
    <cellStyle name="Normal 2 3 3 5 8 5" xfId="27266"/>
    <cellStyle name="Normal 2 3 3 5 8 6" xfId="34235"/>
    <cellStyle name="Normal 2 3 3 5 9" xfId="8063"/>
    <cellStyle name="Normal 2 3 3 5 9 2" xfId="15827"/>
    <cellStyle name="Normal 2 3 3 5 9 2 2" xfId="22794"/>
    <cellStyle name="Normal 2 3 3 5 9 2 3" xfId="29761"/>
    <cellStyle name="Normal 2 3 3 5 9 2 4" xfId="36730"/>
    <cellStyle name="Normal 2 3 3 5 9 3" xfId="11183"/>
    <cellStyle name="Normal 2 3 3 5 9 4" xfId="18150"/>
    <cellStyle name="Normal 2 3 3 5 9 5" xfId="25117"/>
    <cellStyle name="Normal 2 3 3 5 9 6" xfId="32085"/>
    <cellStyle name="Normal 2 3 3 6" xfId="1705"/>
    <cellStyle name="Normal 2 3 3 6 10" xfId="13506"/>
    <cellStyle name="Normal 2 3 3 6 10 2" xfId="20473"/>
    <cellStyle name="Normal 2 3 3 6 10 3" xfId="27440"/>
    <cellStyle name="Normal 2 3 3 6 10 4" xfId="34409"/>
    <cellStyle name="Normal 2 3 3 6 11" xfId="11011"/>
    <cellStyle name="Normal 2 3 3 6 12" xfId="17977"/>
    <cellStyle name="Normal 2 3 3 6 13" xfId="24945"/>
    <cellStyle name="Normal 2 3 3 6 14" xfId="31913"/>
    <cellStyle name="Normal 2 3 3 6 2" xfId="3311"/>
    <cellStyle name="Normal 2 3 3 6 2 2" xfId="5431"/>
    <cellStyle name="Normal 2 3 3 6 2 2 2" xfId="10269"/>
    <cellStyle name="Normal 2 3 3 6 2 2 2 2" xfId="17267"/>
    <cellStyle name="Normal 2 3 3 6 2 2 2 3" xfId="24234"/>
    <cellStyle name="Normal 2 3 3 6 2 2 2 4" xfId="31201"/>
    <cellStyle name="Normal 2 3 3 6 2 2 2 5" xfId="38170"/>
    <cellStyle name="Normal 2 3 3 6 2 2 3" xfId="14947"/>
    <cellStyle name="Normal 2 3 3 6 2 2 3 2" xfId="21914"/>
    <cellStyle name="Normal 2 3 3 6 2 2 3 3" xfId="28881"/>
    <cellStyle name="Normal 2 3 3 6 2 2 3 4" xfId="35850"/>
    <cellStyle name="Normal 2 3 3 6 2 2 4" xfId="12625"/>
    <cellStyle name="Normal 2 3 3 6 2 2 5" xfId="19592"/>
    <cellStyle name="Normal 2 3 3 6 2 2 6" xfId="26559"/>
    <cellStyle name="Normal 2 3 3 6 2 2 7" xfId="33527"/>
    <cellStyle name="Normal 2 3 3 6 2 3" xfId="8945"/>
    <cellStyle name="Normal 2 3 3 6 2 3 2" xfId="15997"/>
    <cellStyle name="Normal 2 3 3 6 2 3 3" xfId="22964"/>
    <cellStyle name="Normal 2 3 3 6 2 3 4" xfId="29931"/>
    <cellStyle name="Normal 2 3 3 6 2 3 5" xfId="36900"/>
    <cellStyle name="Normal 2 3 3 6 2 4" xfId="13675"/>
    <cellStyle name="Normal 2 3 3 6 2 4 2" xfId="20642"/>
    <cellStyle name="Normal 2 3 3 6 2 4 3" xfId="27609"/>
    <cellStyle name="Normal 2 3 3 6 2 4 4" xfId="34578"/>
    <cellStyle name="Normal 2 3 3 6 2 5" xfId="11353"/>
    <cellStyle name="Normal 2 3 3 6 2 6" xfId="18320"/>
    <cellStyle name="Normal 2 3 3 6 2 7" xfId="25287"/>
    <cellStyle name="Normal 2 3 3 6 2 8" xfId="32255"/>
    <cellStyle name="Normal 2 3 3 6 3" xfId="3513"/>
    <cellStyle name="Normal 2 3 3 6 3 2" xfId="5432"/>
    <cellStyle name="Normal 2 3 3 6 3 2 2" xfId="10270"/>
    <cellStyle name="Normal 2 3 3 6 3 2 2 2" xfId="17268"/>
    <cellStyle name="Normal 2 3 3 6 3 2 2 3" xfId="24235"/>
    <cellStyle name="Normal 2 3 3 6 3 2 2 4" xfId="31202"/>
    <cellStyle name="Normal 2 3 3 6 3 2 2 5" xfId="38171"/>
    <cellStyle name="Normal 2 3 3 6 3 2 3" xfId="14948"/>
    <cellStyle name="Normal 2 3 3 6 3 2 3 2" xfId="21915"/>
    <cellStyle name="Normal 2 3 3 6 3 2 3 3" xfId="28882"/>
    <cellStyle name="Normal 2 3 3 6 3 2 3 4" xfId="35851"/>
    <cellStyle name="Normal 2 3 3 6 3 2 4" xfId="12626"/>
    <cellStyle name="Normal 2 3 3 6 3 2 5" xfId="19593"/>
    <cellStyle name="Normal 2 3 3 6 3 2 6" xfId="26560"/>
    <cellStyle name="Normal 2 3 3 6 3 2 7" xfId="33528"/>
    <cellStyle name="Normal 2 3 3 6 3 3" xfId="9125"/>
    <cellStyle name="Normal 2 3 3 6 3 3 2" xfId="16164"/>
    <cellStyle name="Normal 2 3 3 6 3 3 3" xfId="23131"/>
    <cellStyle name="Normal 2 3 3 6 3 3 4" xfId="30098"/>
    <cellStyle name="Normal 2 3 3 6 3 3 5" xfId="37067"/>
    <cellStyle name="Normal 2 3 3 6 3 4" xfId="13844"/>
    <cellStyle name="Normal 2 3 3 6 3 4 2" xfId="20811"/>
    <cellStyle name="Normal 2 3 3 6 3 4 3" xfId="27778"/>
    <cellStyle name="Normal 2 3 3 6 3 4 4" xfId="34747"/>
    <cellStyle name="Normal 2 3 3 6 3 5" xfId="11522"/>
    <cellStyle name="Normal 2 3 3 6 3 6" xfId="18489"/>
    <cellStyle name="Normal 2 3 3 6 3 7" xfId="25456"/>
    <cellStyle name="Normal 2 3 3 6 3 8" xfId="32424"/>
    <cellStyle name="Normal 2 3 3 6 4" xfId="3688"/>
    <cellStyle name="Normal 2 3 3 6 4 2" xfId="5433"/>
    <cellStyle name="Normal 2 3 3 6 4 2 2" xfId="10271"/>
    <cellStyle name="Normal 2 3 3 6 4 2 2 2" xfId="17269"/>
    <cellStyle name="Normal 2 3 3 6 4 2 2 3" xfId="24236"/>
    <cellStyle name="Normal 2 3 3 6 4 2 2 4" xfId="31203"/>
    <cellStyle name="Normal 2 3 3 6 4 2 2 5" xfId="38172"/>
    <cellStyle name="Normal 2 3 3 6 4 2 3" xfId="14949"/>
    <cellStyle name="Normal 2 3 3 6 4 2 3 2" xfId="21916"/>
    <cellStyle name="Normal 2 3 3 6 4 2 3 3" xfId="28883"/>
    <cellStyle name="Normal 2 3 3 6 4 2 3 4" xfId="35852"/>
    <cellStyle name="Normal 2 3 3 6 4 2 4" xfId="12627"/>
    <cellStyle name="Normal 2 3 3 6 4 2 5" xfId="19594"/>
    <cellStyle name="Normal 2 3 3 6 4 2 6" xfId="26561"/>
    <cellStyle name="Normal 2 3 3 6 4 2 7" xfId="33529"/>
    <cellStyle name="Normal 2 3 3 6 4 3" xfId="9296"/>
    <cellStyle name="Normal 2 3 3 6 4 3 2" xfId="16335"/>
    <cellStyle name="Normal 2 3 3 6 4 3 3" xfId="23302"/>
    <cellStyle name="Normal 2 3 3 6 4 3 4" xfId="30269"/>
    <cellStyle name="Normal 2 3 3 6 4 3 5" xfId="37238"/>
    <cellStyle name="Normal 2 3 3 6 4 4" xfId="14015"/>
    <cellStyle name="Normal 2 3 3 6 4 4 2" xfId="20982"/>
    <cellStyle name="Normal 2 3 3 6 4 4 3" xfId="27949"/>
    <cellStyle name="Normal 2 3 3 6 4 4 4" xfId="34918"/>
    <cellStyle name="Normal 2 3 3 6 4 5" xfId="11693"/>
    <cellStyle name="Normal 2 3 3 6 4 6" xfId="18660"/>
    <cellStyle name="Normal 2 3 3 6 4 7" xfId="25627"/>
    <cellStyle name="Normal 2 3 3 6 4 8" xfId="32595"/>
    <cellStyle name="Normal 2 3 3 6 5" xfId="3965"/>
    <cellStyle name="Normal 2 3 3 6 5 2" xfId="5434"/>
    <cellStyle name="Normal 2 3 3 6 5 2 2" xfId="10272"/>
    <cellStyle name="Normal 2 3 3 6 5 2 2 2" xfId="17270"/>
    <cellStyle name="Normal 2 3 3 6 5 2 2 3" xfId="24237"/>
    <cellStyle name="Normal 2 3 3 6 5 2 2 4" xfId="31204"/>
    <cellStyle name="Normal 2 3 3 6 5 2 2 5" xfId="38173"/>
    <cellStyle name="Normal 2 3 3 6 5 2 3" xfId="14950"/>
    <cellStyle name="Normal 2 3 3 6 5 2 3 2" xfId="21917"/>
    <cellStyle name="Normal 2 3 3 6 5 2 3 3" xfId="28884"/>
    <cellStyle name="Normal 2 3 3 6 5 2 3 4" xfId="35853"/>
    <cellStyle name="Normal 2 3 3 6 5 2 4" xfId="12628"/>
    <cellStyle name="Normal 2 3 3 6 5 2 5" xfId="19595"/>
    <cellStyle name="Normal 2 3 3 6 5 2 6" xfId="26562"/>
    <cellStyle name="Normal 2 3 3 6 5 2 7" xfId="33530"/>
    <cellStyle name="Normal 2 3 3 6 5 3" xfId="9571"/>
    <cellStyle name="Normal 2 3 3 6 5 3 2" xfId="16607"/>
    <cellStyle name="Normal 2 3 3 6 5 3 3" xfId="23574"/>
    <cellStyle name="Normal 2 3 3 6 5 3 4" xfId="30541"/>
    <cellStyle name="Normal 2 3 3 6 5 3 5" xfId="37510"/>
    <cellStyle name="Normal 2 3 3 6 5 4" xfId="14287"/>
    <cellStyle name="Normal 2 3 3 6 5 4 2" xfId="21254"/>
    <cellStyle name="Normal 2 3 3 6 5 4 3" xfId="28221"/>
    <cellStyle name="Normal 2 3 3 6 5 4 4" xfId="35190"/>
    <cellStyle name="Normal 2 3 3 6 5 5" xfId="11965"/>
    <cellStyle name="Normal 2 3 3 6 5 6" xfId="18932"/>
    <cellStyle name="Normal 2 3 3 6 5 7" xfId="25899"/>
    <cellStyle name="Normal 2 3 3 6 5 8" xfId="32867"/>
    <cellStyle name="Normal 2 3 3 6 6" xfId="5430"/>
    <cellStyle name="Normal 2 3 3 6 6 2" xfId="10268"/>
    <cellStyle name="Normal 2 3 3 6 6 2 2" xfId="17266"/>
    <cellStyle name="Normal 2 3 3 6 6 2 3" xfId="24233"/>
    <cellStyle name="Normal 2 3 3 6 6 2 4" xfId="31200"/>
    <cellStyle name="Normal 2 3 3 6 6 2 5" xfId="38169"/>
    <cellStyle name="Normal 2 3 3 6 6 3" xfId="14946"/>
    <cellStyle name="Normal 2 3 3 6 6 3 2" xfId="21913"/>
    <cellStyle name="Normal 2 3 3 6 6 3 3" xfId="28880"/>
    <cellStyle name="Normal 2 3 3 6 6 3 4" xfId="35849"/>
    <cellStyle name="Normal 2 3 3 6 6 4" xfId="12624"/>
    <cellStyle name="Normal 2 3 3 6 6 5" xfId="19591"/>
    <cellStyle name="Normal 2 3 3 6 6 6" xfId="26558"/>
    <cellStyle name="Normal 2 3 3 6 6 7" xfId="33526"/>
    <cellStyle name="Normal 2 3 3 6 7" xfId="6859"/>
    <cellStyle name="Normal 2 3 3 6 7 2" xfId="10828"/>
    <cellStyle name="Normal 2 3 3 6 7 2 2" xfId="17802"/>
    <cellStyle name="Normal 2 3 3 6 7 2 3" xfId="24769"/>
    <cellStyle name="Normal 2 3 3 6 7 2 4" xfId="31736"/>
    <cellStyle name="Normal 2 3 3 6 7 2 5" xfId="38705"/>
    <cellStyle name="Normal 2 3 3 6 7 3" xfId="15482"/>
    <cellStyle name="Normal 2 3 3 6 7 3 2" xfId="22449"/>
    <cellStyle name="Normal 2 3 3 6 7 3 3" xfId="29416"/>
    <cellStyle name="Normal 2 3 3 6 7 3 4" xfId="36385"/>
    <cellStyle name="Normal 2 3 3 6 7 4" xfId="13160"/>
    <cellStyle name="Normal 2 3 3 6 7 5" xfId="20127"/>
    <cellStyle name="Normal 2 3 3 6 7 6" xfId="27094"/>
    <cellStyle name="Normal 2 3 3 6 7 7" xfId="34063"/>
    <cellStyle name="Normal 2 3 3 6 8" xfId="7171"/>
    <cellStyle name="Normal 2 3 3 6 8 2" xfId="15655"/>
    <cellStyle name="Normal 2 3 3 6 8 2 2" xfId="22622"/>
    <cellStyle name="Normal 2 3 3 6 8 2 3" xfId="29589"/>
    <cellStyle name="Normal 2 3 3 6 8 2 4" xfId="36558"/>
    <cellStyle name="Normal 2 3 3 6 8 3" xfId="13333"/>
    <cellStyle name="Normal 2 3 3 6 8 4" xfId="20300"/>
    <cellStyle name="Normal 2 3 3 6 8 5" xfId="27267"/>
    <cellStyle name="Normal 2 3 3 6 8 6" xfId="34236"/>
    <cellStyle name="Normal 2 3 3 6 9" xfId="8064"/>
    <cellStyle name="Normal 2 3 3 6 9 2" xfId="15828"/>
    <cellStyle name="Normal 2 3 3 6 9 2 2" xfId="22795"/>
    <cellStyle name="Normal 2 3 3 6 9 2 3" xfId="29762"/>
    <cellStyle name="Normal 2 3 3 6 9 2 4" xfId="36731"/>
    <cellStyle name="Normal 2 3 3 6 9 3" xfId="11184"/>
    <cellStyle name="Normal 2 3 3 6 9 4" xfId="18151"/>
    <cellStyle name="Normal 2 3 3 6 9 5" xfId="25118"/>
    <cellStyle name="Normal 2 3 3 6 9 6" xfId="32086"/>
    <cellStyle name="Normal 2 3 3 7" xfId="1706"/>
    <cellStyle name="Normal 2 3 3 7 10" xfId="13507"/>
    <cellStyle name="Normal 2 3 3 7 10 2" xfId="20474"/>
    <cellStyle name="Normal 2 3 3 7 10 3" xfId="27441"/>
    <cellStyle name="Normal 2 3 3 7 10 4" xfId="34410"/>
    <cellStyle name="Normal 2 3 3 7 11" xfId="11012"/>
    <cellStyle name="Normal 2 3 3 7 12" xfId="17978"/>
    <cellStyle name="Normal 2 3 3 7 13" xfId="24946"/>
    <cellStyle name="Normal 2 3 3 7 14" xfId="31914"/>
    <cellStyle name="Normal 2 3 3 7 2" xfId="3312"/>
    <cellStyle name="Normal 2 3 3 7 2 2" xfId="5436"/>
    <cellStyle name="Normal 2 3 3 7 2 2 2" xfId="10274"/>
    <cellStyle name="Normal 2 3 3 7 2 2 2 2" xfId="17272"/>
    <cellStyle name="Normal 2 3 3 7 2 2 2 3" xfId="24239"/>
    <cellStyle name="Normal 2 3 3 7 2 2 2 4" xfId="31206"/>
    <cellStyle name="Normal 2 3 3 7 2 2 2 5" xfId="38175"/>
    <cellStyle name="Normal 2 3 3 7 2 2 3" xfId="14952"/>
    <cellStyle name="Normal 2 3 3 7 2 2 3 2" xfId="21919"/>
    <cellStyle name="Normal 2 3 3 7 2 2 3 3" xfId="28886"/>
    <cellStyle name="Normal 2 3 3 7 2 2 3 4" xfId="35855"/>
    <cellStyle name="Normal 2 3 3 7 2 2 4" xfId="12630"/>
    <cellStyle name="Normal 2 3 3 7 2 2 5" xfId="19597"/>
    <cellStyle name="Normal 2 3 3 7 2 2 6" xfId="26564"/>
    <cellStyle name="Normal 2 3 3 7 2 2 7" xfId="33532"/>
    <cellStyle name="Normal 2 3 3 7 2 3" xfId="8946"/>
    <cellStyle name="Normal 2 3 3 7 2 3 2" xfId="15998"/>
    <cellStyle name="Normal 2 3 3 7 2 3 3" xfId="22965"/>
    <cellStyle name="Normal 2 3 3 7 2 3 4" xfId="29932"/>
    <cellStyle name="Normal 2 3 3 7 2 3 5" xfId="36901"/>
    <cellStyle name="Normal 2 3 3 7 2 4" xfId="13676"/>
    <cellStyle name="Normal 2 3 3 7 2 4 2" xfId="20643"/>
    <cellStyle name="Normal 2 3 3 7 2 4 3" xfId="27610"/>
    <cellStyle name="Normal 2 3 3 7 2 4 4" xfId="34579"/>
    <cellStyle name="Normal 2 3 3 7 2 5" xfId="11354"/>
    <cellStyle name="Normal 2 3 3 7 2 6" xfId="18321"/>
    <cellStyle name="Normal 2 3 3 7 2 7" xfId="25288"/>
    <cellStyle name="Normal 2 3 3 7 2 8" xfId="32256"/>
    <cellStyle name="Normal 2 3 3 7 3" xfId="3514"/>
    <cellStyle name="Normal 2 3 3 7 3 2" xfId="5437"/>
    <cellStyle name="Normal 2 3 3 7 3 2 2" xfId="10275"/>
    <cellStyle name="Normal 2 3 3 7 3 2 2 2" xfId="17273"/>
    <cellStyle name="Normal 2 3 3 7 3 2 2 3" xfId="24240"/>
    <cellStyle name="Normal 2 3 3 7 3 2 2 4" xfId="31207"/>
    <cellStyle name="Normal 2 3 3 7 3 2 2 5" xfId="38176"/>
    <cellStyle name="Normal 2 3 3 7 3 2 3" xfId="14953"/>
    <cellStyle name="Normal 2 3 3 7 3 2 3 2" xfId="21920"/>
    <cellStyle name="Normal 2 3 3 7 3 2 3 3" xfId="28887"/>
    <cellStyle name="Normal 2 3 3 7 3 2 3 4" xfId="35856"/>
    <cellStyle name="Normal 2 3 3 7 3 2 4" xfId="12631"/>
    <cellStyle name="Normal 2 3 3 7 3 2 5" xfId="19598"/>
    <cellStyle name="Normal 2 3 3 7 3 2 6" xfId="26565"/>
    <cellStyle name="Normal 2 3 3 7 3 2 7" xfId="33533"/>
    <cellStyle name="Normal 2 3 3 7 3 3" xfId="9126"/>
    <cellStyle name="Normal 2 3 3 7 3 3 2" xfId="16165"/>
    <cellStyle name="Normal 2 3 3 7 3 3 3" xfId="23132"/>
    <cellStyle name="Normal 2 3 3 7 3 3 4" xfId="30099"/>
    <cellStyle name="Normal 2 3 3 7 3 3 5" xfId="37068"/>
    <cellStyle name="Normal 2 3 3 7 3 4" xfId="13845"/>
    <cellStyle name="Normal 2 3 3 7 3 4 2" xfId="20812"/>
    <cellStyle name="Normal 2 3 3 7 3 4 3" xfId="27779"/>
    <cellStyle name="Normal 2 3 3 7 3 4 4" xfId="34748"/>
    <cellStyle name="Normal 2 3 3 7 3 5" xfId="11523"/>
    <cellStyle name="Normal 2 3 3 7 3 6" xfId="18490"/>
    <cellStyle name="Normal 2 3 3 7 3 7" xfId="25457"/>
    <cellStyle name="Normal 2 3 3 7 3 8" xfId="32425"/>
    <cellStyle name="Normal 2 3 3 7 4" xfId="3689"/>
    <cellStyle name="Normal 2 3 3 7 4 2" xfId="5438"/>
    <cellStyle name="Normal 2 3 3 7 4 2 2" xfId="10276"/>
    <cellStyle name="Normal 2 3 3 7 4 2 2 2" xfId="17274"/>
    <cellStyle name="Normal 2 3 3 7 4 2 2 3" xfId="24241"/>
    <cellStyle name="Normal 2 3 3 7 4 2 2 4" xfId="31208"/>
    <cellStyle name="Normal 2 3 3 7 4 2 2 5" xfId="38177"/>
    <cellStyle name="Normal 2 3 3 7 4 2 3" xfId="14954"/>
    <cellStyle name="Normal 2 3 3 7 4 2 3 2" xfId="21921"/>
    <cellStyle name="Normal 2 3 3 7 4 2 3 3" xfId="28888"/>
    <cellStyle name="Normal 2 3 3 7 4 2 3 4" xfId="35857"/>
    <cellStyle name="Normal 2 3 3 7 4 2 4" xfId="12632"/>
    <cellStyle name="Normal 2 3 3 7 4 2 5" xfId="19599"/>
    <cellStyle name="Normal 2 3 3 7 4 2 6" xfId="26566"/>
    <cellStyle name="Normal 2 3 3 7 4 2 7" xfId="33534"/>
    <cellStyle name="Normal 2 3 3 7 4 3" xfId="9297"/>
    <cellStyle name="Normal 2 3 3 7 4 3 2" xfId="16336"/>
    <cellStyle name="Normal 2 3 3 7 4 3 3" xfId="23303"/>
    <cellStyle name="Normal 2 3 3 7 4 3 4" xfId="30270"/>
    <cellStyle name="Normal 2 3 3 7 4 3 5" xfId="37239"/>
    <cellStyle name="Normal 2 3 3 7 4 4" xfId="14016"/>
    <cellStyle name="Normal 2 3 3 7 4 4 2" xfId="20983"/>
    <cellStyle name="Normal 2 3 3 7 4 4 3" xfId="27950"/>
    <cellStyle name="Normal 2 3 3 7 4 4 4" xfId="34919"/>
    <cellStyle name="Normal 2 3 3 7 4 5" xfId="11694"/>
    <cellStyle name="Normal 2 3 3 7 4 6" xfId="18661"/>
    <cellStyle name="Normal 2 3 3 7 4 7" xfId="25628"/>
    <cellStyle name="Normal 2 3 3 7 4 8" xfId="32596"/>
    <cellStyle name="Normal 2 3 3 7 5" xfId="3966"/>
    <cellStyle name="Normal 2 3 3 7 5 2" xfId="5439"/>
    <cellStyle name="Normal 2 3 3 7 5 2 2" xfId="10277"/>
    <cellStyle name="Normal 2 3 3 7 5 2 2 2" xfId="17275"/>
    <cellStyle name="Normal 2 3 3 7 5 2 2 3" xfId="24242"/>
    <cellStyle name="Normal 2 3 3 7 5 2 2 4" xfId="31209"/>
    <cellStyle name="Normal 2 3 3 7 5 2 2 5" xfId="38178"/>
    <cellStyle name="Normal 2 3 3 7 5 2 3" xfId="14955"/>
    <cellStyle name="Normal 2 3 3 7 5 2 3 2" xfId="21922"/>
    <cellStyle name="Normal 2 3 3 7 5 2 3 3" xfId="28889"/>
    <cellStyle name="Normal 2 3 3 7 5 2 3 4" xfId="35858"/>
    <cellStyle name="Normal 2 3 3 7 5 2 4" xfId="12633"/>
    <cellStyle name="Normal 2 3 3 7 5 2 5" xfId="19600"/>
    <cellStyle name="Normal 2 3 3 7 5 2 6" xfId="26567"/>
    <cellStyle name="Normal 2 3 3 7 5 2 7" xfId="33535"/>
    <cellStyle name="Normal 2 3 3 7 5 3" xfId="9572"/>
    <cellStyle name="Normal 2 3 3 7 5 3 2" xfId="16608"/>
    <cellStyle name="Normal 2 3 3 7 5 3 3" xfId="23575"/>
    <cellStyle name="Normal 2 3 3 7 5 3 4" xfId="30542"/>
    <cellStyle name="Normal 2 3 3 7 5 3 5" xfId="37511"/>
    <cellStyle name="Normal 2 3 3 7 5 4" xfId="14288"/>
    <cellStyle name="Normal 2 3 3 7 5 4 2" xfId="21255"/>
    <cellStyle name="Normal 2 3 3 7 5 4 3" xfId="28222"/>
    <cellStyle name="Normal 2 3 3 7 5 4 4" xfId="35191"/>
    <cellStyle name="Normal 2 3 3 7 5 5" xfId="11966"/>
    <cellStyle name="Normal 2 3 3 7 5 6" xfId="18933"/>
    <cellStyle name="Normal 2 3 3 7 5 7" xfId="25900"/>
    <cellStyle name="Normal 2 3 3 7 5 8" xfId="32868"/>
    <cellStyle name="Normal 2 3 3 7 6" xfId="5435"/>
    <cellStyle name="Normal 2 3 3 7 6 2" xfId="10273"/>
    <cellStyle name="Normal 2 3 3 7 6 2 2" xfId="17271"/>
    <cellStyle name="Normal 2 3 3 7 6 2 3" xfId="24238"/>
    <cellStyle name="Normal 2 3 3 7 6 2 4" xfId="31205"/>
    <cellStyle name="Normal 2 3 3 7 6 2 5" xfId="38174"/>
    <cellStyle name="Normal 2 3 3 7 6 3" xfId="14951"/>
    <cellStyle name="Normal 2 3 3 7 6 3 2" xfId="21918"/>
    <cellStyle name="Normal 2 3 3 7 6 3 3" xfId="28885"/>
    <cellStyle name="Normal 2 3 3 7 6 3 4" xfId="35854"/>
    <cellStyle name="Normal 2 3 3 7 6 4" xfId="12629"/>
    <cellStyle name="Normal 2 3 3 7 6 5" xfId="19596"/>
    <cellStyle name="Normal 2 3 3 7 6 6" xfId="26563"/>
    <cellStyle name="Normal 2 3 3 7 6 7" xfId="33531"/>
    <cellStyle name="Normal 2 3 3 7 7" xfId="6860"/>
    <cellStyle name="Normal 2 3 3 7 7 2" xfId="10829"/>
    <cellStyle name="Normal 2 3 3 7 7 2 2" xfId="17803"/>
    <cellStyle name="Normal 2 3 3 7 7 2 3" xfId="24770"/>
    <cellStyle name="Normal 2 3 3 7 7 2 4" xfId="31737"/>
    <cellStyle name="Normal 2 3 3 7 7 2 5" xfId="38706"/>
    <cellStyle name="Normal 2 3 3 7 7 3" xfId="15483"/>
    <cellStyle name="Normal 2 3 3 7 7 3 2" xfId="22450"/>
    <cellStyle name="Normal 2 3 3 7 7 3 3" xfId="29417"/>
    <cellStyle name="Normal 2 3 3 7 7 3 4" xfId="36386"/>
    <cellStyle name="Normal 2 3 3 7 7 4" xfId="13161"/>
    <cellStyle name="Normal 2 3 3 7 7 5" xfId="20128"/>
    <cellStyle name="Normal 2 3 3 7 7 6" xfId="27095"/>
    <cellStyle name="Normal 2 3 3 7 7 7" xfId="34064"/>
    <cellStyle name="Normal 2 3 3 7 8" xfId="7172"/>
    <cellStyle name="Normal 2 3 3 7 8 2" xfId="15656"/>
    <cellStyle name="Normal 2 3 3 7 8 2 2" xfId="22623"/>
    <cellStyle name="Normal 2 3 3 7 8 2 3" xfId="29590"/>
    <cellStyle name="Normal 2 3 3 7 8 2 4" xfId="36559"/>
    <cellStyle name="Normal 2 3 3 7 8 3" xfId="13334"/>
    <cellStyle name="Normal 2 3 3 7 8 4" xfId="20301"/>
    <cellStyle name="Normal 2 3 3 7 8 5" xfId="27268"/>
    <cellStyle name="Normal 2 3 3 7 8 6" xfId="34237"/>
    <cellStyle name="Normal 2 3 3 7 9" xfId="8065"/>
    <cellStyle name="Normal 2 3 3 7 9 2" xfId="15829"/>
    <cellStyle name="Normal 2 3 3 7 9 2 2" xfId="22796"/>
    <cellStyle name="Normal 2 3 3 7 9 2 3" xfId="29763"/>
    <cellStyle name="Normal 2 3 3 7 9 2 4" xfId="36732"/>
    <cellStyle name="Normal 2 3 3 7 9 3" xfId="11185"/>
    <cellStyle name="Normal 2 3 3 7 9 4" xfId="18152"/>
    <cellStyle name="Normal 2 3 3 7 9 5" xfId="25119"/>
    <cellStyle name="Normal 2 3 3 7 9 6" xfId="32087"/>
    <cellStyle name="Normal 2 3 3 8" xfId="3300"/>
    <cellStyle name="Normal 2 3 3 8 2" xfId="3806"/>
    <cellStyle name="Normal 2 3 3 8 2 2" xfId="5441"/>
    <cellStyle name="Normal 2 3 3 8 2 2 2" xfId="10279"/>
    <cellStyle name="Normal 2 3 3 8 2 2 2 2" xfId="17277"/>
    <cellStyle name="Normal 2 3 3 8 2 2 2 3" xfId="24244"/>
    <cellStyle name="Normal 2 3 3 8 2 2 2 4" xfId="31211"/>
    <cellStyle name="Normal 2 3 3 8 2 2 2 5" xfId="38180"/>
    <cellStyle name="Normal 2 3 3 8 2 2 3" xfId="14957"/>
    <cellStyle name="Normal 2 3 3 8 2 2 3 2" xfId="21924"/>
    <cellStyle name="Normal 2 3 3 8 2 2 3 3" xfId="28891"/>
    <cellStyle name="Normal 2 3 3 8 2 2 3 4" xfId="35860"/>
    <cellStyle name="Normal 2 3 3 8 2 2 4" xfId="12635"/>
    <cellStyle name="Normal 2 3 3 8 2 2 5" xfId="19602"/>
    <cellStyle name="Normal 2 3 3 8 2 2 6" xfId="26569"/>
    <cellStyle name="Normal 2 3 3 8 2 2 7" xfId="33537"/>
    <cellStyle name="Normal 2 3 3 8 2 3" xfId="9412"/>
    <cellStyle name="Normal 2 3 3 8 2 3 2" xfId="16450"/>
    <cellStyle name="Normal 2 3 3 8 2 3 3" xfId="23417"/>
    <cellStyle name="Normal 2 3 3 8 2 3 4" xfId="30384"/>
    <cellStyle name="Normal 2 3 3 8 2 3 5" xfId="37353"/>
    <cellStyle name="Normal 2 3 3 8 2 4" xfId="14130"/>
    <cellStyle name="Normal 2 3 3 8 2 4 2" xfId="21097"/>
    <cellStyle name="Normal 2 3 3 8 2 4 3" xfId="28064"/>
    <cellStyle name="Normal 2 3 3 8 2 4 4" xfId="35033"/>
    <cellStyle name="Normal 2 3 3 8 2 5" xfId="11808"/>
    <cellStyle name="Normal 2 3 3 8 2 6" xfId="18775"/>
    <cellStyle name="Normal 2 3 3 8 2 7" xfId="25742"/>
    <cellStyle name="Normal 2 3 3 8 2 8" xfId="32710"/>
    <cellStyle name="Normal 2 3 3 8 3" xfId="5440"/>
    <cellStyle name="Normal 2 3 3 8 3 2" xfId="10278"/>
    <cellStyle name="Normal 2 3 3 8 3 2 2" xfId="17276"/>
    <cellStyle name="Normal 2 3 3 8 3 2 3" xfId="24243"/>
    <cellStyle name="Normal 2 3 3 8 3 2 4" xfId="31210"/>
    <cellStyle name="Normal 2 3 3 8 3 2 5" xfId="38179"/>
    <cellStyle name="Normal 2 3 3 8 3 3" xfId="14956"/>
    <cellStyle name="Normal 2 3 3 8 3 3 2" xfId="21923"/>
    <cellStyle name="Normal 2 3 3 8 3 3 3" xfId="28890"/>
    <cellStyle name="Normal 2 3 3 8 3 3 4" xfId="35859"/>
    <cellStyle name="Normal 2 3 3 8 3 4" xfId="12634"/>
    <cellStyle name="Normal 2 3 3 8 3 5" xfId="19601"/>
    <cellStyle name="Normal 2 3 3 8 3 6" xfId="26568"/>
    <cellStyle name="Normal 2 3 3 8 3 7" xfId="33536"/>
    <cellStyle name="Normal 2 3 3 8 4" xfId="8934"/>
    <cellStyle name="Normal 2 3 3 8 4 2" xfId="15986"/>
    <cellStyle name="Normal 2 3 3 8 4 3" xfId="22953"/>
    <cellStyle name="Normal 2 3 3 8 4 4" xfId="29920"/>
    <cellStyle name="Normal 2 3 3 8 4 5" xfId="36889"/>
    <cellStyle name="Normal 2 3 3 8 5" xfId="13664"/>
    <cellStyle name="Normal 2 3 3 8 5 2" xfId="20631"/>
    <cellStyle name="Normal 2 3 3 8 5 3" xfId="27598"/>
    <cellStyle name="Normal 2 3 3 8 5 4" xfId="34567"/>
    <cellStyle name="Normal 2 3 3 8 6" xfId="11342"/>
    <cellStyle name="Normal 2 3 3 8 7" xfId="18309"/>
    <cellStyle name="Normal 2 3 3 8 8" xfId="25276"/>
    <cellStyle name="Normal 2 3 3 8 9" xfId="32244"/>
    <cellStyle name="Normal 2 3 3 9" xfId="3502"/>
    <cellStyle name="Normal 2 3 3 9 2" xfId="5442"/>
    <cellStyle name="Normal 2 3 3 9 2 2" xfId="10280"/>
    <cellStyle name="Normal 2 3 3 9 2 2 2" xfId="17278"/>
    <cellStyle name="Normal 2 3 3 9 2 2 3" xfId="24245"/>
    <cellStyle name="Normal 2 3 3 9 2 2 4" xfId="31212"/>
    <cellStyle name="Normal 2 3 3 9 2 2 5" xfId="38181"/>
    <cellStyle name="Normal 2 3 3 9 2 3" xfId="14958"/>
    <cellStyle name="Normal 2 3 3 9 2 3 2" xfId="21925"/>
    <cellStyle name="Normal 2 3 3 9 2 3 3" xfId="28892"/>
    <cellStyle name="Normal 2 3 3 9 2 3 4" xfId="35861"/>
    <cellStyle name="Normal 2 3 3 9 2 4" xfId="12636"/>
    <cellStyle name="Normal 2 3 3 9 2 5" xfId="19603"/>
    <cellStyle name="Normal 2 3 3 9 2 6" xfId="26570"/>
    <cellStyle name="Normal 2 3 3 9 2 7" xfId="33538"/>
    <cellStyle name="Normal 2 3 3 9 3" xfId="9114"/>
    <cellStyle name="Normal 2 3 3 9 3 2" xfId="16153"/>
    <cellStyle name="Normal 2 3 3 9 3 3" xfId="23120"/>
    <cellStyle name="Normal 2 3 3 9 3 4" xfId="30087"/>
    <cellStyle name="Normal 2 3 3 9 3 5" xfId="37056"/>
    <cellStyle name="Normal 2 3 3 9 4" xfId="13833"/>
    <cellStyle name="Normal 2 3 3 9 4 2" xfId="20800"/>
    <cellStyle name="Normal 2 3 3 9 4 3" xfId="27767"/>
    <cellStyle name="Normal 2 3 3 9 4 4" xfId="34736"/>
    <cellStyle name="Normal 2 3 3 9 5" xfId="11511"/>
    <cellStyle name="Normal 2 3 3 9 6" xfId="18478"/>
    <cellStyle name="Normal 2 3 3 9 7" xfId="25445"/>
    <cellStyle name="Normal 2 3 3 9 8" xfId="32413"/>
    <cellStyle name="Normal 2 3 4" xfId="1707"/>
    <cellStyle name="Normal 2 3 4 2" xfId="1708"/>
    <cellStyle name="Normal 2 3 4 2 2" xfId="3798"/>
    <cellStyle name="Normal 2 3 4 2 2 2" xfId="5445"/>
    <cellStyle name="Normal 2 3 4 2 2 2 2" xfId="10281"/>
    <cellStyle name="Normal 2 3 4 2 2 2 2 2" xfId="17279"/>
    <cellStyle name="Normal 2 3 4 2 2 2 2 3" xfId="24246"/>
    <cellStyle name="Normal 2 3 4 2 2 2 2 4" xfId="31213"/>
    <cellStyle name="Normal 2 3 4 2 2 2 2 5" xfId="38182"/>
    <cellStyle name="Normal 2 3 4 2 2 2 3" xfId="14959"/>
    <cellStyle name="Normal 2 3 4 2 2 2 3 2" xfId="21926"/>
    <cellStyle name="Normal 2 3 4 2 2 2 3 3" xfId="28893"/>
    <cellStyle name="Normal 2 3 4 2 2 2 3 4" xfId="35862"/>
    <cellStyle name="Normal 2 3 4 2 2 2 4" xfId="12637"/>
    <cellStyle name="Normal 2 3 4 2 2 2 5" xfId="19604"/>
    <cellStyle name="Normal 2 3 4 2 2 2 6" xfId="26571"/>
    <cellStyle name="Normal 2 3 4 2 2 2 7" xfId="33539"/>
    <cellStyle name="Normal 2 3 4 2 2 3" xfId="9404"/>
    <cellStyle name="Normal 2 3 4 2 2 3 2" xfId="16442"/>
    <cellStyle name="Normal 2 3 4 2 2 3 3" xfId="23409"/>
    <cellStyle name="Normal 2 3 4 2 2 3 4" xfId="30376"/>
    <cellStyle name="Normal 2 3 4 2 2 3 5" xfId="37345"/>
    <cellStyle name="Normal 2 3 4 2 2 4" xfId="14122"/>
    <cellStyle name="Normal 2 3 4 2 2 4 2" xfId="21089"/>
    <cellStyle name="Normal 2 3 4 2 2 4 3" xfId="28056"/>
    <cellStyle name="Normal 2 3 4 2 2 4 4" xfId="35025"/>
    <cellStyle name="Normal 2 3 4 2 2 5" xfId="11800"/>
    <cellStyle name="Normal 2 3 4 2 2 6" xfId="18767"/>
    <cellStyle name="Normal 2 3 4 2 2 7" xfId="25734"/>
    <cellStyle name="Normal 2 3 4 2 2 8" xfId="32702"/>
    <cellStyle name="Normal 2 3 4 2 3" xfId="5444"/>
    <cellStyle name="Normal 2 3 4 2 4" xfId="8067"/>
    <cellStyle name="Normal 2 3 4 3" xfId="1709"/>
    <cellStyle name="Normal 2 3 4 3 10" xfId="8068"/>
    <cellStyle name="Normal 2 3 4 3 10 2" xfId="15830"/>
    <cellStyle name="Normal 2 3 4 3 10 2 2" xfId="22797"/>
    <cellStyle name="Normal 2 3 4 3 10 2 3" xfId="29764"/>
    <cellStyle name="Normal 2 3 4 3 10 2 4" xfId="36733"/>
    <cellStyle name="Normal 2 3 4 3 10 3" xfId="11186"/>
    <cellStyle name="Normal 2 3 4 3 10 4" xfId="18153"/>
    <cellStyle name="Normal 2 3 4 3 10 5" xfId="25120"/>
    <cellStyle name="Normal 2 3 4 3 10 6" xfId="32088"/>
    <cellStyle name="Normal 2 3 4 3 11" xfId="13508"/>
    <cellStyle name="Normal 2 3 4 3 11 2" xfId="20475"/>
    <cellStyle name="Normal 2 3 4 3 11 3" xfId="27442"/>
    <cellStyle name="Normal 2 3 4 3 11 4" xfId="34411"/>
    <cellStyle name="Normal 2 3 4 3 12" xfId="11013"/>
    <cellStyle name="Normal 2 3 4 3 13" xfId="17979"/>
    <cellStyle name="Normal 2 3 4 3 14" xfId="24947"/>
    <cellStyle name="Normal 2 3 4 3 15" xfId="31915"/>
    <cellStyle name="Normal 2 3 4 3 2" xfId="1710"/>
    <cellStyle name="Normal 2 3 4 3 2 10" xfId="13509"/>
    <cellStyle name="Normal 2 3 4 3 2 10 2" xfId="20476"/>
    <cellStyle name="Normal 2 3 4 3 2 10 3" xfId="27443"/>
    <cellStyle name="Normal 2 3 4 3 2 10 4" xfId="34412"/>
    <cellStyle name="Normal 2 3 4 3 2 11" xfId="11014"/>
    <cellStyle name="Normal 2 3 4 3 2 12" xfId="17980"/>
    <cellStyle name="Normal 2 3 4 3 2 13" xfId="24948"/>
    <cellStyle name="Normal 2 3 4 3 2 14" xfId="31916"/>
    <cellStyle name="Normal 2 3 4 3 2 2" xfId="3314"/>
    <cellStyle name="Normal 2 3 4 3 2 2 2" xfId="5448"/>
    <cellStyle name="Normal 2 3 4 3 2 2 2 2" xfId="10284"/>
    <cellStyle name="Normal 2 3 4 3 2 2 2 2 2" xfId="17282"/>
    <cellStyle name="Normal 2 3 4 3 2 2 2 2 3" xfId="24249"/>
    <cellStyle name="Normal 2 3 4 3 2 2 2 2 4" xfId="31216"/>
    <cellStyle name="Normal 2 3 4 3 2 2 2 2 5" xfId="38185"/>
    <cellStyle name="Normal 2 3 4 3 2 2 2 3" xfId="14962"/>
    <cellStyle name="Normal 2 3 4 3 2 2 2 3 2" xfId="21929"/>
    <cellStyle name="Normal 2 3 4 3 2 2 2 3 3" xfId="28896"/>
    <cellStyle name="Normal 2 3 4 3 2 2 2 3 4" xfId="35865"/>
    <cellStyle name="Normal 2 3 4 3 2 2 2 4" xfId="12640"/>
    <cellStyle name="Normal 2 3 4 3 2 2 2 5" xfId="19607"/>
    <cellStyle name="Normal 2 3 4 3 2 2 2 6" xfId="26574"/>
    <cellStyle name="Normal 2 3 4 3 2 2 2 7" xfId="33542"/>
    <cellStyle name="Normal 2 3 4 3 2 2 3" xfId="8948"/>
    <cellStyle name="Normal 2 3 4 3 2 2 3 2" xfId="16000"/>
    <cellStyle name="Normal 2 3 4 3 2 2 3 3" xfId="22967"/>
    <cellStyle name="Normal 2 3 4 3 2 2 3 4" xfId="29934"/>
    <cellStyle name="Normal 2 3 4 3 2 2 3 5" xfId="36903"/>
    <cellStyle name="Normal 2 3 4 3 2 2 4" xfId="13678"/>
    <cellStyle name="Normal 2 3 4 3 2 2 4 2" xfId="20645"/>
    <cellStyle name="Normal 2 3 4 3 2 2 4 3" xfId="27612"/>
    <cellStyle name="Normal 2 3 4 3 2 2 4 4" xfId="34581"/>
    <cellStyle name="Normal 2 3 4 3 2 2 5" xfId="11356"/>
    <cellStyle name="Normal 2 3 4 3 2 2 6" xfId="18323"/>
    <cellStyle name="Normal 2 3 4 3 2 2 7" xfId="25290"/>
    <cellStyle name="Normal 2 3 4 3 2 2 8" xfId="32258"/>
    <cellStyle name="Normal 2 3 4 3 2 3" xfId="3516"/>
    <cellStyle name="Normal 2 3 4 3 2 3 2" xfId="5449"/>
    <cellStyle name="Normal 2 3 4 3 2 3 2 2" xfId="10285"/>
    <cellStyle name="Normal 2 3 4 3 2 3 2 2 2" xfId="17283"/>
    <cellStyle name="Normal 2 3 4 3 2 3 2 2 3" xfId="24250"/>
    <cellStyle name="Normal 2 3 4 3 2 3 2 2 4" xfId="31217"/>
    <cellStyle name="Normal 2 3 4 3 2 3 2 2 5" xfId="38186"/>
    <cellStyle name="Normal 2 3 4 3 2 3 2 3" xfId="14963"/>
    <cellStyle name="Normal 2 3 4 3 2 3 2 3 2" xfId="21930"/>
    <cellStyle name="Normal 2 3 4 3 2 3 2 3 3" xfId="28897"/>
    <cellStyle name="Normal 2 3 4 3 2 3 2 3 4" xfId="35866"/>
    <cellStyle name="Normal 2 3 4 3 2 3 2 4" xfId="12641"/>
    <cellStyle name="Normal 2 3 4 3 2 3 2 5" xfId="19608"/>
    <cellStyle name="Normal 2 3 4 3 2 3 2 6" xfId="26575"/>
    <cellStyle name="Normal 2 3 4 3 2 3 2 7" xfId="33543"/>
    <cellStyle name="Normal 2 3 4 3 2 3 3" xfId="9128"/>
    <cellStyle name="Normal 2 3 4 3 2 3 3 2" xfId="16167"/>
    <cellStyle name="Normal 2 3 4 3 2 3 3 3" xfId="23134"/>
    <cellStyle name="Normal 2 3 4 3 2 3 3 4" xfId="30101"/>
    <cellStyle name="Normal 2 3 4 3 2 3 3 5" xfId="37070"/>
    <cellStyle name="Normal 2 3 4 3 2 3 4" xfId="13847"/>
    <cellStyle name="Normal 2 3 4 3 2 3 4 2" xfId="20814"/>
    <cellStyle name="Normal 2 3 4 3 2 3 4 3" xfId="27781"/>
    <cellStyle name="Normal 2 3 4 3 2 3 4 4" xfId="34750"/>
    <cellStyle name="Normal 2 3 4 3 2 3 5" xfId="11525"/>
    <cellStyle name="Normal 2 3 4 3 2 3 6" xfId="18492"/>
    <cellStyle name="Normal 2 3 4 3 2 3 7" xfId="25459"/>
    <cellStyle name="Normal 2 3 4 3 2 3 8" xfId="32427"/>
    <cellStyle name="Normal 2 3 4 3 2 4" xfId="3691"/>
    <cellStyle name="Normal 2 3 4 3 2 4 2" xfId="5450"/>
    <cellStyle name="Normal 2 3 4 3 2 4 2 2" xfId="10286"/>
    <cellStyle name="Normal 2 3 4 3 2 4 2 2 2" xfId="17284"/>
    <cellStyle name="Normal 2 3 4 3 2 4 2 2 3" xfId="24251"/>
    <cellStyle name="Normal 2 3 4 3 2 4 2 2 4" xfId="31218"/>
    <cellStyle name="Normal 2 3 4 3 2 4 2 2 5" xfId="38187"/>
    <cellStyle name="Normal 2 3 4 3 2 4 2 3" xfId="14964"/>
    <cellStyle name="Normal 2 3 4 3 2 4 2 3 2" xfId="21931"/>
    <cellStyle name="Normal 2 3 4 3 2 4 2 3 3" xfId="28898"/>
    <cellStyle name="Normal 2 3 4 3 2 4 2 3 4" xfId="35867"/>
    <cellStyle name="Normal 2 3 4 3 2 4 2 4" xfId="12642"/>
    <cellStyle name="Normal 2 3 4 3 2 4 2 5" xfId="19609"/>
    <cellStyle name="Normal 2 3 4 3 2 4 2 6" xfId="26576"/>
    <cellStyle name="Normal 2 3 4 3 2 4 2 7" xfId="33544"/>
    <cellStyle name="Normal 2 3 4 3 2 4 3" xfId="9299"/>
    <cellStyle name="Normal 2 3 4 3 2 4 3 2" xfId="16338"/>
    <cellStyle name="Normal 2 3 4 3 2 4 3 3" xfId="23305"/>
    <cellStyle name="Normal 2 3 4 3 2 4 3 4" xfId="30272"/>
    <cellStyle name="Normal 2 3 4 3 2 4 3 5" xfId="37241"/>
    <cellStyle name="Normal 2 3 4 3 2 4 4" xfId="14018"/>
    <cellStyle name="Normal 2 3 4 3 2 4 4 2" xfId="20985"/>
    <cellStyle name="Normal 2 3 4 3 2 4 4 3" xfId="27952"/>
    <cellStyle name="Normal 2 3 4 3 2 4 4 4" xfId="34921"/>
    <cellStyle name="Normal 2 3 4 3 2 4 5" xfId="11696"/>
    <cellStyle name="Normal 2 3 4 3 2 4 6" xfId="18663"/>
    <cellStyle name="Normal 2 3 4 3 2 4 7" xfId="25630"/>
    <cellStyle name="Normal 2 3 4 3 2 4 8" xfId="32598"/>
    <cellStyle name="Normal 2 3 4 3 2 5" xfId="3968"/>
    <cellStyle name="Normal 2 3 4 3 2 5 2" xfId="5451"/>
    <cellStyle name="Normal 2 3 4 3 2 5 2 2" xfId="10287"/>
    <cellStyle name="Normal 2 3 4 3 2 5 2 2 2" xfId="17285"/>
    <cellStyle name="Normal 2 3 4 3 2 5 2 2 3" xfId="24252"/>
    <cellStyle name="Normal 2 3 4 3 2 5 2 2 4" xfId="31219"/>
    <cellStyle name="Normal 2 3 4 3 2 5 2 2 5" xfId="38188"/>
    <cellStyle name="Normal 2 3 4 3 2 5 2 3" xfId="14965"/>
    <cellStyle name="Normal 2 3 4 3 2 5 2 3 2" xfId="21932"/>
    <cellStyle name="Normal 2 3 4 3 2 5 2 3 3" xfId="28899"/>
    <cellStyle name="Normal 2 3 4 3 2 5 2 3 4" xfId="35868"/>
    <cellStyle name="Normal 2 3 4 3 2 5 2 4" xfId="12643"/>
    <cellStyle name="Normal 2 3 4 3 2 5 2 5" xfId="19610"/>
    <cellStyle name="Normal 2 3 4 3 2 5 2 6" xfId="26577"/>
    <cellStyle name="Normal 2 3 4 3 2 5 2 7" xfId="33545"/>
    <cellStyle name="Normal 2 3 4 3 2 5 3" xfId="9574"/>
    <cellStyle name="Normal 2 3 4 3 2 5 3 2" xfId="16610"/>
    <cellStyle name="Normal 2 3 4 3 2 5 3 3" xfId="23577"/>
    <cellStyle name="Normal 2 3 4 3 2 5 3 4" xfId="30544"/>
    <cellStyle name="Normal 2 3 4 3 2 5 3 5" xfId="37513"/>
    <cellStyle name="Normal 2 3 4 3 2 5 4" xfId="14290"/>
    <cellStyle name="Normal 2 3 4 3 2 5 4 2" xfId="21257"/>
    <cellStyle name="Normal 2 3 4 3 2 5 4 3" xfId="28224"/>
    <cellStyle name="Normal 2 3 4 3 2 5 4 4" xfId="35193"/>
    <cellStyle name="Normal 2 3 4 3 2 5 5" xfId="11968"/>
    <cellStyle name="Normal 2 3 4 3 2 5 6" xfId="18935"/>
    <cellStyle name="Normal 2 3 4 3 2 5 7" xfId="25902"/>
    <cellStyle name="Normal 2 3 4 3 2 5 8" xfId="32870"/>
    <cellStyle name="Normal 2 3 4 3 2 6" xfId="5447"/>
    <cellStyle name="Normal 2 3 4 3 2 6 2" xfId="10283"/>
    <cellStyle name="Normal 2 3 4 3 2 6 2 2" xfId="17281"/>
    <cellStyle name="Normal 2 3 4 3 2 6 2 3" xfId="24248"/>
    <cellStyle name="Normal 2 3 4 3 2 6 2 4" xfId="31215"/>
    <cellStyle name="Normal 2 3 4 3 2 6 2 5" xfId="38184"/>
    <cellStyle name="Normal 2 3 4 3 2 6 3" xfId="14961"/>
    <cellStyle name="Normal 2 3 4 3 2 6 3 2" xfId="21928"/>
    <cellStyle name="Normal 2 3 4 3 2 6 3 3" xfId="28895"/>
    <cellStyle name="Normal 2 3 4 3 2 6 3 4" xfId="35864"/>
    <cellStyle name="Normal 2 3 4 3 2 6 4" xfId="12639"/>
    <cellStyle name="Normal 2 3 4 3 2 6 5" xfId="19606"/>
    <cellStyle name="Normal 2 3 4 3 2 6 6" xfId="26573"/>
    <cellStyle name="Normal 2 3 4 3 2 6 7" xfId="33541"/>
    <cellStyle name="Normal 2 3 4 3 2 7" xfId="6862"/>
    <cellStyle name="Normal 2 3 4 3 2 7 2" xfId="10831"/>
    <cellStyle name="Normal 2 3 4 3 2 7 2 2" xfId="17805"/>
    <cellStyle name="Normal 2 3 4 3 2 7 2 3" xfId="24772"/>
    <cellStyle name="Normal 2 3 4 3 2 7 2 4" xfId="31739"/>
    <cellStyle name="Normal 2 3 4 3 2 7 2 5" xfId="38708"/>
    <cellStyle name="Normal 2 3 4 3 2 7 3" xfId="15485"/>
    <cellStyle name="Normal 2 3 4 3 2 7 3 2" xfId="22452"/>
    <cellStyle name="Normal 2 3 4 3 2 7 3 3" xfId="29419"/>
    <cellStyle name="Normal 2 3 4 3 2 7 3 4" xfId="36388"/>
    <cellStyle name="Normal 2 3 4 3 2 7 4" xfId="13163"/>
    <cellStyle name="Normal 2 3 4 3 2 7 5" xfId="20130"/>
    <cellStyle name="Normal 2 3 4 3 2 7 6" xfId="27097"/>
    <cellStyle name="Normal 2 3 4 3 2 7 7" xfId="34066"/>
    <cellStyle name="Normal 2 3 4 3 2 8" xfId="7174"/>
    <cellStyle name="Normal 2 3 4 3 2 8 2" xfId="15658"/>
    <cellStyle name="Normal 2 3 4 3 2 8 2 2" xfId="22625"/>
    <cellStyle name="Normal 2 3 4 3 2 8 2 3" xfId="29592"/>
    <cellStyle name="Normal 2 3 4 3 2 8 2 4" xfId="36561"/>
    <cellStyle name="Normal 2 3 4 3 2 8 3" xfId="13336"/>
    <cellStyle name="Normal 2 3 4 3 2 8 4" xfId="20303"/>
    <cellStyle name="Normal 2 3 4 3 2 8 5" xfId="27270"/>
    <cellStyle name="Normal 2 3 4 3 2 8 6" xfId="34239"/>
    <cellStyle name="Normal 2 3 4 3 2 9" xfId="8069"/>
    <cellStyle name="Normal 2 3 4 3 2 9 2" xfId="15831"/>
    <cellStyle name="Normal 2 3 4 3 2 9 2 2" xfId="22798"/>
    <cellStyle name="Normal 2 3 4 3 2 9 2 3" xfId="29765"/>
    <cellStyle name="Normal 2 3 4 3 2 9 2 4" xfId="36734"/>
    <cellStyle name="Normal 2 3 4 3 2 9 3" xfId="11187"/>
    <cellStyle name="Normal 2 3 4 3 2 9 4" xfId="18154"/>
    <cellStyle name="Normal 2 3 4 3 2 9 5" xfId="25121"/>
    <cellStyle name="Normal 2 3 4 3 2 9 6" xfId="32089"/>
    <cellStyle name="Normal 2 3 4 3 3" xfId="3313"/>
    <cellStyle name="Normal 2 3 4 3 3 2" xfId="5452"/>
    <cellStyle name="Normal 2 3 4 3 3 2 2" xfId="10288"/>
    <cellStyle name="Normal 2 3 4 3 3 2 2 2" xfId="17286"/>
    <cellStyle name="Normal 2 3 4 3 3 2 2 3" xfId="24253"/>
    <cellStyle name="Normal 2 3 4 3 3 2 2 4" xfId="31220"/>
    <cellStyle name="Normal 2 3 4 3 3 2 2 5" xfId="38189"/>
    <cellStyle name="Normal 2 3 4 3 3 2 3" xfId="14966"/>
    <cellStyle name="Normal 2 3 4 3 3 2 3 2" xfId="21933"/>
    <cellStyle name="Normal 2 3 4 3 3 2 3 3" xfId="28900"/>
    <cellStyle name="Normal 2 3 4 3 3 2 3 4" xfId="35869"/>
    <cellStyle name="Normal 2 3 4 3 3 2 4" xfId="12644"/>
    <cellStyle name="Normal 2 3 4 3 3 2 5" xfId="19611"/>
    <cellStyle name="Normal 2 3 4 3 3 2 6" xfId="26578"/>
    <cellStyle name="Normal 2 3 4 3 3 2 7" xfId="33546"/>
    <cellStyle name="Normal 2 3 4 3 3 3" xfId="8947"/>
    <cellStyle name="Normal 2 3 4 3 3 3 2" xfId="15999"/>
    <cellStyle name="Normal 2 3 4 3 3 3 3" xfId="22966"/>
    <cellStyle name="Normal 2 3 4 3 3 3 4" xfId="29933"/>
    <cellStyle name="Normal 2 3 4 3 3 3 5" xfId="36902"/>
    <cellStyle name="Normal 2 3 4 3 3 4" xfId="13677"/>
    <cellStyle name="Normal 2 3 4 3 3 4 2" xfId="20644"/>
    <cellStyle name="Normal 2 3 4 3 3 4 3" xfId="27611"/>
    <cellStyle name="Normal 2 3 4 3 3 4 4" xfId="34580"/>
    <cellStyle name="Normal 2 3 4 3 3 5" xfId="11355"/>
    <cellStyle name="Normal 2 3 4 3 3 6" xfId="18322"/>
    <cellStyle name="Normal 2 3 4 3 3 7" xfId="25289"/>
    <cellStyle name="Normal 2 3 4 3 3 8" xfId="32257"/>
    <cellStyle name="Normal 2 3 4 3 4" xfId="3515"/>
    <cellStyle name="Normal 2 3 4 3 4 2" xfId="5453"/>
    <cellStyle name="Normal 2 3 4 3 4 2 2" xfId="10289"/>
    <cellStyle name="Normal 2 3 4 3 4 2 2 2" xfId="17287"/>
    <cellStyle name="Normal 2 3 4 3 4 2 2 3" xfId="24254"/>
    <cellStyle name="Normal 2 3 4 3 4 2 2 4" xfId="31221"/>
    <cellStyle name="Normal 2 3 4 3 4 2 2 5" xfId="38190"/>
    <cellStyle name="Normal 2 3 4 3 4 2 3" xfId="14967"/>
    <cellStyle name="Normal 2 3 4 3 4 2 3 2" xfId="21934"/>
    <cellStyle name="Normal 2 3 4 3 4 2 3 3" xfId="28901"/>
    <cellStyle name="Normal 2 3 4 3 4 2 3 4" xfId="35870"/>
    <cellStyle name="Normal 2 3 4 3 4 2 4" xfId="12645"/>
    <cellStyle name="Normal 2 3 4 3 4 2 5" xfId="19612"/>
    <cellStyle name="Normal 2 3 4 3 4 2 6" xfId="26579"/>
    <cellStyle name="Normal 2 3 4 3 4 2 7" xfId="33547"/>
    <cellStyle name="Normal 2 3 4 3 4 3" xfId="9127"/>
    <cellStyle name="Normal 2 3 4 3 4 3 2" xfId="16166"/>
    <cellStyle name="Normal 2 3 4 3 4 3 3" xfId="23133"/>
    <cellStyle name="Normal 2 3 4 3 4 3 4" xfId="30100"/>
    <cellStyle name="Normal 2 3 4 3 4 3 5" xfId="37069"/>
    <cellStyle name="Normal 2 3 4 3 4 4" xfId="13846"/>
    <cellStyle name="Normal 2 3 4 3 4 4 2" xfId="20813"/>
    <cellStyle name="Normal 2 3 4 3 4 4 3" xfId="27780"/>
    <cellStyle name="Normal 2 3 4 3 4 4 4" xfId="34749"/>
    <cellStyle name="Normal 2 3 4 3 4 5" xfId="11524"/>
    <cellStyle name="Normal 2 3 4 3 4 6" xfId="18491"/>
    <cellStyle name="Normal 2 3 4 3 4 7" xfId="25458"/>
    <cellStyle name="Normal 2 3 4 3 4 8" xfId="32426"/>
    <cellStyle name="Normal 2 3 4 3 5" xfId="3690"/>
    <cellStyle name="Normal 2 3 4 3 5 2" xfId="5454"/>
    <cellStyle name="Normal 2 3 4 3 5 2 2" xfId="10290"/>
    <cellStyle name="Normal 2 3 4 3 5 2 2 2" xfId="17288"/>
    <cellStyle name="Normal 2 3 4 3 5 2 2 3" xfId="24255"/>
    <cellStyle name="Normal 2 3 4 3 5 2 2 4" xfId="31222"/>
    <cellStyle name="Normal 2 3 4 3 5 2 2 5" xfId="38191"/>
    <cellStyle name="Normal 2 3 4 3 5 2 3" xfId="14968"/>
    <cellStyle name="Normal 2 3 4 3 5 2 3 2" xfId="21935"/>
    <cellStyle name="Normal 2 3 4 3 5 2 3 3" xfId="28902"/>
    <cellStyle name="Normal 2 3 4 3 5 2 3 4" xfId="35871"/>
    <cellStyle name="Normal 2 3 4 3 5 2 4" xfId="12646"/>
    <cellStyle name="Normal 2 3 4 3 5 2 5" xfId="19613"/>
    <cellStyle name="Normal 2 3 4 3 5 2 6" xfId="26580"/>
    <cellStyle name="Normal 2 3 4 3 5 2 7" xfId="33548"/>
    <cellStyle name="Normal 2 3 4 3 5 3" xfId="9298"/>
    <cellStyle name="Normal 2 3 4 3 5 3 2" xfId="16337"/>
    <cellStyle name="Normal 2 3 4 3 5 3 3" xfId="23304"/>
    <cellStyle name="Normal 2 3 4 3 5 3 4" xfId="30271"/>
    <cellStyle name="Normal 2 3 4 3 5 3 5" xfId="37240"/>
    <cellStyle name="Normal 2 3 4 3 5 4" xfId="14017"/>
    <cellStyle name="Normal 2 3 4 3 5 4 2" xfId="20984"/>
    <cellStyle name="Normal 2 3 4 3 5 4 3" xfId="27951"/>
    <cellStyle name="Normal 2 3 4 3 5 4 4" xfId="34920"/>
    <cellStyle name="Normal 2 3 4 3 5 5" xfId="11695"/>
    <cellStyle name="Normal 2 3 4 3 5 6" xfId="18662"/>
    <cellStyle name="Normal 2 3 4 3 5 7" xfId="25629"/>
    <cellStyle name="Normal 2 3 4 3 5 8" xfId="32597"/>
    <cellStyle name="Normal 2 3 4 3 6" xfId="3967"/>
    <cellStyle name="Normal 2 3 4 3 6 2" xfId="5455"/>
    <cellStyle name="Normal 2 3 4 3 6 2 2" xfId="10291"/>
    <cellStyle name="Normal 2 3 4 3 6 2 2 2" xfId="17289"/>
    <cellStyle name="Normal 2 3 4 3 6 2 2 3" xfId="24256"/>
    <cellStyle name="Normal 2 3 4 3 6 2 2 4" xfId="31223"/>
    <cellStyle name="Normal 2 3 4 3 6 2 2 5" xfId="38192"/>
    <cellStyle name="Normal 2 3 4 3 6 2 3" xfId="14969"/>
    <cellStyle name="Normal 2 3 4 3 6 2 3 2" xfId="21936"/>
    <cellStyle name="Normal 2 3 4 3 6 2 3 3" xfId="28903"/>
    <cellStyle name="Normal 2 3 4 3 6 2 3 4" xfId="35872"/>
    <cellStyle name="Normal 2 3 4 3 6 2 4" xfId="12647"/>
    <cellStyle name="Normal 2 3 4 3 6 2 5" xfId="19614"/>
    <cellStyle name="Normal 2 3 4 3 6 2 6" xfId="26581"/>
    <cellStyle name="Normal 2 3 4 3 6 2 7" xfId="33549"/>
    <cellStyle name="Normal 2 3 4 3 6 3" xfId="9573"/>
    <cellStyle name="Normal 2 3 4 3 6 3 2" xfId="16609"/>
    <cellStyle name="Normal 2 3 4 3 6 3 3" xfId="23576"/>
    <cellStyle name="Normal 2 3 4 3 6 3 4" xfId="30543"/>
    <cellStyle name="Normal 2 3 4 3 6 3 5" xfId="37512"/>
    <cellStyle name="Normal 2 3 4 3 6 4" xfId="14289"/>
    <cellStyle name="Normal 2 3 4 3 6 4 2" xfId="21256"/>
    <cellStyle name="Normal 2 3 4 3 6 4 3" xfId="28223"/>
    <cellStyle name="Normal 2 3 4 3 6 4 4" xfId="35192"/>
    <cellStyle name="Normal 2 3 4 3 6 5" xfId="11967"/>
    <cellStyle name="Normal 2 3 4 3 6 6" xfId="18934"/>
    <cellStyle name="Normal 2 3 4 3 6 7" xfId="25901"/>
    <cellStyle name="Normal 2 3 4 3 6 8" xfId="32869"/>
    <cellStyle name="Normal 2 3 4 3 7" xfId="5446"/>
    <cellStyle name="Normal 2 3 4 3 7 2" xfId="10282"/>
    <cellStyle name="Normal 2 3 4 3 7 2 2" xfId="17280"/>
    <cellStyle name="Normal 2 3 4 3 7 2 3" xfId="24247"/>
    <cellStyle name="Normal 2 3 4 3 7 2 4" xfId="31214"/>
    <cellStyle name="Normal 2 3 4 3 7 2 5" xfId="38183"/>
    <cellStyle name="Normal 2 3 4 3 7 3" xfId="14960"/>
    <cellStyle name="Normal 2 3 4 3 7 3 2" xfId="21927"/>
    <cellStyle name="Normal 2 3 4 3 7 3 3" xfId="28894"/>
    <cellStyle name="Normal 2 3 4 3 7 3 4" xfId="35863"/>
    <cellStyle name="Normal 2 3 4 3 7 4" xfId="12638"/>
    <cellStyle name="Normal 2 3 4 3 7 5" xfId="19605"/>
    <cellStyle name="Normal 2 3 4 3 7 6" xfId="26572"/>
    <cellStyle name="Normal 2 3 4 3 7 7" xfId="33540"/>
    <cellStyle name="Normal 2 3 4 3 8" xfId="6861"/>
    <cellStyle name="Normal 2 3 4 3 8 2" xfId="10830"/>
    <cellStyle name="Normal 2 3 4 3 8 2 2" xfId="17804"/>
    <cellStyle name="Normal 2 3 4 3 8 2 3" xfId="24771"/>
    <cellStyle name="Normal 2 3 4 3 8 2 4" xfId="31738"/>
    <cellStyle name="Normal 2 3 4 3 8 2 5" xfId="38707"/>
    <cellStyle name="Normal 2 3 4 3 8 3" xfId="15484"/>
    <cellStyle name="Normal 2 3 4 3 8 3 2" xfId="22451"/>
    <cellStyle name="Normal 2 3 4 3 8 3 3" xfId="29418"/>
    <cellStyle name="Normal 2 3 4 3 8 3 4" xfId="36387"/>
    <cellStyle name="Normal 2 3 4 3 8 4" xfId="13162"/>
    <cellStyle name="Normal 2 3 4 3 8 5" xfId="20129"/>
    <cellStyle name="Normal 2 3 4 3 8 6" xfId="27096"/>
    <cellStyle name="Normal 2 3 4 3 8 7" xfId="34065"/>
    <cellStyle name="Normal 2 3 4 3 9" xfId="7173"/>
    <cellStyle name="Normal 2 3 4 3 9 2" xfId="15657"/>
    <cellStyle name="Normal 2 3 4 3 9 2 2" xfId="22624"/>
    <cellStyle name="Normal 2 3 4 3 9 2 3" xfId="29591"/>
    <cellStyle name="Normal 2 3 4 3 9 2 4" xfId="36560"/>
    <cellStyle name="Normal 2 3 4 3 9 3" xfId="13335"/>
    <cellStyle name="Normal 2 3 4 3 9 4" xfId="20302"/>
    <cellStyle name="Normal 2 3 4 3 9 5" xfId="27269"/>
    <cellStyle name="Normal 2 3 4 3 9 6" xfId="34238"/>
    <cellStyle name="Normal 2 3 4 4" xfId="3799"/>
    <cellStyle name="Normal 2 3 4 4 2" xfId="5456"/>
    <cellStyle name="Normal 2 3 4 4 2 2" xfId="10292"/>
    <cellStyle name="Normal 2 3 4 4 2 2 2" xfId="17290"/>
    <cellStyle name="Normal 2 3 4 4 2 2 3" xfId="24257"/>
    <cellStyle name="Normal 2 3 4 4 2 2 4" xfId="31224"/>
    <cellStyle name="Normal 2 3 4 4 2 2 5" xfId="38193"/>
    <cellStyle name="Normal 2 3 4 4 2 3" xfId="14970"/>
    <cellStyle name="Normal 2 3 4 4 2 3 2" xfId="21937"/>
    <cellStyle name="Normal 2 3 4 4 2 3 3" xfId="28904"/>
    <cellStyle name="Normal 2 3 4 4 2 3 4" xfId="35873"/>
    <cellStyle name="Normal 2 3 4 4 2 4" xfId="12648"/>
    <cellStyle name="Normal 2 3 4 4 2 5" xfId="19615"/>
    <cellStyle name="Normal 2 3 4 4 2 6" xfId="26582"/>
    <cellStyle name="Normal 2 3 4 4 2 7" xfId="33550"/>
    <cellStyle name="Normal 2 3 4 4 3" xfId="9405"/>
    <cellStyle name="Normal 2 3 4 4 3 2" xfId="16443"/>
    <cellStyle name="Normal 2 3 4 4 3 3" xfId="23410"/>
    <cellStyle name="Normal 2 3 4 4 3 4" xfId="30377"/>
    <cellStyle name="Normal 2 3 4 4 3 5" xfId="37346"/>
    <cellStyle name="Normal 2 3 4 4 4" xfId="14123"/>
    <cellStyle name="Normal 2 3 4 4 4 2" xfId="21090"/>
    <cellStyle name="Normal 2 3 4 4 4 3" xfId="28057"/>
    <cellStyle name="Normal 2 3 4 4 4 4" xfId="35026"/>
    <cellStyle name="Normal 2 3 4 4 5" xfId="11801"/>
    <cellStyle name="Normal 2 3 4 4 6" xfId="18768"/>
    <cellStyle name="Normal 2 3 4 4 7" xfId="25735"/>
    <cellStyle name="Normal 2 3 4 4 8" xfId="32703"/>
    <cellStyle name="Normal 2 3 4 5" xfId="5443"/>
    <cellStyle name="Normal 2 3 4 6" xfId="8066"/>
    <cellStyle name="Normal 2 3 5" xfId="1711"/>
    <cellStyle name="Normal 2 3 5 2" xfId="1712"/>
    <cellStyle name="Normal 2 3 5 2 2" xfId="1713"/>
    <cellStyle name="Normal 2 3 5 2 2 2" xfId="5459"/>
    <cellStyle name="Normal 2 3 5 2 2 3" xfId="8072"/>
    <cellStyle name="Normal 2 3 5 2 3" xfId="1714"/>
    <cellStyle name="Normal 2 3 5 2 3 10" xfId="13510"/>
    <cellStyle name="Normal 2 3 5 2 3 10 2" xfId="20477"/>
    <cellStyle name="Normal 2 3 5 2 3 10 3" xfId="27444"/>
    <cellStyle name="Normal 2 3 5 2 3 10 4" xfId="34413"/>
    <cellStyle name="Normal 2 3 5 2 3 11" xfId="11015"/>
    <cellStyle name="Normal 2 3 5 2 3 12" xfId="17981"/>
    <cellStyle name="Normal 2 3 5 2 3 13" xfId="24949"/>
    <cellStyle name="Normal 2 3 5 2 3 14" xfId="31917"/>
    <cellStyle name="Normal 2 3 5 2 3 2" xfId="3315"/>
    <cellStyle name="Normal 2 3 5 2 3 2 2" xfId="5461"/>
    <cellStyle name="Normal 2 3 5 2 3 2 2 2" xfId="10294"/>
    <cellStyle name="Normal 2 3 5 2 3 2 2 2 2" xfId="17292"/>
    <cellStyle name="Normal 2 3 5 2 3 2 2 2 3" xfId="24259"/>
    <cellStyle name="Normal 2 3 5 2 3 2 2 2 4" xfId="31226"/>
    <cellStyle name="Normal 2 3 5 2 3 2 2 2 5" xfId="38195"/>
    <cellStyle name="Normal 2 3 5 2 3 2 2 3" xfId="14972"/>
    <cellStyle name="Normal 2 3 5 2 3 2 2 3 2" xfId="21939"/>
    <cellStyle name="Normal 2 3 5 2 3 2 2 3 3" xfId="28906"/>
    <cellStyle name="Normal 2 3 5 2 3 2 2 3 4" xfId="35875"/>
    <cellStyle name="Normal 2 3 5 2 3 2 2 4" xfId="12650"/>
    <cellStyle name="Normal 2 3 5 2 3 2 2 5" xfId="19617"/>
    <cellStyle name="Normal 2 3 5 2 3 2 2 6" xfId="26584"/>
    <cellStyle name="Normal 2 3 5 2 3 2 2 7" xfId="33552"/>
    <cellStyle name="Normal 2 3 5 2 3 2 3" xfId="8949"/>
    <cellStyle name="Normal 2 3 5 2 3 2 3 2" xfId="16001"/>
    <cellStyle name="Normal 2 3 5 2 3 2 3 3" xfId="22968"/>
    <cellStyle name="Normal 2 3 5 2 3 2 3 4" xfId="29935"/>
    <cellStyle name="Normal 2 3 5 2 3 2 3 5" xfId="36904"/>
    <cellStyle name="Normal 2 3 5 2 3 2 4" xfId="13679"/>
    <cellStyle name="Normal 2 3 5 2 3 2 4 2" xfId="20646"/>
    <cellStyle name="Normal 2 3 5 2 3 2 4 3" xfId="27613"/>
    <cellStyle name="Normal 2 3 5 2 3 2 4 4" xfId="34582"/>
    <cellStyle name="Normal 2 3 5 2 3 2 5" xfId="11357"/>
    <cellStyle name="Normal 2 3 5 2 3 2 6" xfId="18324"/>
    <cellStyle name="Normal 2 3 5 2 3 2 7" xfId="25291"/>
    <cellStyle name="Normal 2 3 5 2 3 2 8" xfId="32259"/>
    <cellStyle name="Normal 2 3 5 2 3 3" xfId="3517"/>
    <cellStyle name="Normal 2 3 5 2 3 3 2" xfId="5462"/>
    <cellStyle name="Normal 2 3 5 2 3 3 2 2" xfId="10295"/>
    <cellStyle name="Normal 2 3 5 2 3 3 2 2 2" xfId="17293"/>
    <cellStyle name="Normal 2 3 5 2 3 3 2 2 3" xfId="24260"/>
    <cellStyle name="Normal 2 3 5 2 3 3 2 2 4" xfId="31227"/>
    <cellStyle name="Normal 2 3 5 2 3 3 2 2 5" xfId="38196"/>
    <cellStyle name="Normal 2 3 5 2 3 3 2 3" xfId="14973"/>
    <cellStyle name="Normal 2 3 5 2 3 3 2 3 2" xfId="21940"/>
    <cellStyle name="Normal 2 3 5 2 3 3 2 3 3" xfId="28907"/>
    <cellStyle name="Normal 2 3 5 2 3 3 2 3 4" xfId="35876"/>
    <cellStyle name="Normal 2 3 5 2 3 3 2 4" xfId="12651"/>
    <cellStyle name="Normal 2 3 5 2 3 3 2 5" xfId="19618"/>
    <cellStyle name="Normal 2 3 5 2 3 3 2 6" xfId="26585"/>
    <cellStyle name="Normal 2 3 5 2 3 3 2 7" xfId="33553"/>
    <cellStyle name="Normal 2 3 5 2 3 3 3" xfId="9129"/>
    <cellStyle name="Normal 2 3 5 2 3 3 3 2" xfId="16168"/>
    <cellStyle name="Normal 2 3 5 2 3 3 3 3" xfId="23135"/>
    <cellStyle name="Normal 2 3 5 2 3 3 3 4" xfId="30102"/>
    <cellStyle name="Normal 2 3 5 2 3 3 3 5" xfId="37071"/>
    <cellStyle name="Normal 2 3 5 2 3 3 4" xfId="13848"/>
    <cellStyle name="Normal 2 3 5 2 3 3 4 2" xfId="20815"/>
    <cellStyle name="Normal 2 3 5 2 3 3 4 3" xfId="27782"/>
    <cellStyle name="Normal 2 3 5 2 3 3 4 4" xfId="34751"/>
    <cellStyle name="Normal 2 3 5 2 3 3 5" xfId="11526"/>
    <cellStyle name="Normal 2 3 5 2 3 3 6" xfId="18493"/>
    <cellStyle name="Normal 2 3 5 2 3 3 7" xfId="25460"/>
    <cellStyle name="Normal 2 3 5 2 3 3 8" xfId="32428"/>
    <cellStyle name="Normal 2 3 5 2 3 4" xfId="3692"/>
    <cellStyle name="Normal 2 3 5 2 3 4 2" xfId="5463"/>
    <cellStyle name="Normal 2 3 5 2 3 4 2 2" xfId="10296"/>
    <cellStyle name="Normal 2 3 5 2 3 4 2 2 2" xfId="17294"/>
    <cellStyle name="Normal 2 3 5 2 3 4 2 2 3" xfId="24261"/>
    <cellStyle name="Normal 2 3 5 2 3 4 2 2 4" xfId="31228"/>
    <cellStyle name="Normal 2 3 5 2 3 4 2 2 5" xfId="38197"/>
    <cellStyle name="Normal 2 3 5 2 3 4 2 3" xfId="14974"/>
    <cellStyle name="Normal 2 3 5 2 3 4 2 3 2" xfId="21941"/>
    <cellStyle name="Normal 2 3 5 2 3 4 2 3 3" xfId="28908"/>
    <cellStyle name="Normal 2 3 5 2 3 4 2 3 4" xfId="35877"/>
    <cellStyle name="Normal 2 3 5 2 3 4 2 4" xfId="12652"/>
    <cellStyle name="Normal 2 3 5 2 3 4 2 5" xfId="19619"/>
    <cellStyle name="Normal 2 3 5 2 3 4 2 6" xfId="26586"/>
    <cellStyle name="Normal 2 3 5 2 3 4 2 7" xfId="33554"/>
    <cellStyle name="Normal 2 3 5 2 3 4 3" xfId="9300"/>
    <cellStyle name="Normal 2 3 5 2 3 4 3 2" xfId="16339"/>
    <cellStyle name="Normal 2 3 5 2 3 4 3 3" xfId="23306"/>
    <cellStyle name="Normal 2 3 5 2 3 4 3 4" xfId="30273"/>
    <cellStyle name="Normal 2 3 5 2 3 4 3 5" xfId="37242"/>
    <cellStyle name="Normal 2 3 5 2 3 4 4" xfId="14019"/>
    <cellStyle name="Normal 2 3 5 2 3 4 4 2" xfId="20986"/>
    <cellStyle name="Normal 2 3 5 2 3 4 4 3" xfId="27953"/>
    <cellStyle name="Normal 2 3 5 2 3 4 4 4" xfId="34922"/>
    <cellStyle name="Normal 2 3 5 2 3 4 5" xfId="11697"/>
    <cellStyle name="Normal 2 3 5 2 3 4 6" xfId="18664"/>
    <cellStyle name="Normal 2 3 5 2 3 4 7" xfId="25631"/>
    <cellStyle name="Normal 2 3 5 2 3 4 8" xfId="32599"/>
    <cellStyle name="Normal 2 3 5 2 3 5" xfId="3969"/>
    <cellStyle name="Normal 2 3 5 2 3 5 2" xfId="5464"/>
    <cellStyle name="Normal 2 3 5 2 3 5 2 2" xfId="10297"/>
    <cellStyle name="Normal 2 3 5 2 3 5 2 2 2" xfId="17295"/>
    <cellStyle name="Normal 2 3 5 2 3 5 2 2 3" xfId="24262"/>
    <cellStyle name="Normal 2 3 5 2 3 5 2 2 4" xfId="31229"/>
    <cellStyle name="Normal 2 3 5 2 3 5 2 2 5" xfId="38198"/>
    <cellStyle name="Normal 2 3 5 2 3 5 2 3" xfId="14975"/>
    <cellStyle name="Normal 2 3 5 2 3 5 2 3 2" xfId="21942"/>
    <cellStyle name="Normal 2 3 5 2 3 5 2 3 3" xfId="28909"/>
    <cellStyle name="Normal 2 3 5 2 3 5 2 3 4" xfId="35878"/>
    <cellStyle name="Normal 2 3 5 2 3 5 2 4" xfId="12653"/>
    <cellStyle name="Normal 2 3 5 2 3 5 2 5" xfId="19620"/>
    <cellStyle name="Normal 2 3 5 2 3 5 2 6" xfId="26587"/>
    <cellStyle name="Normal 2 3 5 2 3 5 2 7" xfId="33555"/>
    <cellStyle name="Normal 2 3 5 2 3 5 3" xfId="9575"/>
    <cellStyle name="Normal 2 3 5 2 3 5 3 2" xfId="16611"/>
    <cellStyle name="Normal 2 3 5 2 3 5 3 3" xfId="23578"/>
    <cellStyle name="Normal 2 3 5 2 3 5 3 4" xfId="30545"/>
    <cellStyle name="Normal 2 3 5 2 3 5 3 5" xfId="37514"/>
    <cellStyle name="Normal 2 3 5 2 3 5 4" xfId="14291"/>
    <cellStyle name="Normal 2 3 5 2 3 5 4 2" xfId="21258"/>
    <cellStyle name="Normal 2 3 5 2 3 5 4 3" xfId="28225"/>
    <cellStyle name="Normal 2 3 5 2 3 5 4 4" xfId="35194"/>
    <cellStyle name="Normal 2 3 5 2 3 5 5" xfId="11969"/>
    <cellStyle name="Normal 2 3 5 2 3 5 6" xfId="18936"/>
    <cellStyle name="Normal 2 3 5 2 3 5 7" xfId="25903"/>
    <cellStyle name="Normal 2 3 5 2 3 5 8" xfId="32871"/>
    <cellStyle name="Normal 2 3 5 2 3 6" xfId="5460"/>
    <cellStyle name="Normal 2 3 5 2 3 6 2" xfId="10293"/>
    <cellStyle name="Normal 2 3 5 2 3 6 2 2" xfId="17291"/>
    <cellStyle name="Normal 2 3 5 2 3 6 2 3" xfId="24258"/>
    <cellStyle name="Normal 2 3 5 2 3 6 2 4" xfId="31225"/>
    <cellStyle name="Normal 2 3 5 2 3 6 2 5" xfId="38194"/>
    <cellStyle name="Normal 2 3 5 2 3 6 3" xfId="14971"/>
    <cellStyle name="Normal 2 3 5 2 3 6 3 2" xfId="21938"/>
    <cellStyle name="Normal 2 3 5 2 3 6 3 3" xfId="28905"/>
    <cellStyle name="Normal 2 3 5 2 3 6 3 4" xfId="35874"/>
    <cellStyle name="Normal 2 3 5 2 3 6 4" xfId="12649"/>
    <cellStyle name="Normal 2 3 5 2 3 6 5" xfId="19616"/>
    <cellStyle name="Normal 2 3 5 2 3 6 6" xfId="26583"/>
    <cellStyle name="Normal 2 3 5 2 3 6 7" xfId="33551"/>
    <cellStyle name="Normal 2 3 5 2 3 7" xfId="6863"/>
    <cellStyle name="Normal 2 3 5 2 3 7 2" xfId="10832"/>
    <cellStyle name="Normal 2 3 5 2 3 7 2 2" xfId="17806"/>
    <cellStyle name="Normal 2 3 5 2 3 7 2 3" xfId="24773"/>
    <cellStyle name="Normal 2 3 5 2 3 7 2 4" xfId="31740"/>
    <cellStyle name="Normal 2 3 5 2 3 7 2 5" xfId="38709"/>
    <cellStyle name="Normal 2 3 5 2 3 7 3" xfId="15486"/>
    <cellStyle name="Normal 2 3 5 2 3 7 3 2" xfId="22453"/>
    <cellStyle name="Normal 2 3 5 2 3 7 3 3" xfId="29420"/>
    <cellStyle name="Normal 2 3 5 2 3 7 3 4" xfId="36389"/>
    <cellStyle name="Normal 2 3 5 2 3 7 4" xfId="13164"/>
    <cellStyle name="Normal 2 3 5 2 3 7 5" xfId="20131"/>
    <cellStyle name="Normal 2 3 5 2 3 7 6" xfId="27098"/>
    <cellStyle name="Normal 2 3 5 2 3 7 7" xfId="34067"/>
    <cellStyle name="Normal 2 3 5 2 3 8" xfId="7175"/>
    <cellStyle name="Normal 2 3 5 2 3 8 2" xfId="15659"/>
    <cellStyle name="Normal 2 3 5 2 3 8 2 2" xfId="22626"/>
    <cellStyle name="Normal 2 3 5 2 3 8 2 3" xfId="29593"/>
    <cellStyle name="Normal 2 3 5 2 3 8 2 4" xfId="36562"/>
    <cellStyle name="Normal 2 3 5 2 3 8 3" xfId="13337"/>
    <cellStyle name="Normal 2 3 5 2 3 8 4" xfId="20304"/>
    <cellStyle name="Normal 2 3 5 2 3 8 5" xfId="27271"/>
    <cellStyle name="Normal 2 3 5 2 3 8 6" xfId="34240"/>
    <cellStyle name="Normal 2 3 5 2 3 9" xfId="8073"/>
    <cellStyle name="Normal 2 3 5 2 3 9 2" xfId="15832"/>
    <cellStyle name="Normal 2 3 5 2 3 9 2 2" xfId="22799"/>
    <cellStyle name="Normal 2 3 5 2 3 9 2 3" xfId="29766"/>
    <cellStyle name="Normal 2 3 5 2 3 9 2 4" xfId="36735"/>
    <cellStyle name="Normal 2 3 5 2 3 9 3" xfId="11188"/>
    <cellStyle name="Normal 2 3 5 2 3 9 4" xfId="18155"/>
    <cellStyle name="Normal 2 3 5 2 3 9 5" xfId="25122"/>
    <cellStyle name="Normal 2 3 5 2 3 9 6" xfId="32090"/>
    <cellStyle name="Normal 2 3 5 2 4" xfId="5458"/>
    <cellStyle name="Normal 2 3 5 2 5" xfId="8071"/>
    <cellStyle name="Normal 2 3 5 3" xfId="1715"/>
    <cellStyle name="Normal 2 3 5 3 10" xfId="13511"/>
    <cellStyle name="Normal 2 3 5 3 10 2" xfId="20478"/>
    <cellStyle name="Normal 2 3 5 3 10 3" xfId="27445"/>
    <cellStyle name="Normal 2 3 5 3 10 4" xfId="34414"/>
    <cellStyle name="Normal 2 3 5 3 11" xfId="11016"/>
    <cellStyle name="Normal 2 3 5 3 12" xfId="17982"/>
    <cellStyle name="Normal 2 3 5 3 13" xfId="24950"/>
    <cellStyle name="Normal 2 3 5 3 14" xfId="31918"/>
    <cellStyle name="Normal 2 3 5 3 2" xfId="3316"/>
    <cellStyle name="Normal 2 3 5 3 2 2" xfId="5466"/>
    <cellStyle name="Normal 2 3 5 3 2 2 2" xfId="10299"/>
    <cellStyle name="Normal 2 3 5 3 2 2 2 2" xfId="17297"/>
    <cellStyle name="Normal 2 3 5 3 2 2 2 3" xfId="24264"/>
    <cellStyle name="Normal 2 3 5 3 2 2 2 4" xfId="31231"/>
    <cellStyle name="Normal 2 3 5 3 2 2 2 5" xfId="38200"/>
    <cellStyle name="Normal 2 3 5 3 2 2 3" xfId="14977"/>
    <cellStyle name="Normal 2 3 5 3 2 2 3 2" xfId="21944"/>
    <cellStyle name="Normal 2 3 5 3 2 2 3 3" xfId="28911"/>
    <cellStyle name="Normal 2 3 5 3 2 2 3 4" xfId="35880"/>
    <cellStyle name="Normal 2 3 5 3 2 2 4" xfId="12655"/>
    <cellStyle name="Normal 2 3 5 3 2 2 5" xfId="19622"/>
    <cellStyle name="Normal 2 3 5 3 2 2 6" xfId="26589"/>
    <cellStyle name="Normal 2 3 5 3 2 2 7" xfId="33557"/>
    <cellStyle name="Normal 2 3 5 3 2 3" xfId="8950"/>
    <cellStyle name="Normal 2 3 5 3 2 3 2" xfId="16002"/>
    <cellStyle name="Normal 2 3 5 3 2 3 3" xfId="22969"/>
    <cellStyle name="Normal 2 3 5 3 2 3 4" xfId="29936"/>
    <cellStyle name="Normal 2 3 5 3 2 3 5" xfId="36905"/>
    <cellStyle name="Normal 2 3 5 3 2 4" xfId="13680"/>
    <cellStyle name="Normal 2 3 5 3 2 4 2" xfId="20647"/>
    <cellStyle name="Normal 2 3 5 3 2 4 3" xfId="27614"/>
    <cellStyle name="Normal 2 3 5 3 2 4 4" xfId="34583"/>
    <cellStyle name="Normal 2 3 5 3 2 5" xfId="11358"/>
    <cellStyle name="Normal 2 3 5 3 2 6" xfId="18325"/>
    <cellStyle name="Normal 2 3 5 3 2 7" xfId="25292"/>
    <cellStyle name="Normal 2 3 5 3 2 8" xfId="32260"/>
    <cellStyle name="Normal 2 3 5 3 3" xfId="3518"/>
    <cellStyle name="Normal 2 3 5 3 3 2" xfId="5467"/>
    <cellStyle name="Normal 2 3 5 3 3 2 2" xfId="10300"/>
    <cellStyle name="Normal 2 3 5 3 3 2 2 2" xfId="17298"/>
    <cellStyle name="Normal 2 3 5 3 3 2 2 3" xfId="24265"/>
    <cellStyle name="Normal 2 3 5 3 3 2 2 4" xfId="31232"/>
    <cellStyle name="Normal 2 3 5 3 3 2 2 5" xfId="38201"/>
    <cellStyle name="Normal 2 3 5 3 3 2 3" xfId="14978"/>
    <cellStyle name="Normal 2 3 5 3 3 2 3 2" xfId="21945"/>
    <cellStyle name="Normal 2 3 5 3 3 2 3 3" xfId="28912"/>
    <cellStyle name="Normal 2 3 5 3 3 2 3 4" xfId="35881"/>
    <cellStyle name="Normal 2 3 5 3 3 2 4" xfId="12656"/>
    <cellStyle name="Normal 2 3 5 3 3 2 5" xfId="19623"/>
    <cellStyle name="Normal 2 3 5 3 3 2 6" xfId="26590"/>
    <cellStyle name="Normal 2 3 5 3 3 2 7" xfId="33558"/>
    <cellStyle name="Normal 2 3 5 3 3 3" xfId="9130"/>
    <cellStyle name="Normal 2 3 5 3 3 3 2" xfId="16169"/>
    <cellStyle name="Normal 2 3 5 3 3 3 3" xfId="23136"/>
    <cellStyle name="Normal 2 3 5 3 3 3 4" xfId="30103"/>
    <cellStyle name="Normal 2 3 5 3 3 3 5" xfId="37072"/>
    <cellStyle name="Normal 2 3 5 3 3 4" xfId="13849"/>
    <cellStyle name="Normal 2 3 5 3 3 4 2" xfId="20816"/>
    <cellStyle name="Normal 2 3 5 3 3 4 3" xfId="27783"/>
    <cellStyle name="Normal 2 3 5 3 3 4 4" xfId="34752"/>
    <cellStyle name="Normal 2 3 5 3 3 5" xfId="11527"/>
    <cellStyle name="Normal 2 3 5 3 3 6" xfId="18494"/>
    <cellStyle name="Normal 2 3 5 3 3 7" xfId="25461"/>
    <cellStyle name="Normal 2 3 5 3 3 8" xfId="32429"/>
    <cellStyle name="Normal 2 3 5 3 4" xfId="3693"/>
    <cellStyle name="Normal 2 3 5 3 4 2" xfId="5468"/>
    <cellStyle name="Normal 2 3 5 3 4 2 2" xfId="10301"/>
    <cellStyle name="Normal 2 3 5 3 4 2 2 2" xfId="17299"/>
    <cellStyle name="Normal 2 3 5 3 4 2 2 3" xfId="24266"/>
    <cellStyle name="Normal 2 3 5 3 4 2 2 4" xfId="31233"/>
    <cellStyle name="Normal 2 3 5 3 4 2 2 5" xfId="38202"/>
    <cellStyle name="Normal 2 3 5 3 4 2 3" xfId="14979"/>
    <cellStyle name="Normal 2 3 5 3 4 2 3 2" xfId="21946"/>
    <cellStyle name="Normal 2 3 5 3 4 2 3 3" xfId="28913"/>
    <cellStyle name="Normal 2 3 5 3 4 2 3 4" xfId="35882"/>
    <cellStyle name="Normal 2 3 5 3 4 2 4" xfId="12657"/>
    <cellStyle name="Normal 2 3 5 3 4 2 5" xfId="19624"/>
    <cellStyle name="Normal 2 3 5 3 4 2 6" xfId="26591"/>
    <cellStyle name="Normal 2 3 5 3 4 2 7" xfId="33559"/>
    <cellStyle name="Normal 2 3 5 3 4 3" xfId="9301"/>
    <cellStyle name="Normal 2 3 5 3 4 3 2" xfId="16340"/>
    <cellStyle name="Normal 2 3 5 3 4 3 3" xfId="23307"/>
    <cellStyle name="Normal 2 3 5 3 4 3 4" xfId="30274"/>
    <cellStyle name="Normal 2 3 5 3 4 3 5" xfId="37243"/>
    <cellStyle name="Normal 2 3 5 3 4 4" xfId="14020"/>
    <cellStyle name="Normal 2 3 5 3 4 4 2" xfId="20987"/>
    <cellStyle name="Normal 2 3 5 3 4 4 3" xfId="27954"/>
    <cellStyle name="Normal 2 3 5 3 4 4 4" xfId="34923"/>
    <cellStyle name="Normal 2 3 5 3 4 5" xfId="11698"/>
    <cellStyle name="Normal 2 3 5 3 4 6" xfId="18665"/>
    <cellStyle name="Normal 2 3 5 3 4 7" xfId="25632"/>
    <cellStyle name="Normal 2 3 5 3 4 8" xfId="32600"/>
    <cellStyle name="Normal 2 3 5 3 5" xfId="3970"/>
    <cellStyle name="Normal 2 3 5 3 5 2" xfId="5469"/>
    <cellStyle name="Normal 2 3 5 3 5 2 2" xfId="10302"/>
    <cellStyle name="Normal 2 3 5 3 5 2 2 2" xfId="17300"/>
    <cellStyle name="Normal 2 3 5 3 5 2 2 3" xfId="24267"/>
    <cellStyle name="Normal 2 3 5 3 5 2 2 4" xfId="31234"/>
    <cellStyle name="Normal 2 3 5 3 5 2 2 5" xfId="38203"/>
    <cellStyle name="Normal 2 3 5 3 5 2 3" xfId="14980"/>
    <cellStyle name="Normal 2 3 5 3 5 2 3 2" xfId="21947"/>
    <cellStyle name="Normal 2 3 5 3 5 2 3 3" xfId="28914"/>
    <cellStyle name="Normal 2 3 5 3 5 2 3 4" xfId="35883"/>
    <cellStyle name="Normal 2 3 5 3 5 2 4" xfId="12658"/>
    <cellStyle name="Normal 2 3 5 3 5 2 5" xfId="19625"/>
    <cellStyle name="Normal 2 3 5 3 5 2 6" xfId="26592"/>
    <cellStyle name="Normal 2 3 5 3 5 2 7" xfId="33560"/>
    <cellStyle name="Normal 2 3 5 3 5 3" xfId="9576"/>
    <cellStyle name="Normal 2 3 5 3 5 3 2" xfId="16612"/>
    <cellStyle name="Normal 2 3 5 3 5 3 3" xfId="23579"/>
    <cellStyle name="Normal 2 3 5 3 5 3 4" xfId="30546"/>
    <cellStyle name="Normal 2 3 5 3 5 3 5" xfId="37515"/>
    <cellStyle name="Normal 2 3 5 3 5 4" xfId="14292"/>
    <cellStyle name="Normal 2 3 5 3 5 4 2" xfId="21259"/>
    <cellStyle name="Normal 2 3 5 3 5 4 3" xfId="28226"/>
    <cellStyle name="Normal 2 3 5 3 5 4 4" xfId="35195"/>
    <cellStyle name="Normal 2 3 5 3 5 5" xfId="11970"/>
    <cellStyle name="Normal 2 3 5 3 5 6" xfId="18937"/>
    <cellStyle name="Normal 2 3 5 3 5 7" xfId="25904"/>
    <cellStyle name="Normal 2 3 5 3 5 8" xfId="32872"/>
    <cellStyle name="Normal 2 3 5 3 6" xfId="5465"/>
    <cellStyle name="Normal 2 3 5 3 6 2" xfId="10298"/>
    <cellStyle name="Normal 2 3 5 3 6 2 2" xfId="17296"/>
    <cellStyle name="Normal 2 3 5 3 6 2 3" xfId="24263"/>
    <cellStyle name="Normal 2 3 5 3 6 2 4" xfId="31230"/>
    <cellStyle name="Normal 2 3 5 3 6 2 5" xfId="38199"/>
    <cellStyle name="Normal 2 3 5 3 6 3" xfId="14976"/>
    <cellStyle name="Normal 2 3 5 3 6 3 2" xfId="21943"/>
    <cellStyle name="Normal 2 3 5 3 6 3 3" xfId="28910"/>
    <cellStyle name="Normal 2 3 5 3 6 3 4" xfId="35879"/>
    <cellStyle name="Normal 2 3 5 3 6 4" xfId="12654"/>
    <cellStyle name="Normal 2 3 5 3 6 5" xfId="19621"/>
    <cellStyle name="Normal 2 3 5 3 6 6" xfId="26588"/>
    <cellStyle name="Normal 2 3 5 3 6 7" xfId="33556"/>
    <cellStyle name="Normal 2 3 5 3 7" xfId="6864"/>
    <cellStyle name="Normal 2 3 5 3 7 2" xfId="10833"/>
    <cellStyle name="Normal 2 3 5 3 7 2 2" xfId="17807"/>
    <cellStyle name="Normal 2 3 5 3 7 2 3" xfId="24774"/>
    <cellStyle name="Normal 2 3 5 3 7 2 4" xfId="31741"/>
    <cellStyle name="Normal 2 3 5 3 7 2 5" xfId="38710"/>
    <cellStyle name="Normal 2 3 5 3 7 3" xfId="15487"/>
    <cellStyle name="Normal 2 3 5 3 7 3 2" xfId="22454"/>
    <cellStyle name="Normal 2 3 5 3 7 3 3" xfId="29421"/>
    <cellStyle name="Normal 2 3 5 3 7 3 4" xfId="36390"/>
    <cellStyle name="Normal 2 3 5 3 7 4" xfId="13165"/>
    <cellStyle name="Normal 2 3 5 3 7 5" xfId="20132"/>
    <cellStyle name="Normal 2 3 5 3 7 6" xfId="27099"/>
    <cellStyle name="Normal 2 3 5 3 7 7" xfId="34068"/>
    <cellStyle name="Normal 2 3 5 3 8" xfId="7176"/>
    <cellStyle name="Normal 2 3 5 3 8 2" xfId="15660"/>
    <cellStyle name="Normal 2 3 5 3 8 2 2" xfId="22627"/>
    <cellStyle name="Normal 2 3 5 3 8 2 3" xfId="29594"/>
    <cellStyle name="Normal 2 3 5 3 8 2 4" xfId="36563"/>
    <cellStyle name="Normal 2 3 5 3 8 3" xfId="13338"/>
    <cellStyle name="Normal 2 3 5 3 8 4" xfId="20305"/>
    <cellStyle name="Normal 2 3 5 3 8 5" xfId="27272"/>
    <cellStyle name="Normal 2 3 5 3 8 6" xfId="34241"/>
    <cellStyle name="Normal 2 3 5 3 9" xfId="8074"/>
    <cellStyle name="Normal 2 3 5 3 9 2" xfId="15833"/>
    <cellStyle name="Normal 2 3 5 3 9 2 2" xfId="22800"/>
    <cellStyle name="Normal 2 3 5 3 9 2 3" xfId="29767"/>
    <cellStyle name="Normal 2 3 5 3 9 2 4" xfId="36736"/>
    <cellStyle name="Normal 2 3 5 3 9 3" xfId="11189"/>
    <cellStyle name="Normal 2 3 5 3 9 4" xfId="18156"/>
    <cellStyle name="Normal 2 3 5 3 9 5" xfId="25123"/>
    <cellStyle name="Normal 2 3 5 3 9 6" xfId="32091"/>
    <cellStyle name="Normal 2 3 5 4" xfId="3797"/>
    <cellStyle name="Normal 2 3 5 4 2" xfId="5470"/>
    <cellStyle name="Normal 2 3 5 4 2 2" xfId="10303"/>
    <cellStyle name="Normal 2 3 5 4 2 2 2" xfId="17301"/>
    <cellStyle name="Normal 2 3 5 4 2 2 3" xfId="24268"/>
    <cellStyle name="Normal 2 3 5 4 2 2 4" xfId="31235"/>
    <cellStyle name="Normal 2 3 5 4 2 2 5" xfId="38204"/>
    <cellStyle name="Normal 2 3 5 4 2 3" xfId="14981"/>
    <cellStyle name="Normal 2 3 5 4 2 3 2" xfId="21948"/>
    <cellStyle name="Normal 2 3 5 4 2 3 3" xfId="28915"/>
    <cellStyle name="Normal 2 3 5 4 2 3 4" xfId="35884"/>
    <cellStyle name="Normal 2 3 5 4 2 4" xfId="12659"/>
    <cellStyle name="Normal 2 3 5 4 2 5" xfId="19626"/>
    <cellStyle name="Normal 2 3 5 4 2 6" xfId="26593"/>
    <cellStyle name="Normal 2 3 5 4 2 7" xfId="33561"/>
    <cellStyle name="Normal 2 3 5 4 3" xfId="9403"/>
    <cellStyle name="Normal 2 3 5 4 3 2" xfId="16441"/>
    <cellStyle name="Normal 2 3 5 4 3 3" xfId="23408"/>
    <cellStyle name="Normal 2 3 5 4 3 4" xfId="30375"/>
    <cellStyle name="Normal 2 3 5 4 3 5" xfId="37344"/>
    <cellStyle name="Normal 2 3 5 4 4" xfId="14121"/>
    <cellStyle name="Normal 2 3 5 4 4 2" xfId="21088"/>
    <cellStyle name="Normal 2 3 5 4 4 3" xfId="28055"/>
    <cellStyle name="Normal 2 3 5 4 4 4" xfId="35024"/>
    <cellStyle name="Normal 2 3 5 4 5" xfId="11799"/>
    <cellStyle name="Normal 2 3 5 4 6" xfId="18766"/>
    <cellStyle name="Normal 2 3 5 4 7" xfId="25733"/>
    <cellStyle name="Normal 2 3 5 4 8" xfId="32701"/>
    <cellStyle name="Normal 2 3 5 5" xfId="5457"/>
    <cellStyle name="Normal 2 3 5 6" xfId="8070"/>
    <cellStyle name="Normal 2 3 6" xfId="1716"/>
    <cellStyle name="Normal 2 3 6 2" xfId="3795"/>
    <cellStyle name="Normal 2 3 6 2 2" xfId="5472"/>
    <cellStyle name="Normal 2 3 6 2 2 2" xfId="10304"/>
    <cellStyle name="Normal 2 3 6 2 2 2 2" xfId="17302"/>
    <cellStyle name="Normal 2 3 6 2 2 2 3" xfId="24269"/>
    <cellStyle name="Normal 2 3 6 2 2 2 4" xfId="31236"/>
    <cellStyle name="Normal 2 3 6 2 2 2 5" xfId="38205"/>
    <cellStyle name="Normal 2 3 6 2 2 3" xfId="14982"/>
    <cellStyle name="Normal 2 3 6 2 2 3 2" xfId="21949"/>
    <cellStyle name="Normal 2 3 6 2 2 3 3" xfId="28916"/>
    <cellStyle name="Normal 2 3 6 2 2 3 4" xfId="35885"/>
    <cellStyle name="Normal 2 3 6 2 2 4" xfId="12660"/>
    <cellStyle name="Normal 2 3 6 2 2 5" xfId="19627"/>
    <cellStyle name="Normal 2 3 6 2 2 6" xfId="26594"/>
    <cellStyle name="Normal 2 3 6 2 2 7" xfId="33562"/>
    <cellStyle name="Normal 2 3 6 2 3" xfId="9401"/>
    <cellStyle name="Normal 2 3 6 2 3 2" xfId="16439"/>
    <cellStyle name="Normal 2 3 6 2 3 3" xfId="23406"/>
    <cellStyle name="Normal 2 3 6 2 3 4" xfId="30373"/>
    <cellStyle name="Normal 2 3 6 2 3 5" xfId="37342"/>
    <cellStyle name="Normal 2 3 6 2 4" xfId="14119"/>
    <cellStyle name="Normal 2 3 6 2 4 2" xfId="21086"/>
    <cellStyle name="Normal 2 3 6 2 4 3" xfId="28053"/>
    <cellStyle name="Normal 2 3 6 2 4 4" xfId="35022"/>
    <cellStyle name="Normal 2 3 6 2 5" xfId="11797"/>
    <cellStyle name="Normal 2 3 6 2 6" xfId="18764"/>
    <cellStyle name="Normal 2 3 6 2 7" xfId="25731"/>
    <cellStyle name="Normal 2 3 6 2 8" xfId="32699"/>
    <cellStyle name="Normal 2 3 6 3" xfId="3796"/>
    <cellStyle name="Normal 2 3 6 3 2" xfId="5473"/>
    <cellStyle name="Normal 2 3 6 3 2 2" xfId="10305"/>
    <cellStyle name="Normal 2 3 6 3 2 2 2" xfId="17303"/>
    <cellStyle name="Normal 2 3 6 3 2 2 3" xfId="24270"/>
    <cellStyle name="Normal 2 3 6 3 2 2 4" xfId="31237"/>
    <cellStyle name="Normal 2 3 6 3 2 2 5" xfId="38206"/>
    <cellStyle name="Normal 2 3 6 3 2 3" xfId="14983"/>
    <cellStyle name="Normal 2 3 6 3 2 3 2" xfId="21950"/>
    <cellStyle name="Normal 2 3 6 3 2 3 3" xfId="28917"/>
    <cellStyle name="Normal 2 3 6 3 2 3 4" xfId="35886"/>
    <cellStyle name="Normal 2 3 6 3 2 4" xfId="12661"/>
    <cellStyle name="Normal 2 3 6 3 2 5" xfId="19628"/>
    <cellStyle name="Normal 2 3 6 3 2 6" xfId="26595"/>
    <cellStyle name="Normal 2 3 6 3 2 7" xfId="33563"/>
    <cellStyle name="Normal 2 3 6 3 3" xfId="9402"/>
    <cellStyle name="Normal 2 3 6 3 3 2" xfId="16440"/>
    <cellStyle name="Normal 2 3 6 3 3 3" xfId="23407"/>
    <cellStyle name="Normal 2 3 6 3 3 4" xfId="30374"/>
    <cellStyle name="Normal 2 3 6 3 3 5" xfId="37343"/>
    <cellStyle name="Normal 2 3 6 3 4" xfId="14120"/>
    <cellStyle name="Normal 2 3 6 3 4 2" xfId="21087"/>
    <cellStyle name="Normal 2 3 6 3 4 3" xfId="28054"/>
    <cellStyle name="Normal 2 3 6 3 4 4" xfId="35023"/>
    <cellStyle name="Normal 2 3 6 3 5" xfId="11798"/>
    <cellStyle name="Normal 2 3 6 3 6" xfId="18765"/>
    <cellStyle name="Normal 2 3 6 3 7" xfId="25732"/>
    <cellStyle name="Normal 2 3 6 3 8" xfId="32700"/>
    <cellStyle name="Normal 2 3 6 4" xfId="5471"/>
    <cellStyle name="Normal 2 3 6 5" xfId="8075"/>
    <cellStyle name="Normal 2 3 7" xfId="1717"/>
    <cellStyle name="Normal 2 3 7 10" xfId="13512"/>
    <cellStyle name="Normal 2 3 7 10 2" xfId="20479"/>
    <cellStyle name="Normal 2 3 7 10 3" xfId="27446"/>
    <cellStyle name="Normal 2 3 7 10 4" xfId="34415"/>
    <cellStyle name="Normal 2 3 7 11" xfId="11017"/>
    <cellStyle name="Normal 2 3 7 12" xfId="17983"/>
    <cellStyle name="Normal 2 3 7 13" xfId="24951"/>
    <cellStyle name="Normal 2 3 7 14" xfId="31919"/>
    <cellStyle name="Normal 2 3 7 2" xfId="3317"/>
    <cellStyle name="Normal 2 3 7 2 2" xfId="3794"/>
    <cellStyle name="Normal 2 3 7 2 2 2" xfId="5476"/>
    <cellStyle name="Normal 2 3 7 2 2 2 2" xfId="10308"/>
    <cellStyle name="Normal 2 3 7 2 2 2 2 2" xfId="17306"/>
    <cellStyle name="Normal 2 3 7 2 2 2 2 3" xfId="24273"/>
    <cellStyle name="Normal 2 3 7 2 2 2 2 4" xfId="31240"/>
    <cellStyle name="Normal 2 3 7 2 2 2 2 5" xfId="38209"/>
    <cellStyle name="Normal 2 3 7 2 2 2 3" xfId="14986"/>
    <cellStyle name="Normal 2 3 7 2 2 2 3 2" xfId="21953"/>
    <cellStyle name="Normal 2 3 7 2 2 2 3 3" xfId="28920"/>
    <cellStyle name="Normal 2 3 7 2 2 2 3 4" xfId="35889"/>
    <cellStyle name="Normal 2 3 7 2 2 2 4" xfId="12664"/>
    <cellStyle name="Normal 2 3 7 2 2 2 5" xfId="19631"/>
    <cellStyle name="Normal 2 3 7 2 2 2 6" xfId="26598"/>
    <cellStyle name="Normal 2 3 7 2 2 2 7" xfId="33566"/>
    <cellStyle name="Normal 2 3 7 2 2 3" xfId="9400"/>
    <cellStyle name="Normal 2 3 7 2 2 3 2" xfId="16438"/>
    <cellStyle name="Normal 2 3 7 2 2 3 3" xfId="23405"/>
    <cellStyle name="Normal 2 3 7 2 2 3 4" xfId="30372"/>
    <cellStyle name="Normal 2 3 7 2 2 3 5" xfId="37341"/>
    <cellStyle name="Normal 2 3 7 2 2 4" xfId="14118"/>
    <cellStyle name="Normal 2 3 7 2 2 4 2" xfId="21085"/>
    <cellStyle name="Normal 2 3 7 2 2 4 3" xfId="28052"/>
    <cellStyle name="Normal 2 3 7 2 2 4 4" xfId="35021"/>
    <cellStyle name="Normal 2 3 7 2 2 5" xfId="11796"/>
    <cellStyle name="Normal 2 3 7 2 2 6" xfId="18763"/>
    <cellStyle name="Normal 2 3 7 2 2 7" xfId="25730"/>
    <cellStyle name="Normal 2 3 7 2 2 8" xfId="32698"/>
    <cellStyle name="Normal 2 3 7 2 3" xfId="5475"/>
    <cellStyle name="Normal 2 3 7 2 3 2" xfId="10307"/>
    <cellStyle name="Normal 2 3 7 2 3 2 2" xfId="17305"/>
    <cellStyle name="Normal 2 3 7 2 3 2 3" xfId="24272"/>
    <cellStyle name="Normal 2 3 7 2 3 2 4" xfId="31239"/>
    <cellStyle name="Normal 2 3 7 2 3 2 5" xfId="38208"/>
    <cellStyle name="Normal 2 3 7 2 3 3" xfId="14985"/>
    <cellStyle name="Normal 2 3 7 2 3 3 2" xfId="21952"/>
    <cellStyle name="Normal 2 3 7 2 3 3 3" xfId="28919"/>
    <cellStyle name="Normal 2 3 7 2 3 3 4" xfId="35888"/>
    <cellStyle name="Normal 2 3 7 2 3 4" xfId="12663"/>
    <cellStyle name="Normal 2 3 7 2 3 5" xfId="19630"/>
    <cellStyle name="Normal 2 3 7 2 3 6" xfId="26597"/>
    <cellStyle name="Normal 2 3 7 2 3 7" xfId="33565"/>
    <cellStyle name="Normal 2 3 7 2 4" xfId="8951"/>
    <cellStyle name="Normal 2 3 7 2 4 2" xfId="16003"/>
    <cellStyle name="Normal 2 3 7 2 4 3" xfId="22970"/>
    <cellStyle name="Normal 2 3 7 2 4 4" xfId="29937"/>
    <cellStyle name="Normal 2 3 7 2 4 5" xfId="36906"/>
    <cellStyle name="Normal 2 3 7 2 5" xfId="13681"/>
    <cellStyle name="Normal 2 3 7 2 5 2" xfId="20648"/>
    <cellStyle name="Normal 2 3 7 2 5 3" xfId="27615"/>
    <cellStyle name="Normal 2 3 7 2 5 4" xfId="34584"/>
    <cellStyle name="Normal 2 3 7 2 6" xfId="11359"/>
    <cellStyle name="Normal 2 3 7 2 7" xfId="18326"/>
    <cellStyle name="Normal 2 3 7 2 8" xfId="25293"/>
    <cellStyle name="Normal 2 3 7 2 9" xfId="32261"/>
    <cellStyle name="Normal 2 3 7 3" xfId="3519"/>
    <cellStyle name="Normal 2 3 7 3 2" xfId="5477"/>
    <cellStyle name="Normal 2 3 7 3 2 2" xfId="10309"/>
    <cellStyle name="Normal 2 3 7 3 2 2 2" xfId="17307"/>
    <cellStyle name="Normal 2 3 7 3 2 2 3" xfId="24274"/>
    <cellStyle name="Normal 2 3 7 3 2 2 4" xfId="31241"/>
    <cellStyle name="Normal 2 3 7 3 2 2 5" xfId="38210"/>
    <cellStyle name="Normal 2 3 7 3 2 3" xfId="14987"/>
    <cellStyle name="Normal 2 3 7 3 2 3 2" xfId="21954"/>
    <cellStyle name="Normal 2 3 7 3 2 3 3" xfId="28921"/>
    <cellStyle name="Normal 2 3 7 3 2 3 4" xfId="35890"/>
    <cellStyle name="Normal 2 3 7 3 2 4" xfId="12665"/>
    <cellStyle name="Normal 2 3 7 3 2 5" xfId="19632"/>
    <cellStyle name="Normal 2 3 7 3 2 6" xfId="26599"/>
    <cellStyle name="Normal 2 3 7 3 2 7" xfId="33567"/>
    <cellStyle name="Normal 2 3 7 3 3" xfId="9131"/>
    <cellStyle name="Normal 2 3 7 3 3 2" xfId="16170"/>
    <cellStyle name="Normal 2 3 7 3 3 3" xfId="23137"/>
    <cellStyle name="Normal 2 3 7 3 3 4" xfId="30104"/>
    <cellStyle name="Normal 2 3 7 3 3 5" xfId="37073"/>
    <cellStyle name="Normal 2 3 7 3 4" xfId="13850"/>
    <cellStyle name="Normal 2 3 7 3 4 2" xfId="20817"/>
    <cellStyle name="Normal 2 3 7 3 4 3" xfId="27784"/>
    <cellStyle name="Normal 2 3 7 3 4 4" xfId="34753"/>
    <cellStyle name="Normal 2 3 7 3 5" xfId="11528"/>
    <cellStyle name="Normal 2 3 7 3 6" xfId="18495"/>
    <cellStyle name="Normal 2 3 7 3 7" xfId="25462"/>
    <cellStyle name="Normal 2 3 7 3 8" xfId="32430"/>
    <cellStyle name="Normal 2 3 7 4" xfId="3694"/>
    <cellStyle name="Normal 2 3 7 4 2" xfId="5478"/>
    <cellStyle name="Normal 2 3 7 4 2 2" xfId="10310"/>
    <cellStyle name="Normal 2 3 7 4 2 2 2" xfId="17308"/>
    <cellStyle name="Normal 2 3 7 4 2 2 3" xfId="24275"/>
    <cellStyle name="Normal 2 3 7 4 2 2 4" xfId="31242"/>
    <cellStyle name="Normal 2 3 7 4 2 2 5" xfId="38211"/>
    <cellStyle name="Normal 2 3 7 4 2 3" xfId="14988"/>
    <cellStyle name="Normal 2 3 7 4 2 3 2" xfId="21955"/>
    <cellStyle name="Normal 2 3 7 4 2 3 3" xfId="28922"/>
    <cellStyle name="Normal 2 3 7 4 2 3 4" xfId="35891"/>
    <cellStyle name="Normal 2 3 7 4 2 4" xfId="12666"/>
    <cellStyle name="Normal 2 3 7 4 2 5" xfId="19633"/>
    <cellStyle name="Normal 2 3 7 4 2 6" xfId="26600"/>
    <cellStyle name="Normal 2 3 7 4 2 7" xfId="33568"/>
    <cellStyle name="Normal 2 3 7 4 3" xfId="9302"/>
    <cellStyle name="Normal 2 3 7 4 3 2" xfId="16341"/>
    <cellStyle name="Normal 2 3 7 4 3 3" xfId="23308"/>
    <cellStyle name="Normal 2 3 7 4 3 4" xfId="30275"/>
    <cellStyle name="Normal 2 3 7 4 3 5" xfId="37244"/>
    <cellStyle name="Normal 2 3 7 4 4" xfId="14021"/>
    <cellStyle name="Normal 2 3 7 4 4 2" xfId="20988"/>
    <cellStyle name="Normal 2 3 7 4 4 3" xfId="27955"/>
    <cellStyle name="Normal 2 3 7 4 4 4" xfId="34924"/>
    <cellStyle name="Normal 2 3 7 4 5" xfId="11699"/>
    <cellStyle name="Normal 2 3 7 4 6" xfId="18666"/>
    <cellStyle name="Normal 2 3 7 4 7" xfId="25633"/>
    <cellStyle name="Normal 2 3 7 4 8" xfId="32601"/>
    <cellStyle name="Normal 2 3 7 5" xfId="3971"/>
    <cellStyle name="Normal 2 3 7 5 2" xfId="5479"/>
    <cellStyle name="Normal 2 3 7 5 2 2" xfId="10311"/>
    <cellStyle name="Normal 2 3 7 5 2 2 2" xfId="17309"/>
    <cellStyle name="Normal 2 3 7 5 2 2 3" xfId="24276"/>
    <cellStyle name="Normal 2 3 7 5 2 2 4" xfId="31243"/>
    <cellStyle name="Normal 2 3 7 5 2 2 5" xfId="38212"/>
    <cellStyle name="Normal 2 3 7 5 2 3" xfId="14989"/>
    <cellStyle name="Normal 2 3 7 5 2 3 2" xfId="21956"/>
    <cellStyle name="Normal 2 3 7 5 2 3 3" xfId="28923"/>
    <cellStyle name="Normal 2 3 7 5 2 3 4" xfId="35892"/>
    <cellStyle name="Normal 2 3 7 5 2 4" xfId="12667"/>
    <cellStyle name="Normal 2 3 7 5 2 5" xfId="19634"/>
    <cellStyle name="Normal 2 3 7 5 2 6" xfId="26601"/>
    <cellStyle name="Normal 2 3 7 5 2 7" xfId="33569"/>
    <cellStyle name="Normal 2 3 7 5 3" xfId="9577"/>
    <cellStyle name="Normal 2 3 7 5 3 2" xfId="16613"/>
    <cellStyle name="Normal 2 3 7 5 3 3" xfId="23580"/>
    <cellStyle name="Normal 2 3 7 5 3 4" xfId="30547"/>
    <cellStyle name="Normal 2 3 7 5 3 5" xfId="37516"/>
    <cellStyle name="Normal 2 3 7 5 4" xfId="14293"/>
    <cellStyle name="Normal 2 3 7 5 4 2" xfId="21260"/>
    <cellStyle name="Normal 2 3 7 5 4 3" xfId="28227"/>
    <cellStyle name="Normal 2 3 7 5 4 4" xfId="35196"/>
    <cellStyle name="Normal 2 3 7 5 5" xfId="11971"/>
    <cellStyle name="Normal 2 3 7 5 6" xfId="18938"/>
    <cellStyle name="Normal 2 3 7 5 7" xfId="25905"/>
    <cellStyle name="Normal 2 3 7 5 8" xfId="32873"/>
    <cellStyle name="Normal 2 3 7 6" xfId="5474"/>
    <cellStyle name="Normal 2 3 7 6 2" xfId="10306"/>
    <cellStyle name="Normal 2 3 7 6 2 2" xfId="17304"/>
    <cellStyle name="Normal 2 3 7 6 2 3" xfId="24271"/>
    <cellStyle name="Normal 2 3 7 6 2 4" xfId="31238"/>
    <cellStyle name="Normal 2 3 7 6 2 5" xfId="38207"/>
    <cellStyle name="Normal 2 3 7 6 3" xfId="14984"/>
    <cellStyle name="Normal 2 3 7 6 3 2" xfId="21951"/>
    <cellStyle name="Normal 2 3 7 6 3 3" xfId="28918"/>
    <cellStyle name="Normal 2 3 7 6 3 4" xfId="35887"/>
    <cellStyle name="Normal 2 3 7 6 4" xfId="12662"/>
    <cellStyle name="Normal 2 3 7 6 5" xfId="19629"/>
    <cellStyle name="Normal 2 3 7 6 6" xfId="26596"/>
    <cellStyle name="Normal 2 3 7 6 7" xfId="33564"/>
    <cellStyle name="Normal 2 3 7 7" xfId="6865"/>
    <cellStyle name="Normal 2 3 7 7 2" xfId="10834"/>
    <cellStyle name="Normal 2 3 7 7 2 2" xfId="17808"/>
    <cellStyle name="Normal 2 3 7 7 2 3" xfId="24775"/>
    <cellStyle name="Normal 2 3 7 7 2 4" xfId="31742"/>
    <cellStyle name="Normal 2 3 7 7 2 5" xfId="38711"/>
    <cellStyle name="Normal 2 3 7 7 3" xfId="15488"/>
    <cellStyle name="Normal 2 3 7 7 3 2" xfId="22455"/>
    <cellStyle name="Normal 2 3 7 7 3 3" xfId="29422"/>
    <cellStyle name="Normal 2 3 7 7 3 4" xfId="36391"/>
    <cellStyle name="Normal 2 3 7 7 4" xfId="13166"/>
    <cellStyle name="Normal 2 3 7 7 5" xfId="20133"/>
    <cellStyle name="Normal 2 3 7 7 6" xfId="27100"/>
    <cellStyle name="Normal 2 3 7 7 7" xfId="34069"/>
    <cellStyle name="Normal 2 3 7 8" xfId="7177"/>
    <cellStyle name="Normal 2 3 7 8 2" xfId="15661"/>
    <cellStyle name="Normal 2 3 7 8 2 2" xfId="22628"/>
    <cellStyle name="Normal 2 3 7 8 2 3" xfId="29595"/>
    <cellStyle name="Normal 2 3 7 8 2 4" xfId="36564"/>
    <cellStyle name="Normal 2 3 7 8 3" xfId="13339"/>
    <cellStyle name="Normal 2 3 7 8 4" xfId="20306"/>
    <cellStyle name="Normal 2 3 7 8 5" xfId="27273"/>
    <cellStyle name="Normal 2 3 7 8 6" xfId="34242"/>
    <cellStyle name="Normal 2 3 7 9" xfId="8076"/>
    <cellStyle name="Normal 2 3 7 9 2" xfId="15834"/>
    <cellStyle name="Normal 2 3 7 9 2 2" xfId="22801"/>
    <cellStyle name="Normal 2 3 7 9 2 3" xfId="29768"/>
    <cellStyle name="Normal 2 3 7 9 2 4" xfId="36737"/>
    <cellStyle name="Normal 2 3 7 9 3" xfId="11190"/>
    <cellStyle name="Normal 2 3 7 9 4" xfId="18157"/>
    <cellStyle name="Normal 2 3 7 9 5" xfId="25124"/>
    <cellStyle name="Normal 2 3 7 9 6" xfId="32092"/>
    <cellStyle name="Normal 2 3 8" xfId="1718"/>
    <cellStyle name="Normal 2 3 8 10" xfId="13513"/>
    <cellStyle name="Normal 2 3 8 10 2" xfId="20480"/>
    <cellStyle name="Normal 2 3 8 10 3" xfId="27447"/>
    <cellStyle name="Normal 2 3 8 10 4" xfId="34416"/>
    <cellStyle name="Normal 2 3 8 11" xfId="11018"/>
    <cellStyle name="Normal 2 3 8 12" xfId="17984"/>
    <cellStyle name="Normal 2 3 8 13" xfId="24952"/>
    <cellStyle name="Normal 2 3 8 14" xfId="31920"/>
    <cellStyle name="Normal 2 3 8 2" xfId="3318"/>
    <cellStyle name="Normal 2 3 8 2 2" xfId="5481"/>
    <cellStyle name="Normal 2 3 8 2 2 2" xfId="10313"/>
    <cellStyle name="Normal 2 3 8 2 2 2 2" xfId="17311"/>
    <cellStyle name="Normal 2 3 8 2 2 2 3" xfId="24278"/>
    <cellStyle name="Normal 2 3 8 2 2 2 4" xfId="31245"/>
    <cellStyle name="Normal 2 3 8 2 2 2 5" xfId="38214"/>
    <cellStyle name="Normal 2 3 8 2 2 3" xfId="14991"/>
    <cellStyle name="Normal 2 3 8 2 2 3 2" xfId="21958"/>
    <cellStyle name="Normal 2 3 8 2 2 3 3" xfId="28925"/>
    <cellStyle name="Normal 2 3 8 2 2 3 4" xfId="35894"/>
    <cellStyle name="Normal 2 3 8 2 2 4" xfId="12669"/>
    <cellStyle name="Normal 2 3 8 2 2 5" xfId="19636"/>
    <cellStyle name="Normal 2 3 8 2 2 6" xfId="26603"/>
    <cellStyle name="Normal 2 3 8 2 2 7" xfId="33571"/>
    <cellStyle name="Normal 2 3 8 2 3" xfId="8952"/>
    <cellStyle name="Normal 2 3 8 2 3 2" xfId="16004"/>
    <cellStyle name="Normal 2 3 8 2 3 3" xfId="22971"/>
    <cellStyle name="Normal 2 3 8 2 3 4" xfId="29938"/>
    <cellStyle name="Normal 2 3 8 2 3 5" xfId="36907"/>
    <cellStyle name="Normal 2 3 8 2 4" xfId="13682"/>
    <cellStyle name="Normal 2 3 8 2 4 2" xfId="20649"/>
    <cellStyle name="Normal 2 3 8 2 4 3" xfId="27616"/>
    <cellStyle name="Normal 2 3 8 2 4 4" xfId="34585"/>
    <cellStyle name="Normal 2 3 8 2 5" xfId="11360"/>
    <cellStyle name="Normal 2 3 8 2 6" xfId="18327"/>
    <cellStyle name="Normal 2 3 8 2 7" xfId="25294"/>
    <cellStyle name="Normal 2 3 8 2 8" xfId="32262"/>
    <cellStyle name="Normal 2 3 8 3" xfId="3520"/>
    <cellStyle name="Normal 2 3 8 3 2" xfId="5482"/>
    <cellStyle name="Normal 2 3 8 3 2 2" xfId="10314"/>
    <cellStyle name="Normal 2 3 8 3 2 2 2" xfId="17312"/>
    <cellStyle name="Normal 2 3 8 3 2 2 3" xfId="24279"/>
    <cellStyle name="Normal 2 3 8 3 2 2 4" xfId="31246"/>
    <cellStyle name="Normal 2 3 8 3 2 2 5" xfId="38215"/>
    <cellStyle name="Normal 2 3 8 3 2 3" xfId="14992"/>
    <cellStyle name="Normal 2 3 8 3 2 3 2" xfId="21959"/>
    <cellStyle name="Normal 2 3 8 3 2 3 3" xfId="28926"/>
    <cellStyle name="Normal 2 3 8 3 2 3 4" xfId="35895"/>
    <cellStyle name="Normal 2 3 8 3 2 4" xfId="12670"/>
    <cellStyle name="Normal 2 3 8 3 2 5" xfId="19637"/>
    <cellStyle name="Normal 2 3 8 3 2 6" xfId="26604"/>
    <cellStyle name="Normal 2 3 8 3 2 7" xfId="33572"/>
    <cellStyle name="Normal 2 3 8 3 3" xfId="9132"/>
    <cellStyle name="Normal 2 3 8 3 3 2" xfId="16171"/>
    <cellStyle name="Normal 2 3 8 3 3 3" xfId="23138"/>
    <cellStyle name="Normal 2 3 8 3 3 4" xfId="30105"/>
    <cellStyle name="Normal 2 3 8 3 3 5" xfId="37074"/>
    <cellStyle name="Normal 2 3 8 3 4" xfId="13851"/>
    <cellStyle name="Normal 2 3 8 3 4 2" xfId="20818"/>
    <cellStyle name="Normal 2 3 8 3 4 3" xfId="27785"/>
    <cellStyle name="Normal 2 3 8 3 4 4" xfId="34754"/>
    <cellStyle name="Normal 2 3 8 3 5" xfId="11529"/>
    <cellStyle name="Normal 2 3 8 3 6" xfId="18496"/>
    <cellStyle name="Normal 2 3 8 3 7" xfId="25463"/>
    <cellStyle name="Normal 2 3 8 3 8" xfId="32431"/>
    <cellStyle name="Normal 2 3 8 4" xfId="3695"/>
    <cellStyle name="Normal 2 3 8 4 2" xfId="5483"/>
    <cellStyle name="Normal 2 3 8 4 2 2" xfId="10315"/>
    <cellStyle name="Normal 2 3 8 4 2 2 2" xfId="17313"/>
    <cellStyle name="Normal 2 3 8 4 2 2 3" xfId="24280"/>
    <cellStyle name="Normal 2 3 8 4 2 2 4" xfId="31247"/>
    <cellStyle name="Normal 2 3 8 4 2 2 5" xfId="38216"/>
    <cellStyle name="Normal 2 3 8 4 2 3" xfId="14993"/>
    <cellStyle name="Normal 2 3 8 4 2 3 2" xfId="21960"/>
    <cellStyle name="Normal 2 3 8 4 2 3 3" xfId="28927"/>
    <cellStyle name="Normal 2 3 8 4 2 3 4" xfId="35896"/>
    <cellStyle name="Normal 2 3 8 4 2 4" xfId="12671"/>
    <cellStyle name="Normal 2 3 8 4 2 5" xfId="19638"/>
    <cellStyle name="Normal 2 3 8 4 2 6" xfId="26605"/>
    <cellStyle name="Normal 2 3 8 4 2 7" xfId="33573"/>
    <cellStyle name="Normal 2 3 8 4 3" xfId="9303"/>
    <cellStyle name="Normal 2 3 8 4 3 2" xfId="16342"/>
    <cellStyle name="Normal 2 3 8 4 3 3" xfId="23309"/>
    <cellStyle name="Normal 2 3 8 4 3 4" xfId="30276"/>
    <cellStyle name="Normal 2 3 8 4 3 5" xfId="37245"/>
    <cellStyle name="Normal 2 3 8 4 4" xfId="14022"/>
    <cellStyle name="Normal 2 3 8 4 4 2" xfId="20989"/>
    <cellStyle name="Normal 2 3 8 4 4 3" xfId="27956"/>
    <cellStyle name="Normal 2 3 8 4 4 4" xfId="34925"/>
    <cellStyle name="Normal 2 3 8 4 5" xfId="11700"/>
    <cellStyle name="Normal 2 3 8 4 6" xfId="18667"/>
    <cellStyle name="Normal 2 3 8 4 7" xfId="25634"/>
    <cellStyle name="Normal 2 3 8 4 8" xfId="32602"/>
    <cellStyle name="Normal 2 3 8 5" xfId="3972"/>
    <cellStyle name="Normal 2 3 8 5 2" xfId="5484"/>
    <cellStyle name="Normal 2 3 8 5 2 2" xfId="10316"/>
    <cellStyle name="Normal 2 3 8 5 2 2 2" xfId="17314"/>
    <cellStyle name="Normal 2 3 8 5 2 2 3" xfId="24281"/>
    <cellStyle name="Normal 2 3 8 5 2 2 4" xfId="31248"/>
    <cellStyle name="Normal 2 3 8 5 2 2 5" xfId="38217"/>
    <cellStyle name="Normal 2 3 8 5 2 3" xfId="14994"/>
    <cellStyle name="Normal 2 3 8 5 2 3 2" xfId="21961"/>
    <cellStyle name="Normal 2 3 8 5 2 3 3" xfId="28928"/>
    <cellStyle name="Normal 2 3 8 5 2 3 4" xfId="35897"/>
    <cellStyle name="Normal 2 3 8 5 2 4" xfId="12672"/>
    <cellStyle name="Normal 2 3 8 5 2 5" xfId="19639"/>
    <cellStyle name="Normal 2 3 8 5 2 6" xfId="26606"/>
    <cellStyle name="Normal 2 3 8 5 2 7" xfId="33574"/>
    <cellStyle name="Normal 2 3 8 5 3" xfId="9578"/>
    <cellStyle name="Normal 2 3 8 5 3 2" xfId="16614"/>
    <cellStyle name="Normal 2 3 8 5 3 3" xfId="23581"/>
    <cellStyle name="Normal 2 3 8 5 3 4" xfId="30548"/>
    <cellStyle name="Normal 2 3 8 5 3 5" xfId="37517"/>
    <cellStyle name="Normal 2 3 8 5 4" xfId="14294"/>
    <cellStyle name="Normal 2 3 8 5 4 2" xfId="21261"/>
    <cellStyle name="Normal 2 3 8 5 4 3" xfId="28228"/>
    <cellStyle name="Normal 2 3 8 5 4 4" xfId="35197"/>
    <cellStyle name="Normal 2 3 8 5 5" xfId="11972"/>
    <cellStyle name="Normal 2 3 8 5 6" xfId="18939"/>
    <cellStyle name="Normal 2 3 8 5 7" xfId="25906"/>
    <cellStyle name="Normal 2 3 8 5 8" xfId="32874"/>
    <cellStyle name="Normal 2 3 8 6" xfId="5480"/>
    <cellStyle name="Normal 2 3 8 6 2" xfId="10312"/>
    <cellStyle name="Normal 2 3 8 6 2 2" xfId="17310"/>
    <cellStyle name="Normal 2 3 8 6 2 3" xfId="24277"/>
    <cellStyle name="Normal 2 3 8 6 2 4" xfId="31244"/>
    <cellStyle name="Normal 2 3 8 6 2 5" xfId="38213"/>
    <cellStyle name="Normal 2 3 8 6 3" xfId="14990"/>
    <cellStyle name="Normal 2 3 8 6 3 2" xfId="21957"/>
    <cellStyle name="Normal 2 3 8 6 3 3" xfId="28924"/>
    <cellStyle name="Normal 2 3 8 6 3 4" xfId="35893"/>
    <cellStyle name="Normal 2 3 8 6 4" xfId="12668"/>
    <cellStyle name="Normal 2 3 8 6 5" xfId="19635"/>
    <cellStyle name="Normal 2 3 8 6 6" xfId="26602"/>
    <cellStyle name="Normal 2 3 8 6 7" xfId="33570"/>
    <cellStyle name="Normal 2 3 8 7" xfId="6866"/>
    <cellStyle name="Normal 2 3 8 7 2" xfId="10835"/>
    <cellStyle name="Normal 2 3 8 7 2 2" xfId="17809"/>
    <cellStyle name="Normal 2 3 8 7 2 3" xfId="24776"/>
    <cellStyle name="Normal 2 3 8 7 2 4" xfId="31743"/>
    <cellStyle name="Normal 2 3 8 7 2 5" xfId="38712"/>
    <cellStyle name="Normal 2 3 8 7 3" xfId="15489"/>
    <cellStyle name="Normal 2 3 8 7 3 2" xfId="22456"/>
    <cellStyle name="Normal 2 3 8 7 3 3" xfId="29423"/>
    <cellStyle name="Normal 2 3 8 7 3 4" xfId="36392"/>
    <cellStyle name="Normal 2 3 8 7 4" xfId="13167"/>
    <cellStyle name="Normal 2 3 8 7 5" xfId="20134"/>
    <cellStyle name="Normal 2 3 8 7 6" xfId="27101"/>
    <cellStyle name="Normal 2 3 8 7 7" xfId="34070"/>
    <cellStyle name="Normal 2 3 8 8" xfId="7178"/>
    <cellStyle name="Normal 2 3 8 8 2" xfId="15662"/>
    <cellStyle name="Normal 2 3 8 8 2 2" xfId="22629"/>
    <cellStyle name="Normal 2 3 8 8 2 3" xfId="29596"/>
    <cellStyle name="Normal 2 3 8 8 2 4" xfId="36565"/>
    <cellStyle name="Normal 2 3 8 8 3" xfId="13340"/>
    <cellStyle name="Normal 2 3 8 8 4" xfId="20307"/>
    <cellStyle name="Normal 2 3 8 8 5" xfId="27274"/>
    <cellStyle name="Normal 2 3 8 8 6" xfId="34243"/>
    <cellStyle name="Normal 2 3 8 9" xfId="8077"/>
    <cellStyle name="Normal 2 3 8 9 2" xfId="15835"/>
    <cellStyle name="Normal 2 3 8 9 2 2" xfId="22802"/>
    <cellStyle name="Normal 2 3 8 9 2 3" xfId="29769"/>
    <cellStyle name="Normal 2 3 8 9 2 4" xfId="36738"/>
    <cellStyle name="Normal 2 3 8 9 3" xfId="11191"/>
    <cellStyle name="Normal 2 3 8 9 4" xfId="18158"/>
    <cellStyle name="Normal 2 3 8 9 5" xfId="25125"/>
    <cellStyle name="Normal 2 3 8 9 6" xfId="32093"/>
    <cellStyle name="Normal 2 3 9" xfId="3822"/>
    <cellStyle name="Normal 2 3 9 2" xfId="5485"/>
    <cellStyle name="Normal 2 3 9 2 2" xfId="10317"/>
    <cellStyle name="Normal 2 3 9 2 2 2" xfId="17315"/>
    <cellStyle name="Normal 2 3 9 2 2 3" xfId="24282"/>
    <cellStyle name="Normal 2 3 9 2 2 4" xfId="31249"/>
    <cellStyle name="Normal 2 3 9 2 2 5" xfId="38218"/>
    <cellStyle name="Normal 2 3 9 2 3" xfId="14995"/>
    <cellStyle name="Normal 2 3 9 2 3 2" xfId="21962"/>
    <cellStyle name="Normal 2 3 9 2 3 3" xfId="28929"/>
    <cellStyle name="Normal 2 3 9 2 3 4" xfId="35898"/>
    <cellStyle name="Normal 2 3 9 2 4" xfId="12673"/>
    <cellStyle name="Normal 2 3 9 2 5" xfId="19640"/>
    <cellStyle name="Normal 2 3 9 2 6" xfId="26607"/>
    <cellStyle name="Normal 2 3 9 2 7" xfId="33575"/>
    <cellStyle name="Normal 2 3 9 3" xfId="9428"/>
    <cellStyle name="Normal 2 3 9 3 2" xfId="16466"/>
    <cellStyle name="Normal 2 3 9 3 3" xfId="23433"/>
    <cellStyle name="Normal 2 3 9 3 4" xfId="30400"/>
    <cellStyle name="Normal 2 3 9 3 5" xfId="37369"/>
    <cellStyle name="Normal 2 3 9 4" xfId="14146"/>
    <cellStyle name="Normal 2 3 9 4 2" xfId="21113"/>
    <cellStyle name="Normal 2 3 9 4 3" xfId="28080"/>
    <cellStyle name="Normal 2 3 9 4 4" xfId="35049"/>
    <cellStyle name="Normal 2 3 9 5" xfId="11824"/>
    <cellStyle name="Normal 2 3 9 6" xfId="18791"/>
    <cellStyle name="Normal 2 3 9 7" xfId="25758"/>
    <cellStyle name="Normal 2 3 9 8" xfId="32726"/>
    <cellStyle name="Normal 2 4" xfId="1719"/>
    <cellStyle name="Normal 2 4 2" xfId="1720"/>
    <cellStyle name="Normal 2 4 2 2" xfId="5487"/>
    <cellStyle name="Normal 2 4 2 3" xfId="8079"/>
    <cellStyle name="Normal 2 4 3" xfId="1721"/>
    <cellStyle name="Normal 2 4 3 2" xfId="5488"/>
    <cellStyle name="Normal 2 4 3 3" xfId="8080"/>
    <cellStyle name="Normal 2 4 4" xfId="5486"/>
    <cellStyle name="Normal 2 4 5" xfId="8078"/>
    <cellStyle name="Normal 2 5" xfId="1722"/>
    <cellStyle name="Normal 2 5 2" xfId="5489"/>
    <cellStyle name="Normal 2 5 3" xfId="8081"/>
    <cellStyle name="Normal 2 6" xfId="1723"/>
    <cellStyle name="Normal 2 6 2" xfId="5490"/>
    <cellStyle name="Normal 2 6 3" xfId="8082"/>
    <cellStyle name="Normal 2 7" xfId="1724"/>
    <cellStyle name="Normal 2 7 2" xfId="5491"/>
    <cellStyle name="Normal 2 7 3" xfId="8083"/>
    <cellStyle name="Normal 2 8" xfId="1725"/>
    <cellStyle name="Normal 2 8 10" xfId="8084"/>
    <cellStyle name="Normal 2 8 10 2" xfId="15836"/>
    <cellStyle name="Normal 2 8 10 2 2" xfId="22803"/>
    <cellStyle name="Normal 2 8 10 2 3" xfId="29770"/>
    <cellStyle name="Normal 2 8 10 2 4" xfId="36739"/>
    <cellStyle name="Normal 2 8 10 3" xfId="11192"/>
    <cellStyle name="Normal 2 8 10 4" xfId="18159"/>
    <cellStyle name="Normal 2 8 10 5" xfId="25126"/>
    <cellStyle name="Normal 2 8 10 6" xfId="32094"/>
    <cellStyle name="Normal 2 8 11" xfId="13514"/>
    <cellStyle name="Normal 2 8 11 2" xfId="20481"/>
    <cellStyle name="Normal 2 8 11 3" xfId="27448"/>
    <cellStyle name="Normal 2 8 11 4" xfId="34417"/>
    <cellStyle name="Normal 2 8 12" xfId="11019"/>
    <cellStyle name="Normal 2 8 13" xfId="17985"/>
    <cellStyle name="Normal 2 8 14" xfId="24953"/>
    <cellStyle name="Normal 2 8 15" xfId="31921"/>
    <cellStyle name="Normal 2 8 2" xfId="1726"/>
    <cellStyle name="Normal 2 8 2 10" xfId="13515"/>
    <cellStyle name="Normal 2 8 2 10 2" xfId="20482"/>
    <cellStyle name="Normal 2 8 2 10 3" xfId="27449"/>
    <cellStyle name="Normal 2 8 2 10 4" xfId="34418"/>
    <cellStyle name="Normal 2 8 2 11" xfId="11020"/>
    <cellStyle name="Normal 2 8 2 12" xfId="17986"/>
    <cellStyle name="Normal 2 8 2 13" xfId="24954"/>
    <cellStyle name="Normal 2 8 2 14" xfId="31922"/>
    <cellStyle name="Normal 2 8 2 2" xfId="3320"/>
    <cellStyle name="Normal 2 8 2 2 2" xfId="5494"/>
    <cellStyle name="Normal 2 8 2 2 2 2" xfId="10320"/>
    <cellStyle name="Normal 2 8 2 2 2 2 2" xfId="17318"/>
    <cellStyle name="Normal 2 8 2 2 2 2 3" xfId="24285"/>
    <cellStyle name="Normal 2 8 2 2 2 2 4" xfId="31252"/>
    <cellStyle name="Normal 2 8 2 2 2 2 5" xfId="38221"/>
    <cellStyle name="Normal 2 8 2 2 2 3" xfId="14998"/>
    <cellStyle name="Normal 2 8 2 2 2 3 2" xfId="21965"/>
    <cellStyle name="Normal 2 8 2 2 2 3 3" xfId="28932"/>
    <cellStyle name="Normal 2 8 2 2 2 3 4" xfId="35901"/>
    <cellStyle name="Normal 2 8 2 2 2 4" xfId="12676"/>
    <cellStyle name="Normal 2 8 2 2 2 5" xfId="19643"/>
    <cellStyle name="Normal 2 8 2 2 2 6" xfId="26610"/>
    <cellStyle name="Normal 2 8 2 2 2 7" xfId="33578"/>
    <cellStyle name="Normal 2 8 2 2 3" xfId="8954"/>
    <cellStyle name="Normal 2 8 2 2 3 2" xfId="16006"/>
    <cellStyle name="Normal 2 8 2 2 3 3" xfId="22973"/>
    <cellStyle name="Normal 2 8 2 2 3 4" xfId="29940"/>
    <cellStyle name="Normal 2 8 2 2 3 5" xfId="36909"/>
    <cellStyle name="Normal 2 8 2 2 4" xfId="13684"/>
    <cellStyle name="Normal 2 8 2 2 4 2" xfId="20651"/>
    <cellStyle name="Normal 2 8 2 2 4 3" xfId="27618"/>
    <cellStyle name="Normal 2 8 2 2 4 4" xfId="34587"/>
    <cellStyle name="Normal 2 8 2 2 5" xfId="11362"/>
    <cellStyle name="Normal 2 8 2 2 6" xfId="18329"/>
    <cellStyle name="Normal 2 8 2 2 7" xfId="25296"/>
    <cellStyle name="Normal 2 8 2 2 8" xfId="32264"/>
    <cellStyle name="Normal 2 8 2 3" xfId="3522"/>
    <cellStyle name="Normal 2 8 2 3 2" xfId="5495"/>
    <cellStyle name="Normal 2 8 2 3 2 2" xfId="10321"/>
    <cellStyle name="Normal 2 8 2 3 2 2 2" xfId="17319"/>
    <cellStyle name="Normal 2 8 2 3 2 2 3" xfId="24286"/>
    <cellStyle name="Normal 2 8 2 3 2 2 4" xfId="31253"/>
    <cellStyle name="Normal 2 8 2 3 2 2 5" xfId="38222"/>
    <cellStyle name="Normal 2 8 2 3 2 3" xfId="14999"/>
    <cellStyle name="Normal 2 8 2 3 2 3 2" xfId="21966"/>
    <cellStyle name="Normal 2 8 2 3 2 3 3" xfId="28933"/>
    <cellStyle name="Normal 2 8 2 3 2 3 4" xfId="35902"/>
    <cellStyle name="Normal 2 8 2 3 2 4" xfId="12677"/>
    <cellStyle name="Normal 2 8 2 3 2 5" xfId="19644"/>
    <cellStyle name="Normal 2 8 2 3 2 6" xfId="26611"/>
    <cellStyle name="Normal 2 8 2 3 2 7" xfId="33579"/>
    <cellStyle name="Normal 2 8 2 3 3" xfId="9134"/>
    <cellStyle name="Normal 2 8 2 3 3 2" xfId="16173"/>
    <cellStyle name="Normal 2 8 2 3 3 3" xfId="23140"/>
    <cellStyle name="Normal 2 8 2 3 3 4" xfId="30107"/>
    <cellStyle name="Normal 2 8 2 3 3 5" xfId="37076"/>
    <cellStyle name="Normal 2 8 2 3 4" xfId="13853"/>
    <cellStyle name="Normal 2 8 2 3 4 2" xfId="20820"/>
    <cellStyle name="Normal 2 8 2 3 4 3" xfId="27787"/>
    <cellStyle name="Normal 2 8 2 3 4 4" xfId="34756"/>
    <cellStyle name="Normal 2 8 2 3 5" xfId="11531"/>
    <cellStyle name="Normal 2 8 2 3 6" xfId="18498"/>
    <cellStyle name="Normal 2 8 2 3 7" xfId="25465"/>
    <cellStyle name="Normal 2 8 2 3 8" xfId="32433"/>
    <cellStyle name="Normal 2 8 2 4" xfId="3697"/>
    <cellStyle name="Normal 2 8 2 4 2" xfId="5496"/>
    <cellStyle name="Normal 2 8 2 4 2 2" xfId="10322"/>
    <cellStyle name="Normal 2 8 2 4 2 2 2" xfId="17320"/>
    <cellStyle name="Normal 2 8 2 4 2 2 3" xfId="24287"/>
    <cellStyle name="Normal 2 8 2 4 2 2 4" xfId="31254"/>
    <cellStyle name="Normal 2 8 2 4 2 2 5" xfId="38223"/>
    <cellStyle name="Normal 2 8 2 4 2 3" xfId="15000"/>
    <cellStyle name="Normal 2 8 2 4 2 3 2" xfId="21967"/>
    <cellStyle name="Normal 2 8 2 4 2 3 3" xfId="28934"/>
    <cellStyle name="Normal 2 8 2 4 2 3 4" xfId="35903"/>
    <cellStyle name="Normal 2 8 2 4 2 4" xfId="12678"/>
    <cellStyle name="Normal 2 8 2 4 2 5" xfId="19645"/>
    <cellStyle name="Normal 2 8 2 4 2 6" xfId="26612"/>
    <cellStyle name="Normal 2 8 2 4 2 7" xfId="33580"/>
    <cellStyle name="Normal 2 8 2 4 3" xfId="9305"/>
    <cellStyle name="Normal 2 8 2 4 3 2" xfId="16344"/>
    <cellStyle name="Normal 2 8 2 4 3 3" xfId="23311"/>
    <cellStyle name="Normal 2 8 2 4 3 4" xfId="30278"/>
    <cellStyle name="Normal 2 8 2 4 3 5" xfId="37247"/>
    <cellStyle name="Normal 2 8 2 4 4" xfId="14024"/>
    <cellStyle name="Normal 2 8 2 4 4 2" xfId="20991"/>
    <cellStyle name="Normal 2 8 2 4 4 3" xfId="27958"/>
    <cellStyle name="Normal 2 8 2 4 4 4" xfId="34927"/>
    <cellStyle name="Normal 2 8 2 4 5" xfId="11702"/>
    <cellStyle name="Normal 2 8 2 4 6" xfId="18669"/>
    <cellStyle name="Normal 2 8 2 4 7" xfId="25636"/>
    <cellStyle name="Normal 2 8 2 4 8" xfId="32604"/>
    <cellStyle name="Normal 2 8 2 5" xfId="3974"/>
    <cellStyle name="Normal 2 8 2 5 2" xfId="5497"/>
    <cellStyle name="Normal 2 8 2 5 2 2" xfId="10323"/>
    <cellStyle name="Normal 2 8 2 5 2 2 2" xfId="17321"/>
    <cellStyle name="Normal 2 8 2 5 2 2 3" xfId="24288"/>
    <cellStyle name="Normal 2 8 2 5 2 2 4" xfId="31255"/>
    <cellStyle name="Normal 2 8 2 5 2 2 5" xfId="38224"/>
    <cellStyle name="Normal 2 8 2 5 2 3" xfId="15001"/>
    <cellStyle name="Normal 2 8 2 5 2 3 2" xfId="21968"/>
    <cellStyle name="Normal 2 8 2 5 2 3 3" xfId="28935"/>
    <cellStyle name="Normal 2 8 2 5 2 3 4" xfId="35904"/>
    <cellStyle name="Normal 2 8 2 5 2 4" xfId="12679"/>
    <cellStyle name="Normal 2 8 2 5 2 5" xfId="19646"/>
    <cellStyle name="Normal 2 8 2 5 2 6" xfId="26613"/>
    <cellStyle name="Normal 2 8 2 5 2 7" xfId="33581"/>
    <cellStyle name="Normal 2 8 2 5 3" xfId="9580"/>
    <cellStyle name="Normal 2 8 2 5 3 2" xfId="16616"/>
    <cellStyle name="Normal 2 8 2 5 3 3" xfId="23583"/>
    <cellStyle name="Normal 2 8 2 5 3 4" xfId="30550"/>
    <cellStyle name="Normal 2 8 2 5 3 5" xfId="37519"/>
    <cellStyle name="Normal 2 8 2 5 4" xfId="14296"/>
    <cellStyle name="Normal 2 8 2 5 4 2" xfId="21263"/>
    <cellStyle name="Normal 2 8 2 5 4 3" xfId="28230"/>
    <cellStyle name="Normal 2 8 2 5 4 4" xfId="35199"/>
    <cellStyle name="Normal 2 8 2 5 5" xfId="11974"/>
    <cellStyle name="Normal 2 8 2 5 6" xfId="18941"/>
    <cellStyle name="Normal 2 8 2 5 7" xfId="25908"/>
    <cellStyle name="Normal 2 8 2 5 8" xfId="32876"/>
    <cellStyle name="Normal 2 8 2 6" xfId="5493"/>
    <cellStyle name="Normal 2 8 2 6 2" xfId="10319"/>
    <cellStyle name="Normal 2 8 2 6 2 2" xfId="17317"/>
    <cellStyle name="Normal 2 8 2 6 2 3" xfId="24284"/>
    <cellStyle name="Normal 2 8 2 6 2 4" xfId="31251"/>
    <cellStyle name="Normal 2 8 2 6 2 5" xfId="38220"/>
    <cellStyle name="Normal 2 8 2 6 3" xfId="14997"/>
    <cellStyle name="Normal 2 8 2 6 3 2" xfId="21964"/>
    <cellStyle name="Normal 2 8 2 6 3 3" xfId="28931"/>
    <cellStyle name="Normal 2 8 2 6 3 4" xfId="35900"/>
    <cellStyle name="Normal 2 8 2 6 4" xfId="12675"/>
    <cellStyle name="Normal 2 8 2 6 5" xfId="19642"/>
    <cellStyle name="Normal 2 8 2 6 6" xfId="26609"/>
    <cellStyle name="Normal 2 8 2 6 7" xfId="33577"/>
    <cellStyle name="Normal 2 8 2 7" xfId="6868"/>
    <cellStyle name="Normal 2 8 2 7 2" xfId="10837"/>
    <cellStyle name="Normal 2 8 2 7 2 2" xfId="17811"/>
    <cellStyle name="Normal 2 8 2 7 2 3" xfId="24778"/>
    <cellStyle name="Normal 2 8 2 7 2 4" xfId="31745"/>
    <cellStyle name="Normal 2 8 2 7 2 5" xfId="38714"/>
    <cellStyle name="Normal 2 8 2 7 3" xfId="15491"/>
    <cellStyle name="Normal 2 8 2 7 3 2" xfId="22458"/>
    <cellStyle name="Normal 2 8 2 7 3 3" xfId="29425"/>
    <cellStyle name="Normal 2 8 2 7 3 4" xfId="36394"/>
    <cellStyle name="Normal 2 8 2 7 4" xfId="13169"/>
    <cellStyle name="Normal 2 8 2 7 5" xfId="20136"/>
    <cellStyle name="Normal 2 8 2 7 6" xfId="27103"/>
    <cellStyle name="Normal 2 8 2 7 7" xfId="34072"/>
    <cellStyle name="Normal 2 8 2 8" xfId="7180"/>
    <cellStyle name="Normal 2 8 2 8 2" xfId="15664"/>
    <cellStyle name="Normal 2 8 2 8 2 2" xfId="22631"/>
    <cellStyle name="Normal 2 8 2 8 2 3" xfId="29598"/>
    <cellStyle name="Normal 2 8 2 8 2 4" xfId="36567"/>
    <cellStyle name="Normal 2 8 2 8 3" xfId="13342"/>
    <cellStyle name="Normal 2 8 2 8 4" xfId="20309"/>
    <cellStyle name="Normal 2 8 2 8 5" xfId="27276"/>
    <cellStyle name="Normal 2 8 2 8 6" xfId="34245"/>
    <cellStyle name="Normal 2 8 2 9" xfId="8085"/>
    <cellStyle name="Normal 2 8 2 9 2" xfId="15837"/>
    <cellStyle name="Normal 2 8 2 9 2 2" xfId="22804"/>
    <cellStyle name="Normal 2 8 2 9 2 3" xfId="29771"/>
    <cellStyle name="Normal 2 8 2 9 2 4" xfId="36740"/>
    <cellStyle name="Normal 2 8 2 9 3" xfId="11193"/>
    <cellStyle name="Normal 2 8 2 9 4" xfId="18160"/>
    <cellStyle name="Normal 2 8 2 9 5" xfId="25127"/>
    <cellStyle name="Normal 2 8 2 9 6" xfId="32095"/>
    <cellStyle name="Normal 2 8 3" xfId="3319"/>
    <cellStyle name="Normal 2 8 3 2" xfId="5498"/>
    <cellStyle name="Normal 2 8 3 2 2" xfId="10324"/>
    <cellStyle name="Normal 2 8 3 2 2 2" xfId="17322"/>
    <cellStyle name="Normal 2 8 3 2 2 3" xfId="24289"/>
    <cellStyle name="Normal 2 8 3 2 2 4" xfId="31256"/>
    <cellStyle name="Normal 2 8 3 2 2 5" xfId="38225"/>
    <cellStyle name="Normal 2 8 3 2 3" xfId="15002"/>
    <cellStyle name="Normal 2 8 3 2 3 2" xfId="21969"/>
    <cellStyle name="Normal 2 8 3 2 3 3" xfId="28936"/>
    <cellStyle name="Normal 2 8 3 2 3 4" xfId="35905"/>
    <cellStyle name="Normal 2 8 3 2 4" xfId="12680"/>
    <cellStyle name="Normal 2 8 3 2 5" xfId="19647"/>
    <cellStyle name="Normal 2 8 3 2 6" xfId="26614"/>
    <cellStyle name="Normal 2 8 3 2 7" xfId="33582"/>
    <cellStyle name="Normal 2 8 3 3" xfId="8953"/>
    <cellStyle name="Normal 2 8 3 3 2" xfId="16005"/>
    <cellStyle name="Normal 2 8 3 3 3" xfId="22972"/>
    <cellStyle name="Normal 2 8 3 3 4" xfId="29939"/>
    <cellStyle name="Normal 2 8 3 3 5" xfId="36908"/>
    <cellStyle name="Normal 2 8 3 4" xfId="13683"/>
    <cellStyle name="Normal 2 8 3 4 2" xfId="20650"/>
    <cellStyle name="Normal 2 8 3 4 3" xfId="27617"/>
    <cellStyle name="Normal 2 8 3 4 4" xfId="34586"/>
    <cellStyle name="Normal 2 8 3 5" xfId="11361"/>
    <cellStyle name="Normal 2 8 3 6" xfId="18328"/>
    <cellStyle name="Normal 2 8 3 7" xfId="25295"/>
    <cellStyle name="Normal 2 8 3 8" xfId="32263"/>
    <cellStyle name="Normal 2 8 4" xfId="3521"/>
    <cellStyle name="Normal 2 8 4 2" xfId="5499"/>
    <cellStyle name="Normal 2 8 4 2 2" xfId="10325"/>
    <cellStyle name="Normal 2 8 4 2 2 2" xfId="17323"/>
    <cellStyle name="Normal 2 8 4 2 2 3" xfId="24290"/>
    <cellStyle name="Normal 2 8 4 2 2 4" xfId="31257"/>
    <cellStyle name="Normal 2 8 4 2 2 5" xfId="38226"/>
    <cellStyle name="Normal 2 8 4 2 3" xfId="15003"/>
    <cellStyle name="Normal 2 8 4 2 3 2" xfId="21970"/>
    <cellStyle name="Normal 2 8 4 2 3 3" xfId="28937"/>
    <cellStyle name="Normal 2 8 4 2 3 4" xfId="35906"/>
    <cellStyle name="Normal 2 8 4 2 4" xfId="12681"/>
    <cellStyle name="Normal 2 8 4 2 5" xfId="19648"/>
    <cellStyle name="Normal 2 8 4 2 6" xfId="26615"/>
    <cellStyle name="Normal 2 8 4 2 7" xfId="33583"/>
    <cellStyle name="Normal 2 8 4 3" xfId="9133"/>
    <cellStyle name="Normal 2 8 4 3 2" xfId="16172"/>
    <cellStyle name="Normal 2 8 4 3 3" xfId="23139"/>
    <cellStyle name="Normal 2 8 4 3 4" xfId="30106"/>
    <cellStyle name="Normal 2 8 4 3 5" xfId="37075"/>
    <cellStyle name="Normal 2 8 4 4" xfId="13852"/>
    <cellStyle name="Normal 2 8 4 4 2" xfId="20819"/>
    <cellStyle name="Normal 2 8 4 4 3" xfId="27786"/>
    <cellStyle name="Normal 2 8 4 4 4" xfId="34755"/>
    <cellStyle name="Normal 2 8 4 5" xfId="11530"/>
    <cellStyle name="Normal 2 8 4 6" xfId="18497"/>
    <cellStyle name="Normal 2 8 4 7" xfId="25464"/>
    <cellStyle name="Normal 2 8 4 8" xfId="32432"/>
    <cellStyle name="Normal 2 8 5" xfId="3696"/>
    <cellStyle name="Normal 2 8 5 2" xfId="5500"/>
    <cellStyle name="Normal 2 8 5 2 2" xfId="10326"/>
    <cellStyle name="Normal 2 8 5 2 2 2" xfId="17324"/>
    <cellStyle name="Normal 2 8 5 2 2 3" xfId="24291"/>
    <cellStyle name="Normal 2 8 5 2 2 4" xfId="31258"/>
    <cellStyle name="Normal 2 8 5 2 2 5" xfId="38227"/>
    <cellStyle name="Normal 2 8 5 2 3" xfId="15004"/>
    <cellStyle name="Normal 2 8 5 2 3 2" xfId="21971"/>
    <cellStyle name="Normal 2 8 5 2 3 3" xfId="28938"/>
    <cellStyle name="Normal 2 8 5 2 3 4" xfId="35907"/>
    <cellStyle name="Normal 2 8 5 2 4" xfId="12682"/>
    <cellStyle name="Normal 2 8 5 2 5" xfId="19649"/>
    <cellStyle name="Normal 2 8 5 2 6" xfId="26616"/>
    <cellStyle name="Normal 2 8 5 2 7" xfId="33584"/>
    <cellStyle name="Normal 2 8 5 3" xfId="9304"/>
    <cellStyle name="Normal 2 8 5 3 2" xfId="16343"/>
    <cellStyle name="Normal 2 8 5 3 3" xfId="23310"/>
    <cellStyle name="Normal 2 8 5 3 4" xfId="30277"/>
    <cellStyle name="Normal 2 8 5 3 5" xfId="37246"/>
    <cellStyle name="Normal 2 8 5 4" xfId="14023"/>
    <cellStyle name="Normal 2 8 5 4 2" xfId="20990"/>
    <cellStyle name="Normal 2 8 5 4 3" xfId="27957"/>
    <cellStyle name="Normal 2 8 5 4 4" xfId="34926"/>
    <cellStyle name="Normal 2 8 5 5" xfId="11701"/>
    <cellStyle name="Normal 2 8 5 6" xfId="18668"/>
    <cellStyle name="Normal 2 8 5 7" xfId="25635"/>
    <cellStyle name="Normal 2 8 5 8" xfId="32603"/>
    <cellStyle name="Normal 2 8 6" xfId="3973"/>
    <cellStyle name="Normal 2 8 6 2" xfId="5501"/>
    <cellStyle name="Normal 2 8 6 2 2" xfId="10327"/>
    <cellStyle name="Normal 2 8 6 2 2 2" xfId="17325"/>
    <cellStyle name="Normal 2 8 6 2 2 3" xfId="24292"/>
    <cellStyle name="Normal 2 8 6 2 2 4" xfId="31259"/>
    <cellStyle name="Normal 2 8 6 2 2 5" xfId="38228"/>
    <cellStyle name="Normal 2 8 6 2 3" xfId="15005"/>
    <cellStyle name="Normal 2 8 6 2 3 2" xfId="21972"/>
    <cellStyle name="Normal 2 8 6 2 3 3" xfId="28939"/>
    <cellStyle name="Normal 2 8 6 2 3 4" xfId="35908"/>
    <cellStyle name="Normal 2 8 6 2 4" xfId="12683"/>
    <cellStyle name="Normal 2 8 6 2 5" xfId="19650"/>
    <cellStyle name="Normal 2 8 6 2 6" xfId="26617"/>
    <cellStyle name="Normal 2 8 6 2 7" xfId="33585"/>
    <cellStyle name="Normal 2 8 6 3" xfId="9579"/>
    <cellStyle name="Normal 2 8 6 3 2" xfId="16615"/>
    <cellStyle name="Normal 2 8 6 3 3" xfId="23582"/>
    <cellStyle name="Normal 2 8 6 3 4" xfId="30549"/>
    <cellStyle name="Normal 2 8 6 3 5" xfId="37518"/>
    <cellStyle name="Normal 2 8 6 4" xfId="14295"/>
    <cellStyle name="Normal 2 8 6 4 2" xfId="21262"/>
    <cellStyle name="Normal 2 8 6 4 3" xfId="28229"/>
    <cellStyle name="Normal 2 8 6 4 4" xfId="35198"/>
    <cellStyle name="Normal 2 8 6 5" xfId="11973"/>
    <cellStyle name="Normal 2 8 6 6" xfId="18940"/>
    <cellStyle name="Normal 2 8 6 7" xfId="25907"/>
    <cellStyle name="Normal 2 8 6 8" xfId="32875"/>
    <cellStyle name="Normal 2 8 7" xfId="5492"/>
    <cellStyle name="Normal 2 8 7 2" xfId="10318"/>
    <cellStyle name="Normal 2 8 7 2 2" xfId="17316"/>
    <cellStyle name="Normal 2 8 7 2 3" xfId="24283"/>
    <cellStyle name="Normal 2 8 7 2 4" xfId="31250"/>
    <cellStyle name="Normal 2 8 7 2 5" xfId="38219"/>
    <cellStyle name="Normal 2 8 7 3" xfId="14996"/>
    <cellStyle name="Normal 2 8 7 3 2" xfId="21963"/>
    <cellStyle name="Normal 2 8 7 3 3" xfId="28930"/>
    <cellStyle name="Normal 2 8 7 3 4" xfId="35899"/>
    <cellStyle name="Normal 2 8 7 4" xfId="12674"/>
    <cellStyle name="Normal 2 8 7 5" xfId="19641"/>
    <cellStyle name="Normal 2 8 7 6" xfId="26608"/>
    <cellStyle name="Normal 2 8 7 7" xfId="33576"/>
    <cellStyle name="Normal 2 8 8" xfId="6867"/>
    <cellStyle name="Normal 2 8 8 2" xfId="10836"/>
    <cellStyle name="Normal 2 8 8 2 2" xfId="17810"/>
    <cellStyle name="Normal 2 8 8 2 3" xfId="24777"/>
    <cellStyle name="Normal 2 8 8 2 4" xfId="31744"/>
    <cellStyle name="Normal 2 8 8 2 5" xfId="38713"/>
    <cellStyle name="Normal 2 8 8 3" xfId="15490"/>
    <cellStyle name="Normal 2 8 8 3 2" xfId="22457"/>
    <cellStyle name="Normal 2 8 8 3 3" xfId="29424"/>
    <cellStyle name="Normal 2 8 8 3 4" xfId="36393"/>
    <cellStyle name="Normal 2 8 8 4" xfId="13168"/>
    <cellStyle name="Normal 2 8 8 5" xfId="20135"/>
    <cellStyle name="Normal 2 8 8 6" xfId="27102"/>
    <cellStyle name="Normal 2 8 8 7" xfId="34071"/>
    <cellStyle name="Normal 2 8 9" xfId="7179"/>
    <cellStyle name="Normal 2 8 9 2" xfId="15663"/>
    <cellStyle name="Normal 2 8 9 2 2" xfId="22630"/>
    <cellStyle name="Normal 2 8 9 2 3" xfId="29597"/>
    <cellStyle name="Normal 2 8 9 2 4" xfId="36566"/>
    <cellStyle name="Normal 2 8 9 3" xfId="13341"/>
    <cellStyle name="Normal 2 8 9 4" xfId="20308"/>
    <cellStyle name="Normal 2 8 9 5" xfId="27275"/>
    <cellStyle name="Normal 2 8 9 6" xfId="34244"/>
    <cellStyle name="Normal 2 9" xfId="1727"/>
    <cellStyle name="Normal 2 9 2" xfId="5502"/>
    <cellStyle name="Normal 2 9 3" xfId="8086"/>
    <cellStyle name="Normal 2_Attachment Two A" xfId="1728"/>
    <cellStyle name="Normal 20" xfId="1729"/>
    <cellStyle name="Normal 20 10" xfId="8087"/>
    <cellStyle name="Normal 20 10 2" xfId="15838"/>
    <cellStyle name="Normal 20 10 2 2" xfId="22805"/>
    <cellStyle name="Normal 20 10 2 3" xfId="29772"/>
    <cellStyle name="Normal 20 10 2 4" xfId="36741"/>
    <cellStyle name="Normal 20 10 3" xfId="11194"/>
    <cellStyle name="Normal 20 10 4" xfId="18161"/>
    <cellStyle name="Normal 20 10 5" xfId="25128"/>
    <cellStyle name="Normal 20 10 6" xfId="32096"/>
    <cellStyle name="Normal 20 11" xfId="13516"/>
    <cellStyle name="Normal 20 11 2" xfId="20483"/>
    <cellStyle name="Normal 20 11 3" xfId="27450"/>
    <cellStyle name="Normal 20 11 4" xfId="34419"/>
    <cellStyle name="Normal 20 12" xfId="11021"/>
    <cellStyle name="Normal 20 13" xfId="17987"/>
    <cellStyle name="Normal 20 14" xfId="24955"/>
    <cellStyle name="Normal 20 15" xfId="31923"/>
    <cellStyle name="Normal 20 2" xfId="1730"/>
    <cellStyle name="Normal 20 2 10" xfId="13517"/>
    <cellStyle name="Normal 20 2 10 2" xfId="20484"/>
    <cellStyle name="Normal 20 2 10 3" xfId="27451"/>
    <cellStyle name="Normal 20 2 10 4" xfId="34420"/>
    <cellStyle name="Normal 20 2 11" xfId="11022"/>
    <cellStyle name="Normal 20 2 12" xfId="17988"/>
    <cellStyle name="Normal 20 2 13" xfId="24956"/>
    <cellStyle name="Normal 20 2 14" xfId="31924"/>
    <cellStyle name="Normal 20 2 2" xfId="3322"/>
    <cellStyle name="Normal 20 2 2 2" xfId="5505"/>
    <cellStyle name="Normal 20 2 2 2 2" xfId="10330"/>
    <cellStyle name="Normal 20 2 2 2 2 2" xfId="17328"/>
    <cellStyle name="Normal 20 2 2 2 2 3" xfId="24295"/>
    <cellStyle name="Normal 20 2 2 2 2 4" xfId="31262"/>
    <cellStyle name="Normal 20 2 2 2 2 5" xfId="38231"/>
    <cellStyle name="Normal 20 2 2 2 3" xfId="15008"/>
    <cellStyle name="Normal 20 2 2 2 3 2" xfId="21975"/>
    <cellStyle name="Normal 20 2 2 2 3 3" xfId="28942"/>
    <cellStyle name="Normal 20 2 2 2 3 4" xfId="35911"/>
    <cellStyle name="Normal 20 2 2 2 4" xfId="12686"/>
    <cellStyle name="Normal 20 2 2 2 5" xfId="19653"/>
    <cellStyle name="Normal 20 2 2 2 6" xfId="26620"/>
    <cellStyle name="Normal 20 2 2 2 7" xfId="33588"/>
    <cellStyle name="Normal 20 2 2 3" xfId="8956"/>
    <cellStyle name="Normal 20 2 2 3 2" xfId="16008"/>
    <cellStyle name="Normal 20 2 2 3 3" xfId="22975"/>
    <cellStyle name="Normal 20 2 2 3 4" xfId="29942"/>
    <cellStyle name="Normal 20 2 2 3 5" xfId="36911"/>
    <cellStyle name="Normal 20 2 2 4" xfId="13686"/>
    <cellStyle name="Normal 20 2 2 4 2" xfId="20653"/>
    <cellStyle name="Normal 20 2 2 4 3" xfId="27620"/>
    <cellStyle name="Normal 20 2 2 4 4" xfId="34589"/>
    <cellStyle name="Normal 20 2 2 5" xfId="11364"/>
    <cellStyle name="Normal 20 2 2 6" xfId="18331"/>
    <cellStyle name="Normal 20 2 2 7" xfId="25298"/>
    <cellStyle name="Normal 20 2 2 8" xfId="32266"/>
    <cellStyle name="Normal 20 2 3" xfId="3524"/>
    <cellStyle name="Normal 20 2 3 2" xfId="5506"/>
    <cellStyle name="Normal 20 2 3 2 2" xfId="10331"/>
    <cellStyle name="Normal 20 2 3 2 2 2" xfId="17329"/>
    <cellStyle name="Normal 20 2 3 2 2 3" xfId="24296"/>
    <cellStyle name="Normal 20 2 3 2 2 4" xfId="31263"/>
    <cellStyle name="Normal 20 2 3 2 2 5" xfId="38232"/>
    <cellStyle name="Normal 20 2 3 2 3" xfId="15009"/>
    <cellStyle name="Normal 20 2 3 2 3 2" xfId="21976"/>
    <cellStyle name="Normal 20 2 3 2 3 3" xfId="28943"/>
    <cellStyle name="Normal 20 2 3 2 3 4" xfId="35912"/>
    <cellStyle name="Normal 20 2 3 2 4" xfId="12687"/>
    <cellStyle name="Normal 20 2 3 2 5" xfId="19654"/>
    <cellStyle name="Normal 20 2 3 2 6" xfId="26621"/>
    <cellStyle name="Normal 20 2 3 2 7" xfId="33589"/>
    <cellStyle name="Normal 20 2 3 3" xfId="9136"/>
    <cellStyle name="Normal 20 2 3 3 2" xfId="16175"/>
    <cellStyle name="Normal 20 2 3 3 3" xfId="23142"/>
    <cellStyle name="Normal 20 2 3 3 4" xfId="30109"/>
    <cellStyle name="Normal 20 2 3 3 5" xfId="37078"/>
    <cellStyle name="Normal 20 2 3 4" xfId="13855"/>
    <cellStyle name="Normal 20 2 3 4 2" xfId="20822"/>
    <cellStyle name="Normal 20 2 3 4 3" xfId="27789"/>
    <cellStyle name="Normal 20 2 3 4 4" xfId="34758"/>
    <cellStyle name="Normal 20 2 3 5" xfId="11533"/>
    <cellStyle name="Normal 20 2 3 6" xfId="18500"/>
    <cellStyle name="Normal 20 2 3 7" xfId="25467"/>
    <cellStyle name="Normal 20 2 3 8" xfId="32435"/>
    <cellStyle name="Normal 20 2 4" xfId="3699"/>
    <cellStyle name="Normal 20 2 4 2" xfId="5507"/>
    <cellStyle name="Normal 20 2 4 2 2" xfId="10332"/>
    <cellStyle name="Normal 20 2 4 2 2 2" xfId="17330"/>
    <cellStyle name="Normal 20 2 4 2 2 3" xfId="24297"/>
    <cellStyle name="Normal 20 2 4 2 2 4" xfId="31264"/>
    <cellStyle name="Normal 20 2 4 2 2 5" xfId="38233"/>
    <cellStyle name="Normal 20 2 4 2 3" xfId="15010"/>
    <cellStyle name="Normal 20 2 4 2 3 2" xfId="21977"/>
    <cellStyle name="Normal 20 2 4 2 3 3" xfId="28944"/>
    <cellStyle name="Normal 20 2 4 2 3 4" xfId="35913"/>
    <cellStyle name="Normal 20 2 4 2 4" xfId="12688"/>
    <cellStyle name="Normal 20 2 4 2 5" xfId="19655"/>
    <cellStyle name="Normal 20 2 4 2 6" xfId="26622"/>
    <cellStyle name="Normal 20 2 4 2 7" xfId="33590"/>
    <cellStyle name="Normal 20 2 4 3" xfId="9307"/>
    <cellStyle name="Normal 20 2 4 3 2" xfId="16346"/>
    <cellStyle name="Normal 20 2 4 3 3" xfId="23313"/>
    <cellStyle name="Normal 20 2 4 3 4" xfId="30280"/>
    <cellStyle name="Normal 20 2 4 3 5" xfId="37249"/>
    <cellStyle name="Normal 20 2 4 4" xfId="14026"/>
    <cellStyle name="Normal 20 2 4 4 2" xfId="20993"/>
    <cellStyle name="Normal 20 2 4 4 3" xfId="27960"/>
    <cellStyle name="Normal 20 2 4 4 4" xfId="34929"/>
    <cellStyle name="Normal 20 2 4 5" xfId="11704"/>
    <cellStyle name="Normal 20 2 4 6" xfId="18671"/>
    <cellStyle name="Normal 20 2 4 7" xfId="25638"/>
    <cellStyle name="Normal 20 2 4 8" xfId="32606"/>
    <cellStyle name="Normal 20 2 5" xfId="3976"/>
    <cellStyle name="Normal 20 2 5 2" xfId="5508"/>
    <cellStyle name="Normal 20 2 5 2 2" xfId="10333"/>
    <cellStyle name="Normal 20 2 5 2 2 2" xfId="17331"/>
    <cellStyle name="Normal 20 2 5 2 2 3" xfId="24298"/>
    <cellStyle name="Normal 20 2 5 2 2 4" xfId="31265"/>
    <cellStyle name="Normal 20 2 5 2 2 5" xfId="38234"/>
    <cellStyle name="Normal 20 2 5 2 3" xfId="15011"/>
    <cellStyle name="Normal 20 2 5 2 3 2" xfId="21978"/>
    <cellStyle name="Normal 20 2 5 2 3 3" xfId="28945"/>
    <cellStyle name="Normal 20 2 5 2 3 4" xfId="35914"/>
    <cellStyle name="Normal 20 2 5 2 4" xfId="12689"/>
    <cellStyle name="Normal 20 2 5 2 5" xfId="19656"/>
    <cellStyle name="Normal 20 2 5 2 6" xfId="26623"/>
    <cellStyle name="Normal 20 2 5 2 7" xfId="33591"/>
    <cellStyle name="Normal 20 2 5 3" xfId="9582"/>
    <cellStyle name="Normal 20 2 5 3 2" xfId="16618"/>
    <cellStyle name="Normal 20 2 5 3 3" xfId="23585"/>
    <cellStyle name="Normal 20 2 5 3 4" xfId="30552"/>
    <cellStyle name="Normal 20 2 5 3 5" xfId="37521"/>
    <cellStyle name="Normal 20 2 5 4" xfId="14298"/>
    <cellStyle name="Normal 20 2 5 4 2" xfId="21265"/>
    <cellStyle name="Normal 20 2 5 4 3" xfId="28232"/>
    <cellStyle name="Normal 20 2 5 4 4" xfId="35201"/>
    <cellStyle name="Normal 20 2 5 5" xfId="11976"/>
    <cellStyle name="Normal 20 2 5 6" xfId="18943"/>
    <cellStyle name="Normal 20 2 5 7" xfId="25910"/>
    <cellStyle name="Normal 20 2 5 8" xfId="32878"/>
    <cellStyle name="Normal 20 2 6" xfId="5504"/>
    <cellStyle name="Normal 20 2 6 2" xfId="10329"/>
    <cellStyle name="Normal 20 2 6 2 2" xfId="17327"/>
    <cellStyle name="Normal 20 2 6 2 3" xfId="24294"/>
    <cellStyle name="Normal 20 2 6 2 4" xfId="31261"/>
    <cellStyle name="Normal 20 2 6 2 5" xfId="38230"/>
    <cellStyle name="Normal 20 2 6 3" xfId="15007"/>
    <cellStyle name="Normal 20 2 6 3 2" xfId="21974"/>
    <cellStyle name="Normal 20 2 6 3 3" xfId="28941"/>
    <cellStyle name="Normal 20 2 6 3 4" xfId="35910"/>
    <cellStyle name="Normal 20 2 6 4" xfId="12685"/>
    <cellStyle name="Normal 20 2 6 5" xfId="19652"/>
    <cellStyle name="Normal 20 2 6 6" xfId="26619"/>
    <cellStyle name="Normal 20 2 6 7" xfId="33587"/>
    <cellStyle name="Normal 20 2 7" xfId="6870"/>
    <cellStyle name="Normal 20 2 7 2" xfId="10839"/>
    <cellStyle name="Normal 20 2 7 2 2" xfId="17813"/>
    <cellStyle name="Normal 20 2 7 2 3" xfId="24780"/>
    <cellStyle name="Normal 20 2 7 2 4" xfId="31747"/>
    <cellStyle name="Normal 20 2 7 2 5" xfId="38716"/>
    <cellStyle name="Normal 20 2 7 3" xfId="15493"/>
    <cellStyle name="Normal 20 2 7 3 2" xfId="22460"/>
    <cellStyle name="Normal 20 2 7 3 3" xfId="29427"/>
    <cellStyle name="Normal 20 2 7 3 4" xfId="36396"/>
    <cellStyle name="Normal 20 2 7 4" xfId="13171"/>
    <cellStyle name="Normal 20 2 7 5" xfId="20138"/>
    <cellStyle name="Normal 20 2 7 6" xfId="27105"/>
    <cellStyle name="Normal 20 2 7 7" xfId="34074"/>
    <cellStyle name="Normal 20 2 8" xfId="7182"/>
    <cellStyle name="Normal 20 2 8 2" xfId="15666"/>
    <cellStyle name="Normal 20 2 8 2 2" xfId="22633"/>
    <cellStyle name="Normal 20 2 8 2 3" xfId="29600"/>
    <cellStyle name="Normal 20 2 8 2 4" xfId="36569"/>
    <cellStyle name="Normal 20 2 8 3" xfId="13344"/>
    <cellStyle name="Normal 20 2 8 4" xfId="20311"/>
    <cellStyle name="Normal 20 2 8 5" xfId="27278"/>
    <cellStyle name="Normal 20 2 8 6" xfId="34247"/>
    <cellStyle name="Normal 20 2 9" xfId="8088"/>
    <cellStyle name="Normal 20 2 9 2" xfId="15839"/>
    <cellStyle name="Normal 20 2 9 2 2" xfId="22806"/>
    <cellStyle name="Normal 20 2 9 2 3" xfId="29773"/>
    <cellStyle name="Normal 20 2 9 2 4" xfId="36742"/>
    <cellStyle name="Normal 20 2 9 3" xfId="11195"/>
    <cellStyle name="Normal 20 2 9 4" xfId="18162"/>
    <cellStyle name="Normal 20 2 9 5" xfId="25129"/>
    <cellStyle name="Normal 20 2 9 6" xfId="32097"/>
    <cellStyle name="Normal 20 3" xfId="3321"/>
    <cellStyle name="Normal 20 3 2" xfId="5509"/>
    <cellStyle name="Normal 20 3 2 2" xfId="10334"/>
    <cellStyle name="Normal 20 3 2 2 2" xfId="17332"/>
    <cellStyle name="Normal 20 3 2 2 3" xfId="24299"/>
    <cellStyle name="Normal 20 3 2 2 4" xfId="31266"/>
    <cellStyle name="Normal 20 3 2 2 5" xfId="38235"/>
    <cellStyle name="Normal 20 3 2 3" xfId="15012"/>
    <cellStyle name="Normal 20 3 2 3 2" xfId="21979"/>
    <cellStyle name="Normal 20 3 2 3 3" xfId="28946"/>
    <cellStyle name="Normal 20 3 2 3 4" xfId="35915"/>
    <cellStyle name="Normal 20 3 2 4" xfId="12690"/>
    <cellStyle name="Normal 20 3 2 5" xfId="19657"/>
    <cellStyle name="Normal 20 3 2 6" xfId="26624"/>
    <cellStyle name="Normal 20 3 2 7" xfId="33592"/>
    <cellStyle name="Normal 20 3 3" xfId="8955"/>
    <cellStyle name="Normal 20 3 3 2" xfId="16007"/>
    <cellStyle name="Normal 20 3 3 3" xfId="22974"/>
    <cellStyle name="Normal 20 3 3 4" xfId="29941"/>
    <cellStyle name="Normal 20 3 3 5" xfId="36910"/>
    <cellStyle name="Normal 20 3 4" xfId="13685"/>
    <cellStyle name="Normal 20 3 4 2" xfId="20652"/>
    <cellStyle name="Normal 20 3 4 3" xfId="27619"/>
    <cellStyle name="Normal 20 3 4 4" xfId="34588"/>
    <cellStyle name="Normal 20 3 5" xfId="11363"/>
    <cellStyle name="Normal 20 3 6" xfId="18330"/>
    <cellStyle name="Normal 20 3 7" xfId="25297"/>
    <cellStyle name="Normal 20 3 8" xfId="32265"/>
    <cellStyle name="Normal 20 4" xfId="3523"/>
    <cellStyle name="Normal 20 4 2" xfId="5510"/>
    <cellStyle name="Normal 20 4 2 2" xfId="10335"/>
    <cellStyle name="Normal 20 4 2 2 2" xfId="17333"/>
    <cellStyle name="Normal 20 4 2 2 3" xfId="24300"/>
    <cellStyle name="Normal 20 4 2 2 4" xfId="31267"/>
    <cellStyle name="Normal 20 4 2 2 5" xfId="38236"/>
    <cellStyle name="Normal 20 4 2 3" xfId="15013"/>
    <cellStyle name="Normal 20 4 2 3 2" xfId="21980"/>
    <cellStyle name="Normal 20 4 2 3 3" xfId="28947"/>
    <cellStyle name="Normal 20 4 2 3 4" xfId="35916"/>
    <cellStyle name="Normal 20 4 2 4" xfId="12691"/>
    <cellStyle name="Normal 20 4 2 5" xfId="19658"/>
    <cellStyle name="Normal 20 4 2 6" xfId="26625"/>
    <cellStyle name="Normal 20 4 2 7" xfId="33593"/>
    <cellStyle name="Normal 20 4 3" xfId="9135"/>
    <cellStyle name="Normal 20 4 3 2" xfId="16174"/>
    <cellStyle name="Normal 20 4 3 3" xfId="23141"/>
    <cellStyle name="Normal 20 4 3 4" xfId="30108"/>
    <cellStyle name="Normal 20 4 3 5" xfId="37077"/>
    <cellStyle name="Normal 20 4 4" xfId="13854"/>
    <cellStyle name="Normal 20 4 4 2" xfId="20821"/>
    <cellStyle name="Normal 20 4 4 3" xfId="27788"/>
    <cellStyle name="Normal 20 4 4 4" xfId="34757"/>
    <cellStyle name="Normal 20 4 5" xfId="11532"/>
    <cellStyle name="Normal 20 4 6" xfId="18499"/>
    <cellStyle name="Normal 20 4 7" xfId="25466"/>
    <cellStyle name="Normal 20 4 8" xfId="32434"/>
    <cellStyle name="Normal 20 5" xfId="3698"/>
    <cellStyle name="Normal 20 5 2" xfId="5511"/>
    <cellStyle name="Normal 20 5 2 2" xfId="10336"/>
    <cellStyle name="Normal 20 5 2 2 2" xfId="17334"/>
    <cellStyle name="Normal 20 5 2 2 3" xfId="24301"/>
    <cellStyle name="Normal 20 5 2 2 4" xfId="31268"/>
    <cellStyle name="Normal 20 5 2 2 5" xfId="38237"/>
    <cellStyle name="Normal 20 5 2 3" xfId="15014"/>
    <cellStyle name="Normal 20 5 2 3 2" xfId="21981"/>
    <cellStyle name="Normal 20 5 2 3 3" xfId="28948"/>
    <cellStyle name="Normal 20 5 2 3 4" xfId="35917"/>
    <cellStyle name="Normal 20 5 2 4" xfId="12692"/>
    <cellStyle name="Normal 20 5 2 5" xfId="19659"/>
    <cellStyle name="Normal 20 5 2 6" xfId="26626"/>
    <cellStyle name="Normal 20 5 2 7" xfId="33594"/>
    <cellStyle name="Normal 20 5 3" xfId="9306"/>
    <cellStyle name="Normal 20 5 3 2" xfId="16345"/>
    <cellStyle name="Normal 20 5 3 3" xfId="23312"/>
    <cellStyle name="Normal 20 5 3 4" xfId="30279"/>
    <cellStyle name="Normal 20 5 3 5" xfId="37248"/>
    <cellStyle name="Normal 20 5 4" xfId="14025"/>
    <cellStyle name="Normal 20 5 4 2" xfId="20992"/>
    <cellStyle name="Normal 20 5 4 3" xfId="27959"/>
    <cellStyle name="Normal 20 5 4 4" xfId="34928"/>
    <cellStyle name="Normal 20 5 5" xfId="11703"/>
    <cellStyle name="Normal 20 5 6" xfId="18670"/>
    <cellStyle name="Normal 20 5 7" xfId="25637"/>
    <cellStyle name="Normal 20 5 8" xfId="32605"/>
    <cellStyle name="Normal 20 6" xfId="3975"/>
    <cellStyle name="Normal 20 6 2" xfId="5512"/>
    <cellStyle name="Normal 20 6 2 2" xfId="10337"/>
    <cellStyle name="Normal 20 6 2 2 2" xfId="17335"/>
    <cellStyle name="Normal 20 6 2 2 3" xfId="24302"/>
    <cellStyle name="Normal 20 6 2 2 4" xfId="31269"/>
    <cellStyle name="Normal 20 6 2 2 5" xfId="38238"/>
    <cellStyle name="Normal 20 6 2 3" xfId="15015"/>
    <cellStyle name="Normal 20 6 2 3 2" xfId="21982"/>
    <cellStyle name="Normal 20 6 2 3 3" xfId="28949"/>
    <cellStyle name="Normal 20 6 2 3 4" xfId="35918"/>
    <cellStyle name="Normal 20 6 2 4" xfId="12693"/>
    <cellStyle name="Normal 20 6 2 5" xfId="19660"/>
    <cellStyle name="Normal 20 6 2 6" xfId="26627"/>
    <cellStyle name="Normal 20 6 2 7" xfId="33595"/>
    <cellStyle name="Normal 20 6 3" xfId="9581"/>
    <cellStyle name="Normal 20 6 3 2" xfId="16617"/>
    <cellStyle name="Normal 20 6 3 3" xfId="23584"/>
    <cellStyle name="Normal 20 6 3 4" xfId="30551"/>
    <cellStyle name="Normal 20 6 3 5" xfId="37520"/>
    <cellStyle name="Normal 20 6 4" xfId="14297"/>
    <cellStyle name="Normal 20 6 4 2" xfId="21264"/>
    <cellStyle name="Normal 20 6 4 3" xfId="28231"/>
    <cellStyle name="Normal 20 6 4 4" xfId="35200"/>
    <cellStyle name="Normal 20 6 5" xfId="11975"/>
    <cellStyle name="Normal 20 6 6" xfId="18942"/>
    <cellStyle name="Normal 20 6 7" xfId="25909"/>
    <cellStyle name="Normal 20 6 8" xfId="32877"/>
    <cellStyle name="Normal 20 7" xfId="5503"/>
    <cellStyle name="Normal 20 7 2" xfId="10328"/>
    <cellStyle name="Normal 20 7 2 2" xfId="17326"/>
    <cellStyle name="Normal 20 7 2 3" xfId="24293"/>
    <cellStyle name="Normal 20 7 2 4" xfId="31260"/>
    <cellStyle name="Normal 20 7 2 5" xfId="38229"/>
    <cellStyle name="Normal 20 7 3" xfId="15006"/>
    <cellStyle name="Normal 20 7 3 2" xfId="21973"/>
    <cellStyle name="Normal 20 7 3 3" xfId="28940"/>
    <cellStyle name="Normal 20 7 3 4" xfId="35909"/>
    <cellStyle name="Normal 20 7 4" xfId="12684"/>
    <cellStyle name="Normal 20 7 5" xfId="19651"/>
    <cellStyle name="Normal 20 7 6" xfId="26618"/>
    <cellStyle name="Normal 20 7 7" xfId="33586"/>
    <cellStyle name="Normal 20 8" xfId="6869"/>
    <cellStyle name="Normal 20 8 2" xfId="10838"/>
    <cellStyle name="Normal 20 8 2 2" xfId="17812"/>
    <cellStyle name="Normal 20 8 2 3" xfId="24779"/>
    <cellStyle name="Normal 20 8 2 4" xfId="31746"/>
    <cellStyle name="Normal 20 8 2 5" xfId="38715"/>
    <cellStyle name="Normal 20 8 3" xfId="15492"/>
    <cellStyle name="Normal 20 8 3 2" xfId="22459"/>
    <cellStyle name="Normal 20 8 3 3" xfId="29426"/>
    <cellStyle name="Normal 20 8 3 4" xfId="36395"/>
    <cellStyle name="Normal 20 8 4" xfId="13170"/>
    <cellStyle name="Normal 20 8 5" xfId="20137"/>
    <cellStyle name="Normal 20 8 6" xfId="27104"/>
    <cellStyle name="Normal 20 8 7" xfId="34073"/>
    <cellStyle name="Normal 20 9" xfId="7181"/>
    <cellStyle name="Normal 20 9 2" xfId="15665"/>
    <cellStyle name="Normal 20 9 2 2" xfId="22632"/>
    <cellStyle name="Normal 20 9 2 3" xfId="29599"/>
    <cellStyle name="Normal 20 9 2 4" xfId="36568"/>
    <cellStyle name="Normal 20 9 3" xfId="13343"/>
    <cellStyle name="Normal 20 9 4" xfId="20310"/>
    <cellStyle name="Normal 20 9 5" xfId="27277"/>
    <cellStyle name="Normal 20 9 6" xfId="34246"/>
    <cellStyle name="Normal 200" xfId="3323"/>
    <cellStyle name="Normal 200 2" xfId="5513"/>
    <cellStyle name="Normal 200 3" xfId="8957"/>
    <cellStyle name="Normal 201" xfId="3324"/>
    <cellStyle name="Normal 201 2" xfId="5514"/>
    <cellStyle name="Normal 201 3" xfId="8958"/>
    <cellStyle name="Normal 202" xfId="3325"/>
    <cellStyle name="Normal 202 2" xfId="5515"/>
    <cellStyle name="Normal 202 3" xfId="8959"/>
    <cellStyle name="Normal 203" xfId="4079"/>
    <cellStyle name="Normal 203 2" xfId="5516"/>
    <cellStyle name="Normal 203 3" xfId="9685"/>
    <cellStyle name="Normal 204" xfId="3852"/>
    <cellStyle name="Normal 204 2" xfId="5517"/>
    <cellStyle name="Normal 204 3" xfId="9458"/>
    <cellStyle name="Normal 205" xfId="3760"/>
    <cellStyle name="Normal 205 2" xfId="5518"/>
    <cellStyle name="Normal 205 3" xfId="9367"/>
    <cellStyle name="Normal 206" xfId="4056"/>
    <cellStyle name="Normal 206 2" xfId="5519"/>
    <cellStyle name="Normal 206 3" xfId="9662"/>
    <cellStyle name="Normal 207" xfId="5520"/>
    <cellStyle name="Normal 207 2" xfId="10338"/>
    <cellStyle name="Normal 208" xfId="5521"/>
    <cellStyle name="Normal 208 2" xfId="10339"/>
    <cellStyle name="Normal 209" xfId="4102"/>
    <cellStyle name="Normal 209 2" xfId="9696"/>
    <cellStyle name="Normal 21" xfId="1731"/>
    <cellStyle name="Normal 21 2" xfId="1732"/>
    <cellStyle name="Normal 21 2 2" xfId="6871"/>
    <cellStyle name="Normal 21 3" xfId="1733"/>
    <cellStyle name="Normal 21 3 2" xfId="5523"/>
    <cellStyle name="Normal 21 3 2 2" xfId="6872"/>
    <cellStyle name="Normal 21 3 2 3" xfId="10340"/>
    <cellStyle name="Normal 21 3 3" xfId="8090"/>
    <cellStyle name="Normal 21 4" xfId="1734"/>
    <cellStyle name="Normal 21 5" xfId="1735"/>
    <cellStyle name="Normal 21 5 2" xfId="5524"/>
    <cellStyle name="Normal 21 5 3" xfId="8091"/>
    <cellStyle name="Normal 21 6" xfId="5522"/>
    <cellStyle name="Normal 21 7" xfId="8089"/>
    <cellStyle name="Normal 210" xfId="6639"/>
    <cellStyle name="Normal 210 2" xfId="10712"/>
    <cellStyle name="Normal 211" xfId="6647"/>
    <cellStyle name="Normal 211 2" xfId="6873"/>
    <cellStyle name="Normal 211 3" xfId="10719"/>
    <cellStyle name="Normal 211 3 2" xfId="17697"/>
    <cellStyle name="Normal 211 3 2 2" xfId="24664"/>
    <cellStyle name="Normal 211 3 2 3" xfId="31631"/>
    <cellStyle name="Normal 211 3 2 4" xfId="38600"/>
    <cellStyle name="Normal 211 3 3" xfId="13055"/>
    <cellStyle name="Normal 211 3 4" xfId="20022"/>
    <cellStyle name="Normal 211 3 5" xfId="26989"/>
    <cellStyle name="Normal 211 3 6" xfId="33958"/>
    <cellStyle name="Normal 211 4" xfId="15377"/>
    <cellStyle name="Normal 211 4 2" xfId="22344"/>
    <cellStyle name="Normal 211 4 3" xfId="29311"/>
    <cellStyle name="Normal 211 4 4" xfId="36280"/>
    <cellStyle name="Normal 212" xfId="6648"/>
    <cellStyle name="Normal 212 2" xfId="6874"/>
    <cellStyle name="Normal 212 3" xfId="10720"/>
    <cellStyle name="Normal 212 3 2" xfId="17698"/>
    <cellStyle name="Normal 212 3 2 2" xfId="24665"/>
    <cellStyle name="Normal 212 3 2 3" xfId="31632"/>
    <cellStyle name="Normal 212 3 2 4" xfId="38601"/>
    <cellStyle name="Normal 212 3 3" xfId="13056"/>
    <cellStyle name="Normal 212 3 4" xfId="20023"/>
    <cellStyle name="Normal 212 3 5" xfId="26990"/>
    <cellStyle name="Normal 212 3 6" xfId="33959"/>
    <cellStyle name="Normal 212 4" xfId="15378"/>
    <cellStyle name="Normal 212 4 2" xfId="22345"/>
    <cellStyle name="Normal 212 4 3" xfId="29312"/>
    <cellStyle name="Normal 212 4 4" xfId="36281"/>
    <cellStyle name="Normal 213" xfId="6649"/>
    <cellStyle name="Normal 213 2" xfId="6875"/>
    <cellStyle name="Normal 213 3" xfId="10721"/>
    <cellStyle name="Normal 213 3 2" xfId="17699"/>
    <cellStyle name="Normal 213 3 2 2" xfId="24666"/>
    <cellStyle name="Normal 213 3 2 3" xfId="31633"/>
    <cellStyle name="Normal 213 3 2 4" xfId="38602"/>
    <cellStyle name="Normal 213 3 3" xfId="13057"/>
    <cellStyle name="Normal 213 3 4" xfId="20024"/>
    <cellStyle name="Normal 213 3 5" xfId="26991"/>
    <cellStyle name="Normal 213 3 6" xfId="33960"/>
    <cellStyle name="Normal 213 4" xfId="15379"/>
    <cellStyle name="Normal 213 4 2" xfId="22346"/>
    <cellStyle name="Normal 213 4 3" xfId="29313"/>
    <cellStyle name="Normal 213 4 4" xfId="36282"/>
    <cellStyle name="Normal 214" xfId="6650"/>
    <cellStyle name="Normal 214 2" xfId="6876"/>
    <cellStyle name="Normal 214 3" xfId="10722"/>
    <cellStyle name="Normal 214 3 2" xfId="17700"/>
    <cellStyle name="Normal 214 3 2 2" xfId="24667"/>
    <cellStyle name="Normal 214 3 2 3" xfId="31634"/>
    <cellStyle name="Normal 214 3 2 4" xfId="38603"/>
    <cellStyle name="Normal 214 3 3" xfId="13058"/>
    <cellStyle name="Normal 214 3 4" xfId="20025"/>
    <cellStyle name="Normal 214 3 5" xfId="26992"/>
    <cellStyle name="Normal 214 3 6" xfId="33961"/>
    <cellStyle name="Normal 214 4" xfId="15380"/>
    <cellStyle name="Normal 214 4 2" xfId="22347"/>
    <cellStyle name="Normal 214 4 3" xfId="29314"/>
    <cellStyle name="Normal 214 4 4" xfId="36283"/>
    <cellStyle name="Normal 215" xfId="6651"/>
    <cellStyle name="Normal 215 2" xfId="10723"/>
    <cellStyle name="Normal 215 2 2" xfId="17701"/>
    <cellStyle name="Normal 215 2 3" xfId="24668"/>
    <cellStyle name="Normal 215 2 4" xfId="31635"/>
    <cellStyle name="Normal 215 2 5" xfId="38604"/>
    <cellStyle name="Normal 215 3" xfId="15381"/>
    <cellStyle name="Normal 215 3 2" xfId="22348"/>
    <cellStyle name="Normal 215 3 3" xfId="29315"/>
    <cellStyle name="Normal 215 3 4" xfId="36284"/>
    <cellStyle name="Normal 215 4" xfId="13059"/>
    <cellStyle name="Normal 215 5" xfId="20026"/>
    <cellStyle name="Normal 215 6" xfId="26993"/>
    <cellStyle name="Normal 215 7" xfId="33962"/>
    <cellStyle name="Normal 216" xfId="6652"/>
    <cellStyle name="Normal 216 2" xfId="10724"/>
    <cellStyle name="Normal 216 2 2" xfId="17702"/>
    <cellStyle name="Normal 216 2 3" xfId="24669"/>
    <cellStyle name="Normal 216 2 4" xfId="31636"/>
    <cellStyle name="Normal 216 2 5" xfId="38605"/>
    <cellStyle name="Normal 216 3" xfId="15382"/>
    <cellStyle name="Normal 216 3 2" xfId="22349"/>
    <cellStyle name="Normal 216 3 3" xfId="29316"/>
    <cellStyle name="Normal 216 3 4" xfId="36285"/>
    <cellStyle name="Normal 216 4" xfId="13060"/>
    <cellStyle name="Normal 216 5" xfId="20027"/>
    <cellStyle name="Normal 216 6" xfId="26994"/>
    <cellStyle name="Normal 216 7" xfId="33963"/>
    <cellStyle name="Normal 217" xfId="6653"/>
    <cellStyle name="Normal 218" xfId="7071"/>
    <cellStyle name="Normal 219" xfId="7245"/>
    <cellStyle name="Normal 22" xfId="1736"/>
    <cellStyle name="Normal 22 10" xfId="13518"/>
    <cellStyle name="Normal 22 10 2" xfId="20485"/>
    <cellStyle name="Normal 22 10 3" xfId="27452"/>
    <cellStyle name="Normal 22 10 4" xfId="34421"/>
    <cellStyle name="Normal 22 11" xfId="11023"/>
    <cellStyle name="Normal 22 12" xfId="17989"/>
    <cellStyle name="Normal 22 13" xfId="24957"/>
    <cellStyle name="Normal 22 14" xfId="31925"/>
    <cellStyle name="Normal 22 2" xfId="3326"/>
    <cellStyle name="Normal 22 2 10" xfId="31926"/>
    <cellStyle name="Normal 22 2 2" xfId="5526"/>
    <cellStyle name="Normal 22 2 2 2" xfId="10342"/>
    <cellStyle name="Normal 22 2 2 2 2" xfId="17337"/>
    <cellStyle name="Normal 22 2 2 2 3" xfId="24304"/>
    <cellStyle name="Normal 22 2 2 2 4" xfId="31271"/>
    <cellStyle name="Normal 22 2 2 2 5" xfId="38240"/>
    <cellStyle name="Normal 22 2 2 3" xfId="15017"/>
    <cellStyle name="Normal 22 2 2 3 2" xfId="21984"/>
    <cellStyle name="Normal 22 2 2 3 3" xfId="28951"/>
    <cellStyle name="Normal 22 2 2 3 4" xfId="35920"/>
    <cellStyle name="Normal 22 2 2 4" xfId="12695"/>
    <cellStyle name="Normal 22 2 2 5" xfId="19662"/>
    <cellStyle name="Normal 22 2 2 6" xfId="26629"/>
    <cellStyle name="Normal 22 2 2 7" xfId="33597"/>
    <cellStyle name="Normal 22 2 3" xfId="6878"/>
    <cellStyle name="Normal 22 2 3 2" xfId="10841"/>
    <cellStyle name="Normal 22 2 3 2 2" xfId="17815"/>
    <cellStyle name="Normal 22 2 3 2 3" xfId="24782"/>
    <cellStyle name="Normal 22 2 3 2 4" xfId="31749"/>
    <cellStyle name="Normal 22 2 3 2 5" xfId="38718"/>
    <cellStyle name="Normal 22 2 3 3" xfId="15495"/>
    <cellStyle name="Normal 22 2 3 3 2" xfId="22462"/>
    <cellStyle name="Normal 22 2 3 3 3" xfId="29429"/>
    <cellStyle name="Normal 22 2 3 3 4" xfId="36398"/>
    <cellStyle name="Normal 22 2 3 4" xfId="13173"/>
    <cellStyle name="Normal 22 2 3 5" xfId="20140"/>
    <cellStyle name="Normal 22 2 3 6" xfId="27107"/>
    <cellStyle name="Normal 22 2 3 7" xfId="34076"/>
    <cellStyle name="Normal 22 2 4" xfId="7184"/>
    <cellStyle name="Normal 22 2 4 2" xfId="15668"/>
    <cellStyle name="Normal 22 2 4 2 2" xfId="22635"/>
    <cellStyle name="Normal 22 2 4 2 3" xfId="29602"/>
    <cellStyle name="Normal 22 2 4 2 4" xfId="36571"/>
    <cellStyle name="Normal 22 2 4 3" xfId="13346"/>
    <cellStyle name="Normal 22 2 4 4" xfId="20313"/>
    <cellStyle name="Normal 22 2 4 5" xfId="27280"/>
    <cellStyle name="Normal 22 2 4 6" xfId="34249"/>
    <cellStyle name="Normal 22 2 5" xfId="8960"/>
    <cellStyle name="Normal 22 2 5 2" xfId="16009"/>
    <cellStyle name="Normal 22 2 5 2 2" xfId="22976"/>
    <cellStyle name="Normal 22 2 5 2 3" xfId="29943"/>
    <cellStyle name="Normal 22 2 5 2 4" xfId="36912"/>
    <cellStyle name="Normal 22 2 5 3" xfId="11365"/>
    <cellStyle name="Normal 22 2 5 4" xfId="18332"/>
    <cellStyle name="Normal 22 2 5 5" xfId="25299"/>
    <cellStyle name="Normal 22 2 5 6" xfId="32267"/>
    <cellStyle name="Normal 22 2 6" xfId="13687"/>
    <cellStyle name="Normal 22 2 6 2" xfId="20654"/>
    <cellStyle name="Normal 22 2 6 3" xfId="27621"/>
    <cellStyle name="Normal 22 2 6 4" xfId="34590"/>
    <cellStyle name="Normal 22 2 7" xfId="11024"/>
    <cellStyle name="Normal 22 2 8" xfId="17990"/>
    <cellStyle name="Normal 22 2 9" xfId="24958"/>
    <cellStyle name="Normal 22 3" xfId="3525"/>
    <cellStyle name="Normal 22 3 2" xfId="5527"/>
    <cellStyle name="Normal 22 3 2 2" xfId="10343"/>
    <cellStyle name="Normal 22 3 2 2 2" xfId="17338"/>
    <cellStyle name="Normal 22 3 2 2 3" xfId="24305"/>
    <cellStyle name="Normal 22 3 2 2 4" xfId="31272"/>
    <cellStyle name="Normal 22 3 2 2 5" xfId="38241"/>
    <cellStyle name="Normal 22 3 2 3" xfId="15018"/>
    <cellStyle name="Normal 22 3 2 3 2" xfId="21985"/>
    <cellStyle name="Normal 22 3 2 3 3" xfId="28952"/>
    <cellStyle name="Normal 22 3 2 3 4" xfId="35921"/>
    <cellStyle name="Normal 22 3 2 4" xfId="12696"/>
    <cellStyle name="Normal 22 3 2 5" xfId="19663"/>
    <cellStyle name="Normal 22 3 2 6" xfId="26630"/>
    <cellStyle name="Normal 22 3 2 7" xfId="33598"/>
    <cellStyle name="Normal 22 3 3" xfId="6879"/>
    <cellStyle name="Normal 22 3 4" xfId="9137"/>
    <cellStyle name="Normal 22 3 4 2" xfId="16176"/>
    <cellStyle name="Normal 22 3 4 2 2" xfId="23143"/>
    <cellStyle name="Normal 22 3 4 2 3" xfId="30110"/>
    <cellStyle name="Normal 22 3 4 2 4" xfId="37079"/>
    <cellStyle name="Normal 22 3 4 3" xfId="11534"/>
    <cellStyle name="Normal 22 3 4 4" xfId="18501"/>
    <cellStyle name="Normal 22 3 4 5" xfId="25468"/>
    <cellStyle name="Normal 22 3 4 6" xfId="32436"/>
    <cellStyle name="Normal 22 3 5" xfId="13856"/>
    <cellStyle name="Normal 22 3 5 2" xfId="20823"/>
    <cellStyle name="Normal 22 3 5 3" xfId="27790"/>
    <cellStyle name="Normal 22 3 5 4" xfId="34759"/>
    <cellStyle name="Normal 22 4" xfId="3700"/>
    <cellStyle name="Normal 22 4 2" xfId="5528"/>
    <cellStyle name="Normal 22 4 2 2" xfId="10344"/>
    <cellStyle name="Normal 22 4 2 2 2" xfId="17339"/>
    <cellStyle name="Normal 22 4 2 2 3" xfId="24306"/>
    <cellStyle name="Normal 22 4 2 2 4" xfId="31273"/>
    <cellStyle name="Normal 22 4 2 2 5" xfId="38242"/>
    <cellStyle name="Normal 22 4 2 3" xfId="15019"/>
    <cellStyle name="Normal 22 4 2 3 2" xfId="21986"/>
    <cellStyle name="Normal 22 4 2 3 3" xfId="28953"/>
    <cellStyle name="Normal 22 4 2 3 4" xfId="35922"/>
    <cellStyle name="Normal 22 4 2 4" xfId="12697"/>
    <cellStyle name="Normal 22 4 2 5" xfId="19664"/>
    <cellStyle name="Normal 22 4 2 6" xfId="26631"/>
    <cellStyle name="Normal 22 4 2 7" xfId="33599"/>
    <cellStyle name="Normal 22 4 3" xfId="9308"/>
    <cellStyle name="Normal 22 4 3 2" xfId="16347"/>
    <cellStyle name="Normal 22 4 3 3" xfId="23314"/>
    <cellStyle name="Normal 22 4 3 4" xfId="30281"/>
    <cellStyle name="Normal 22 4 3 5" xfId="37250"/>
    <cellStyle name="Normal 22 4 4" xfId="14027"/>
    <cellStyle name="Normal 22 4 4 2" xfId="20994"/>
    <cellStyle name="Normal 22 4 4 3" xfId="27961"/>
    <cellStyle name="Normal 22 4 4 4" xfId="34930"/>
    <cellStyle name="Normal 22 4 5" xfId="11705"/>
    <cellStyle name="Normal 22 4 6" xfId="18672"/>
    <cellStyle name="Normal 22 4 7" xfId="25639"/>
    <cellStyle name="Normal 22 4 8" xfId="32607"/>
    <cellStyle name="Normal 22 5" xfId="3977"/>
    <cellStyle name="Normal 22 5 2" xfId="5529"/>
    <cellStyle name="Normal 22 5 2 2" xfId="10345"/>
    <cellStyle name="Normal 22 5 2 2 2" xfId="17340"/>
    <cellStyle name="Normal 22 5 2 2 3" xfId="24307"/>
    <cellStyle name="Normal 22 5 2 2 4" xfId="31274"/>
    <cellStyle name="Normal 22 5 2 2 5" xfId="38243"/>
    <cellStyle name="Normal 22 5 2 3" xfId="15020"/>
    <cellStyle name="Normal 22 5 2 3 2" xfId="21987"/>
    <cellStyle name="Normal 22 5 2 3 3" xfId="28954"/>
    <cellStyle name="Normal 22 5 2 3 4" xfId="35923"/>
    <cellStyle name="Normal 22 5 2 4" xfId="12698"/>
    <cellStyle name="Normal 22 5 2 5" xfId="19665"/>
    <cellStyle name="Normal 22 5 2 6" xfId="26632"/>
    <cellStyle name="Normal 22 5 2 7" xfId="33600"/>
    <cellStyle name="Normal 22 5 3" xfId="9583"/>
    <cellStyle name="Normal 22 5 3 2" xfId="16619"/>
    <cellStyle name="Normal 22 5 3 3" xfId="23586"/>
    <cellStyle name="Normal 22 5 3 4" xfId="30553"/>
    <cellStyle name="Normal 22 5 3 5" xfId="37522"/>
    <cellStyle name="Normal 22 5 4" xfId="14299"/>
    <cellStyle name="Normal 22 5 4 2" xfId="21266"/>
    <cellStyle name="Normal 22 5 4 3" xfId="28233"/>
    <cellStyle name="Normal 22 5 4 4" xfId="35202"/>
    <cellStyle name="Normal 22 5 5" xfId="11977"/>
    <cellStyle name="Normal 22 5 6" xfId="18944"/>
    <cellStyle name="Normal 22 5 7" xfId="25911"/>
    <cellStyle name="Normal 22 5 8" xfId="32879"/>
    <cellStyle name="Normal 22 6" xfId="5525"/>
    <cellStyle name="Normal 22 6 2" xfId="10341"/>
    <cellStyle name="Normal 22 6 2 2" xfId="17336"/>
    <cellStyle name="Normal 22 6 2 3" xfId="24303"/>
    <cellStyle name="Normal 22 6 2 4" xfId="31270"/>
    <cellStyle name="Normal 22 6 2 5" xfId="38239"/>
    <cellStyle name="Normal 22 6 3" xfId="15016"/>
    <cellStyle name="Normal 22 6 3 2" xfId="21983"/>
    <cellStyle name="Normal 22 6 3 3" xfId="28950"/>
    <cellStyle name="Normal 22 6 3 4" xfId="35919"/>
    <cellStyle name="Normal 22 6 4" xfId="12694"/>
    <cellStyle name="Normal 22 6 5" xfId="19661"/>
    <cellStyle name="Normal 22 6 6" xfId="26628"/>
    <cellStyle name="Normal 22 6 7" xfId="33596"/>
    <cellStyle name="Normal 22 7" xfId="6877"/>
    <cellStyle name="Normal 22 7 2" xfId="10840"/>
    <cellStyle name="Normal 22 7 2 2" xfId="17814"/>
    <cellStyle name="Normal 22 7 2 3" xfId="24781"/>
    <cellStyle name="Normal 22 7 2 4" xfId="31748"/>
    <cellStyle name="Normal 22 7 2 5" xfId="38717"/>
    <cellStyle name="Normal 22 7 3" xfId="15494"/>
    <cellStyle name="Normal 22 7 3 2" xfId="22461"/>
    <cellStyle name="Normal 22 7 3 3" xfId="29428"/>
    <cellStyle name="Normal 22 7 3 4" xfId="36397"/>
    <cellStyle name="Normal 22 7 4" xfId="13172"/>
    <cellStyle name="Normal 22 7 5" xfId="20139"/>
    <cellStyle name="Normal 22 7 6" xfId="27106"/>
    <cellStyle name="Normal 22 7 7" xfId="34075"/>
    <cellStyle name="Normal 22 8" xfId="7183"/>
    <cellStyle name="Normal 22 8 2" xfId="15667"/>
    <cellStyle name="Normal 22 8 2 2" xfId="22634"/>
    <cellStyle name="Normal 22 8 2 3" xfId="29601"/>
    <cellStyle name="Normal 22 8 2 4" xfId="36570"/>
    <cellStyle name="Normal 22 8 3" xfId="13345"/>
    <cellStyle name="Normal 22 8 4" xfId="20312"/>
    <cellStyle name="Normal 22 8 5" xfId="27279"/>
    <cellStyle name="Normal 22 8 6" xfId="34248"/>
    <cellStyle name="Normal 22 9" xfId="8092"/>
    <cellStyle name="Normal 22 9 2" xfId="15840"/>
    <cellStyle name="Normal 22 9 2 2" xfId="22807"/>
    <cellStyle name="Normal 22 9 2 3" xfId="29774"/>
    <cellStyle name="Normal 22 9 2 4" xfId="36743"/>
    <cellStyle name="Normal 22 9 3" xfId="11196"/>
    <cellStyle name="Normal 22 9 4" xfId="18163"/>
    <cellStyle name="Normal 22 9 5" xfId="25130"/>
    <cellStyle name="Normal 22 9 6" xfId="32098"/>
    <cellStyle name="Normal 220" xfId="7246"/>
    <cellStyle name="Normal 221" xfId="7247"/>
    <cellStyle name="Normal 222" xfId="7248"/>
    <cellStyle name="Normal 223" xfId="10911"/>
    <cellStyle name="Normal 224" xfId="17876"/>
    <cellStyle name="Normal 225" xfId="18051"/>
    <cellStyle name="Normal 226" xfId="17884"/>
    <cellStyle name="Normal 227" xfId="24843"/>
    <cellStyle name="Normal 228" xfId="24844"/>
    <cellStyle name="Normal 229" xfId="24845"/>
    <cellStyle name="Normal 23" xfId="1737"/>
    <cellStyle name="Normal 23 2" xfId="5530"/>
    <cellStyle name="Normal 23 2 2" xfId="6880"/>
    <cellStyle name="Normal 23 2 3" xfId="10346"/>
    <cellStyle name="Normal 23 3" xfId="8093"/>
    <cellStyle name="Normal 230" xfId="31810"/>
    <cellStyle name="Normal 231" xfId="31812"/>
    <cellStyle name="Normal 232" xfId="33951"/>
    <cellStyle name="Normal 233" xfId="38779"/>
    <cellStyle name="Normal 234" xfId="38781"/>
    <cellStyle name="Normal 235" xfId="38782"/>
    <cellStyle name="Normal 236" xfId="38783"/>
    <cellStyle name="Normal 237" xfId="38784"/>
    <cellStyle name="Normal 238" xfId="38785"/>
    <cellStyle name="Normal 239" xfId="38786"/>
    <cellStyle name="Normal 24" xfId="1738"/>
    <cellStyle name="Normal 24 10" xfId="7185"/>
    <cellStyle name="Normal 24 10 2" xfId="15669"/>
    <cellStyle name="Normal 24 10 2 2" xfId="22636"/>
    <cellStyle name="Normal 24 10 2 3" xfId="29603"/>
    <cellStyle name="Normal 24 10 2 4" xfId="36572"/>
    <cellStyle name="Normal 24 10 3" xfId="13347"/>
    <cellStyle name="Normal 24 10 4" xfId="20314"/>
    <cellStyle name="Normal 24 10 5" xfId="27281"/>
    <cellStyle name="Normal 24 10 6" xfId="34250"/>
    <cellStyle name="Normal 24 11" xfId="8094"/>
    <cellStyle name="Normal 24 11 2" xfId="15841"/>
    <cellStyle name="Normal 24 11 2 2" xfId="22808"/>
    <cellStyle name="Normal 24 11 2 3" xfId="29775"/>
    <cellStyle name="Normal 24 11 2 4" xfId="36744"/>
    <cellStyle name="Normal 24 11 3" xfId="11197"/>
    <cellStyle name="Normal 24 11 4" xfId="18164"/>
    <cellStyle name="Normal 24 11 5" xfId="25131"/>
    <cellStyle name="Normal 24 11 6" xfId="32099"/>
    <cellStyle name="Normal 24 12" xfId="13519"/>
    <cellStyle name="Normal 24 12 2" xfId="20486"/>
    <cellStyle name="Normal 24 12 3" xfId="27453"/>
    <cellStyle name="Normal 24 12 4" xfId="34422"/>
    <cellStyle name="Normal 24 13" xfId="11025"/>
    <cellStyle name="Normal 24 14" xfId="17991"/>
    <cellStyle name="Normal 24 15" xfId="24959"/>
    <cellStyle name="Normal 24 16" xfId="31927"/>
    <cellStyle name="Normal 24 2" xfId="1739"/>
    <cellStyle name="Normal 24 2 10" xfId="8095"/>
    <cellStyle name="Normal 24 2 10 2" xfId="15842"/>
    <cellStyle name="Normal 24 2 10 2 2" xfId="22809"/>
    <cellStyle name="Normal 24 2 10 2 3" xfId="29776"/>
    <cellStyle name="Normal 24 2 10 2 4" xfId="36745"/>
    <cellStyle name="Normal 24 2 10 3" xfId="11198"/>
    <cellStyle name="Normal 24 2 10 4" xfId="18165"/>
    <cellStyle name="Normal 24 2 10 5" xfId="25132"/>
    <cellStyle name="Normal 24 2 10 6" xfId="32100"/>
    <cellStyle name="Normal 24 2 11" xfId="13520"/>
    <cellStyle name="Normal 24 2 11 2" xfId="20487"/>
    <cellStyle name="Normal 24 2 11 3" xfId="27454"/>
    <cellStyle name="Normal 24 2 11 4" xfId="34423"/>
    <cellStyle name="Normal 24 2 12" xfId="11026"/>
    <cellStyle name="Normal 24 2 13" xfId="17992"/>
    <cellStyle name="Normal 24 2 14" xfId="24960"/>
    <cellStyle name="Normal 24 2 15" xfId="31928"/>
    <cellStyle name="Normal 24 2 2" xfId="1740"/>
    <cellStyle name="Normal 24 2 2 10" xfId="13521"/>
    <cellStyle name="Normal 24 2 2 10 2" xfId="20488"/>
    <cellStyle name="Normal 24 2 2 10 3" xfId="27455"/>
    <cellStyle name="Normal 24 2 2 10 4" xfId="34424"/>
    <cellStyle name="Normal 24 2 2 11" xfId="11027"/>
    <cellStyle name="Normal 24 2 2 12" xfId="17993"/>
    <cellStyle name="Normal 24 2 2 13" xfId="24961"/>
    <cellStyle name="Normal 24 2 2 14" xfId="31929"/>
    <cellStyle name="Normal 24 2 2 2" xfId="3329"/>
    <cellStyle name="Normal 24 2 2 2 2" xfId="5534"/>
    <cellStyle name="Normal 24 2 2 2 2 2" xfId="10350"/>
    <cellStyle name="Normal 24 2 2 2 2 2 2" xfId="17344"/>
    <cellStyle name="Normal 24 2 2 2 2 2 3" xfId="24311"/>
    <cellStyle name="Normal 24 2 2 2 2 2 4" xfId="31278"/>
    <cellStyle name="Normal 24 2 2 2 2 2 5" xfId="38247"/>
    <cellStyle name="Normal 24 2 2 2 2 3" xfId="15024"/>
    <cellStyle name="Normal 24 2 2 2 2 3 2" xfId="21991"/>
    <cellStyle name="Normal 24 2 2 2 2 3 3" xfId="28958"/>
    <cellStyle name="Normal 24 2 2 2 2 3 4" xfId="35927"/>
    <cellStyle name="Normal 24 2 2 2 2 4" xfId="12702"/>
    <cellStyle name="Normal 24 2 2 2 2 5" xfId="19669"/>
    <cellStyle name="Normal 24 2 2 2 2 6" xfId="26636"/>
    <cellStyle name="Normal 24 2 2 2 2 7" xfId="33604"/>
    <cellStyle name="Normal 24 2 2 2 3" xfId="8963"/>
    <cellStyle name="Normal 24 2 2 2 3 2" xfId="16012"/>
    <cellStyle name="Normal 24 2 2 2 3 3" xfId="22979"/>
    <cellStyle name="Normal 24 2 2 2 3 4" xfId="29946"/>
    <cellStyle name="Normal 24 2 2 2 3 5" xfId="36915"/>
    <cellStyle name="Normal 24 2 2 2 4" xfId="13690"/>
    <cellStyle name="Normal 24 2 2 2 4 2" xfId="20657"/>
    <cellStyle name="Normal 24 2 2 2 4 3" xfId="27624"/>
    <cellStyle name="Normal 24 2 2 2 4 4" xfId="34593"/>
    <cellStyle name="Normal 24 2 2 2 5" xfId="11368"/>
    <cellStyle name="Normal 24 2 2 2 6" xfId="18335"/>
    <cellStyle name="Normal 24 2 2 2 7" xfId="25302"/>
    <cellStyle name="Normal 24 2 2 2 8" xfId="32270"/>
    <cellStyle name="Normal 24 2 2 3" xfId="3528"/>
    <cellStyle name="Normal 24 2 2 3 2" xfId="5535"/>
    <cellStyle name="Normal 24 2 2 3 2 2" xfId="10351"/>
    <cellStyle name="Normal 24 2 2 3 2 2 2" xfId="17345"/>
    <cellStyle name="Normal 24 2 2 3 2 2 3" xfId="24312"/>
    <cellStyle name="Normal 24 2 2 3 2 2 4" xfId="31279"/>
    <cellStyle name="Normal 24 2 2 3 2 2 5" xfId="38248"/>
    <cellStyle name="Normal 24 2 2 3 2 3" xfId="15025"/>
    <cellStyle name="Normal 24 2 2 3 2 3 2" xfId="21992"/>
    <cellStyle name="Normal 24 2 2 3 2 3 3" xfId="28959"/>
    <cellStyle name="Normal 24 2 2 3 2 3 4" xfId="35928"/>
    <cellStyle name="Normal 24 2 2 3 2 4" xfId="12703"/>
    <cellStyle name="Normal 24 2 2 3 2 5" xfId="19670"/>
    <cellStyle name="Normal 24 2 2 3 2 6" xfId="26637"/>
    <cellStyle name="Normal 24 2 2 3 2 7" xfId="33605"/>
    <cellStyle name="Normal 24 2 2 3 3" xfId="9140"/>
    <cellStyle name="Normal 24 2 2 3 3 2" xfId="16179"/>
    <cellStyle name="Normal 24 2 2 3 3 3" xfId="23146"/>
    <cellStyle name="Normal 24 2 2 3 3 4" xfId="30113"/>
    <cellStyle name="Normal 24 2 2 3 3 5" xfId="37082"/>
    <cellStyle name="Normal 24 2 2 3 4" xfId="13859"/>
    <cellStyle name="Normal 24 2 2 3 4 2" xfId="20826"/>
    <cellStyle name="Normal 24 2 2 3 4 3" xfId="27793"/>
    <cellStyle name="Normal 24 2 2 3 4 4" xfId="34762"/>
    <cellStyle name="Normal 24 2 2 3 5" xfId="11537"/>
    <cellStyle name="Normal 24 2 2 3 6" xfId="18504"/>
    <cellStyle name="Normal 24 2 2 3 7" xfId="25471"/>
    <cellStyle name="Normal 24 2 2 3 8" xfId="32439"/>
    <cellStyle name="Normal 24 2 2 4" xfId="3703"/>
    <cellStyle name="Normal 24 2 2 4 2" xfId="5536"/>
    <cellStyle name="Normal 24 2 2 4 2 2" xfId="10352"/>
    <cellStyle name="Normal 24 2 2 4 2 2 2" xfId="17346"/>
    <cellStyle name="Normal 24 2 2 4 2 2 3" xfId="24313"/>
    <cellStyle name="Normal 24 2 2 4 2 2 4" xfId="31280"/>
    <cellStyle name="Normal 24 2 2 4 2 2 5" xfId="38249"/>
    <cellStyle name="Normal 24 2 2 4 2 3" xfId="15026"/>
    <cellStyle name="Normal 24 2 2 4 2 3 2" xfId="21993"/>
    <cellStyle name="Normal 24 2 2 4 2 3 3" xfId="28960"/>
    <cellStyle name="Normal 24 2 2 4 2 3 4" xfId="35929"/>
    <cellStyle name="Normal 24 2 2 4 2 4" xfId="12704"/>
    <cellStyle name="Normal 24 2 2 4 2 5" xfId="19671"/>
    <cellStyle name="Normal 24 2 2 4 2 6" xfId="26638"/>
    <cellStyle name="Normal 24 2 2 4 2 7" xfId="33606"/>
    <cellStyle name="Normal 24 2 2 4 3" xfId="9311"/>
    <cellStyle name="Normal 24 2 2 4 3 2" xfId="16350"/>
    <cellStyle name="Normal 24 2 2 4 3 3" xfId="23317"/>
    <cellStyle name="Normal 24 2 2 4 3 4" xfId="30284"/>
    <cellStyle name="Normal 24 2 2 4 3 5" xfId="37253"/>
    <cellStyle name="Normal 24 2 2 4 4" xfId="14030"/>
    <cellStyle name="Normal 24 2 2 4 4 2" xfId="20997"/>
    <cellStyle name="Normal 24 2 2 4 4 3" xfId="27964"/>
    <cellStyle name="Normal 24 2 2 4 4 4" xfId="34933"/>
    <cellStyle name="Normal 24 2 2 4 5" xfId="11708"/>
    <cellStyle name="Normal 24 2 2 4 6" xfId="18675"/>
    <cellStyle name="Normal 24 2 2 4 7" xfId="25642"/>
    <cellStyle name="Normal 24 2 2 4 8" xfId="32610"/>
    <cellStyle name="Normal 24 2 2 5" xfId="3980"/>
    <cellStyle name="Normal 24 2 2 5 2" xfId="5537"/>
    <cellStyle name="Normal 24 2 2 5 2 2" xfId="10353"/>
    <cellStyle name="Normal 24 2 2 5 2 2 2" xfId="17347"/>
    <cellStyle name="Normal 24 2 2 5 2 2 3" xfId="24314"/>
    <cellStyle name="Normal 24 2 2 5 2 2 4" xfId="31281"/>
    <cellStyle name="Normal 24 2 2 5 2 2 5" xfId="38250"/>
    <cellStyle name="Normal 24 2 2 5 2 3" xfId="15027"/>
    <cellStyle name="Normal 24 2 2 5 2 3 2" xfId="21994"/>
    <cellStyle name="Normal 24 2 2 5 2 3 3" xfId="28961"/>
    <cellStyle name="Normal 24 2 2 5 2 3 4" xfId="35930"/>
    <cellStyle name="Normal 24 2 2 5 2 4" xfId="12705"/>
    <cellStyle name="Normal 24 2 2 5 2 5" xfId="19672"/>
    <cellStyle name="Normal 24 2 2 5 2 6" xfId="26639"/>
    <cellStyle name="Normal 24 2 2 5 2 7" xfId="33607"/>
    <cellStyle name="Normal 24 2 2 5 3" xfId="9586"/>
    <cellStyle name="Normal 24 2 2 5 3 2" xfId="16622"/>
    <cellStyle name="Normal 24 2 2 5 3 3" xfId="23589"/>
    <cellStyle name="Normal 24 2 2 5 3 4" xfId="30556"/>
    <cellStyle name="Normal 24 2 2 5 3 5" xfId="37525"/>
    <cellStyle name="Normal 24 2 2 5 4" xfId="14302"/>
    <cellStyle name="Normal 24 2 2 5 4 2" xfId="21269"/>
    <cellStyle name="Normal 24 2 2 5 4 3" xfId="28236"/>
    <cellStyle name="Normal 24 2 2 5 4 4" xfId="35205"/>
    <cellStyle name="Normal 24 2 2 5 5" xfId="11980"/>
    <cellStyle name="Normal 24 2 2 5 6" xfId="18947"/>
    <cellStyle name="Normal 24 2 2 5 7" xfId="25914"/>
    <cellStyle name="Normal 24 2 2 5 8" xfId="32882"/>
    <cellStyle name="Normal 24 2 2 6" xfId="5533"/>
    <cellStyle name="Normal 24 2 2 6 2" xfId="10349"/>
    <cellStyle name="Normal 24 2 2 6 2 2" xfId="17343"/>
    <cellStyle name="Normal 24 2 2 6 2 3" xfId="24310"/>
    <cellStyle name="Normal 24 2 2 6 2 4" xfId="31277"/>
    <cellStyle name="Normal 24 2 2 6 2 5" xfId="38246"/>
    <cellStyle name="Normal 24 2 2 6 3" xfId="15023"/>
    <cellStyle name="Normal 24 2 2 6 3 2" xfId="21990"/>
    <cellStyle name="Normal 24 2 2 6 3 3" xfId="28957"/>
    <cellStyle name="Normal 24 2 2 6 3 4" xfId="35926"/>
    <cellStyle name="Normal 24 2 2 6 4" xfId="12701"/>
    <cellStyle name="Normal 24 2 2 6 5" xfId="19668"/>
    <cellStyle name="Normal 24 2 2 6 6" xfId="26635"/>
    <cellStyle name="Normal 24 2 2 6 7" xfId="33603"/>
    <cellStyle name="Normal 24 2 2 7" xfId="6883"/>
    <cellStyle name="Normal 24 2 2 7 2" xfId="10844"/>
    <cellStyle name="Normal 24 2 2 7 2 2" xfId="17818"/>
    <cellStyle name="Normal 24 2 2 7 2 3" xfId="24785"/>
    <cellStyle name="Normal 24 2 2 7 2 4" xfId="31752"/>
    <cellStyle name="Normal 24 2 2 7 2 5" xfId="38721"/>
    <cellStyle name="Normal 24 2 2 7 3" xfId="15498"/>
    <cellStyle name="Normal 24 2 2 7 3 2" xfId="22465"/>
    <cellStyle name="Normal 24 2 2 7 3 3" xfId="29432"/>
    <cellStyle name="Normal 24 2 2 7 3 4" xfId="36401"/>
    <cellStyle name="Normal 24 2 2 7 4" xfId="13176"/>
    <cellStyle name="Normal 24 2 2 7 5" xfId="20143"/>
    <cellStyle name="Normal 24 2 2 7 6" xfId="27110"/>
    <cellStyle name="Normal 24 2 2 7 7" xfId="34079"/>
    <cellStyle name="Normal 24 2 2 8" xfId="7187"/>
    <cellStyle name="Normal 24 2 2 8 2" xfId="15671"/>
    <cellStyle name="Normal 24 2 2 8 2 2" xfId="22638"/>
    <cellStyle name="Normal 24 2 2 8 2 3" xfId="29605"/>
    <cellStyle name="Normal 24 2 2 8 2 4" xfId="36574"/>
    <cellStyle name="Normal 24 2 2 8 3" xfId="13349"/>
    <cellStyle name="Normal 24 2 2 8 4" xfId="20316"/>
    <cellStyle name="Normal 24 2 2 8 5" xfId="27283"/>
    <cellStyle name="Normal 24 2 2 8 6" xfId="34252"/>
    <cellStyle name="Normal 24 2 2 9" xfId="8096"/>
    <cellStyle name="Normal 24 2 2 9 2" xfId="15843"/>
    <cellStyle name="Normal 24 2 2 9 2 2" xfId="22810"/>
    <cellStyle name="Normal 24 2 2 9 2 3" xfId="29777"/>
    <cellStyle name="Normal 24 2 2 9 2 4" xfId="36746"/>
    <cellStyle name="Normal 24 2 2 9 3" xfId="11199"/>
    <cellStyle name="Normal 24 2 2 9 4" xfId="18166"/>
    <cellStyle name="Normal 24 2 2 9 5" xfId="25133"/>
    <cellStyle name="Normal 24 2 2 9 6" xfId="32101"/>
    <cellStyle name="Normal 24 2 3" xfId="3328"/>
    <cellStyle name="Normal 24 2 3 2" xfId="5538"/>
    <cellStyle name="Normal 24 2 3 2 2" xfId="10354"/>
    <cellStyle name="Normal 24 2 3 2 2 2" xfId="17348"/>
    <cellStyle name="Normal 24 2 3 2 2 3" xfId="24315"/>
    <cellStyle name="Normal 24 2 3 2 2 4" xfId="31282"/>
    <cellStyle name="Normal 24 2 3 2 2 5" xfId="38251"/>
    <cellStyle name="Normal 24 2 3 2 3" xfId="15028"/>
    <cellStyle name="Normal 24 2 3 2 3 2" xfId="21995"/>
    <cellStyle name="Normal 24 2 3 2 3 3" xfId="28962"/>
    <cellStyle name="Normal 24 2 3 2 3 4" xfId="35931"/>
    <cellStyle name="Normal 24 2 3 2 4" xfId="12706"/>
    <cellStyle name="Normal 24 2 3 2 5" xfId="19673"/>
    <cellStyle name="Normal 24 2 3 2 6" xfId="26640"/>
    <cellStyle name="Normal 24 2 3 2 7" xfId="33608"/>
    <cellStyle name="Normal 24 2 3 3" xfId="8962"/>
    <cellStyle name="Normal 24 2 3 3 2" xfId="16011"/>
    <cellStyle name="Normal 24 2 3 3 3" xfId="22978"/>
    <cellStyle name="Normal 24 2 3 3 4" xfId="29945"/>
    <cellStyle name="Normal 24 2 3 3 5" xfId="36914"/>
    <cellStyle name="Normal 24 2 3 4" xfId="13689"/>
    <cellStyle name="Normal 24 2 3 4 2" xfId="20656"/>
    <cellStyle name="Normal 24 2 3 4 3" xfId="27623"/>
    <cellStyle name="Normal 24 2 3 4 4" xfId="34592"/>
    <cellStyle name="Normal 24 2 3 5" xfId="11367"/>
    <cellStyle name="Normal 24 2 3 6" xfId="18334"/>
    <cellStyle name="Normal 24 2 3 7" xfId="25301"/>
    <cellStyle name="Normal 24 2 3 8" xfId="32269"/>
    <cellStyle name="Normal 24 2 4" xfId="3527"/>
    <cellStyle name="Normal 24 2 4 2" xfId="5539"/>
    <cellStyle name="Normal 24 2 4 2 2" xfId="10355"/>
    <cellStyle name="Normal 24 2 4 2 2 2" xfId="17349"/>
    <cellStyle name="Normal 24 2 4 2 2 3" xfId="24316"/>
    <cellStyle name="Normal 24 2 4 2 2 4" xfId="31283"/>
    <cellStyle name="Normal 24 2 4 2 2 5" xfId="38252"/>
    <cellStyle name="Normal 24 2 4 2 3" xfId="15029"/>
    <cellStyle name="Normal 24 2 4 2 3 2" xfId="21996"/>
    <cellStyle name="Normal 24 2 4 2 3 3" xfId="28963"/>
    <cellStyle name="Normal 24 2 4 2 3 4" xfId="35932"/>
    <cellStyle name="Normal 24 2 4 2 4" xfId="12707"/>
    <cellStyle name="Normal 24 2 4 2 5" xfId="19674"/>
    <cellStyle name="Normal 24 2 4 2 6" xfId="26641"/>
    <cellStyle name="Normal 24 2 4 2 7" xfId="33609"/>
    <cellStyle name="Normal 24 2 4 3" xfId="9139"/>
    <cellStyle name="Normal 24 2 4 3 2" xfId="16178"/>
    <cellStyle name="Normal 24 2 4 3 3" xfId="23145"/>
    <cellStyle name="Normal 24 2 4 3 4" xfId="30112"/>
    <cellStyle name="Normal 24 2 4 3 5" xfId="37081"/>
    <cellStyle name="Normal 24 2 4 4" xfId="13858"/>
    <cellStyle name="Normal 24 2 4 4 2" xfId="20825"/>
    <cellStyle name="Normal 24 2 4 4 3" xfId="27792"/>
    <cellStyle name="Normal 24 2 4 4 4" xfId="34761"/>
    <cellStyle name="Normal 24 2 4 5" xfId="11536"/>
    <cellStyle name="Normal 24 2 4 6" xfId="18503"/>
    <cellStyle name="Normal 24 2 4 7" xfId="25470"/>
    <cellStyle name="Normal 24 2 4 8" xfId="32438"/>
    <cellStyle name="Normal 24 2 5" xfId="3702"/>
    <cellStyle name="Normal 24 2 5 2" xfId="5540"/>
    <cellStyle name="Normal 24 2 5 2 2" xfId="10356"/>
    <cellStyle name="Normal 24 2 5 2 2 2" xfId="17350"/>
    <cellStyle name="Normal 24 2 5 2 2 3" xfId="24317"/>
    <cellStyle name="Normal 24 2 5 2 2 4" xfId="31284"/>
    <cellStyle name="Normal 24 2 5 2 2 5" xfId="38253"/>
    <cellStyle name="Normal 24 2 5 2 3" xfId="15030"/>
    <cellStyle name="Normal 24 2 5 2 3 2" xfId="21997"/>
    <cellStyle name="Normal 24 2 5 2 3 3" xfId="28964"/>
    <cellStyle name="Normal 24 2 5 2 3 4" xfId="35933"/>
    <cellStyle name="Normal 24 2 5 2 4" xfId="12708"/>
    <cellStyle name="Normal 24 2 5 2 5" xfId="19675"/>
    <cellStyle name="Normal 24 2 5 2 6" xfId="26642"/>
    <cellStyle name="Normal 24 2 5 2 7" xfId="33610"/>
    <cellStyle name="Normal 24 2 5 3" xfId="9310"/>
    <cellStyle name="Normal 24 2 5 3 2" xfId="16349"/>
    <cellStyle name="Normal 24 2 5 3 3" xfId="23316"/>
    <cellStyle name="Normal 24 2 5 3 4" xfId="30283"/>
    <cellStyle name="Normal 24 2 5 3 5" xfId="37252"/>
    <cellStyle name="Normal 24 2 5 4" xfId="14029"/>
    <cellStyle name="Normal 24 2 5 4 2" xfId="20996"/>
    <cellStyle name="Normal 24 2 5 4 3" xfId="27963"/>
    <cellStyle name="Normal 24 2 5 4 4" xfId="34932"/>
    <cellStyle name="Normal 24 2 5 5" xfId="11707"/>
    <cellStyle name="Normal 24 2 5 6" xfId="18674"/>
    <cellStyle name="Normal 24 2 5 7" xfId="25641"/>
    <cellStyle name="Normal 24 2 5 8" xfId="32609"/>
    <cellStyle name="Normal 24 2 6" xfId="3979"/>
    <cellStyle name="Normal 24 2 6 2" xfId="5541"/>
    <cellStyle name="Normal 24 2 6 2 2" xfId="10357"/>
    <cellStyle name="Normal 24 2 6 2 2 2" xfId="17351"/>
    <cellStyle name="Normal 24 2 6 2 2 3" xfId="24318"/>
    <cellStyle name="Normal 24 2 6 2 2 4" xfId="31285"/>
    <cellStyle name="Normal 24 2 6 2 2 5" xfId="38254"/>
    <cellStyle name="Normal 24 2 6 2 3" xfId="15031"/>
    <cellStyle name="Normal 24 2 6 2 3 2" xfId="21998"/>
    <cellStyle name="Normal 24 2 6 2 3 3" xfId="28965"/>
    <cellStyle name="Normal 24 2 6 2 3 4" xfId="35934"/>
    <cellStyle name="Normal 24 2 6 2 4" xfId="12709"/>
    <cellStyle name="Normal 24 2 6 2 5" xfId="19676"/>
    <cellStyle name="Normal 24 2 6 2 6" xfId="26643"/>
    <cellStyle name="Normal 24 2 6 2 7" xfId="33611"/>
    <cellStyle name="Normal 24 2 6 3" xfId="9585"/>
    <cellStyle name="Normal 24 2 6 3 2" xfId="16621"/>
    <cellStyle name="Normal 24 2 6 3 3" xfId="23588"/>
    <cellStyle name="Normal 24 2 6 3 4" xfId="30555"/>
    <cellStyle name="Normal 24 2 6 3 5" xfId="37524"/>
    <cellStyle name="Normal 24 2 6 4" xfId="14301"/>
    <cellStyle name="Normal 24 2 6 4 2" xfId="21268"/>
    <cellStyle name="Normal 24 2 6 4 3" xfId="28235"/>
    <cellStyle name="Normal 24 2 6 4 4" xfId="35204"/>
    <cellStyle name="Normal 24 2 6 5" xfId="11979"/>
    <cellStyle name="Normal 24 2 6 6" xfId="18946"/>
    <cellStyle name="Normal 24 2 6 7" xfId="25913"/>
    <cellStyle name="Normal 24 2 6 8" xfId="32881"/>
    <cellStyle name="Normal 24 2 7" xfId="5532"/>
    <cellStyle name="Normal 24 2 7 2" xfId="10348"/>
    <cellStyle name="Normal 24 2 7 2 2" xfId="17342"/>
    <cellStyle name="Normal 24 2 7 2 3" xfId="24309"/>
    <cellStyle name="Normal 24 2 7 2 4" xfId="31276"/>
    <cellStyle name="Normal 24 2 7 2 5" xfId="38245"/>
    <cellStyle name="Normal 24 2 7 3" xfId="15022"/>
    <cellStyle name="Normal 24 2 7 3 2" xfId="21989"/>
    <cellStyle name="Normal 24 2 7 3 3" xfId="28956"/>
    <cellStyle name="Normal 24 2 7 3 4" xfId="35925"/>
    <cellStyle name="Normal 24 2 7 4" xfId="12700"/>
    <cellStyle name="Normal 24 2 7 5" xfId="19667"/>
    <cellStyle name="Normal 24 2 7 6" xfId="26634"/>
    <cellStyle name="Normal 24 2 7 7" xfId="33602"/>
    <cellStyle name="Normal 24 2 8" xfId="6882"/>
    <cellStyle name="Normal 24 2 8 2" xfId="10843"/>
    <cellStyle name="Normal 24 2 8 2 2" xfId="17817"/>
    <cellStyle name="Normal 24 2 8 2 3" xfId="24784"/>
    <cellStyle name="Normal 24 2 8 2 4" xfId="31751"/>
    <cellStyle name="Normal 24 2 8 2 5" xfId="38720"/>
    <cellStyle name="Normal 24 2 8 3" xfId="15497"/>
    <cellStyle name="Normal 24 2 8 3 2" xfId="22464"/>
    <cellStyle name="Normal 24 2 8 3 3" xfId="29431"/>
    <cellStyle name="Normal 24 2 8 3 4" xfId="36400"/>
    <cellStyle name="Normal 24 2 8 4" xfId="13175"/>
    <cellStyle name="Normal 24 2 8 5" xfId="20142"/>
    <cellStyle name="Normal 24 2 8 6" xfId="27109"/>
    <cellStyle name="Normal 24 2 8 7" xfId="34078"/>
    <cellStyle name="Normal 24 2 9" xfId="7186"/>
    <cellStyle name="Normal 24 2 9 2" xfId="15670"/>
    <cellStyle name="Normal 24 2 9 2 2" xfId="22637"/>
    <cellStyle name="Normal 24 2 9 2 3" xfId="29604"/>
    <cellStyle name="Normal 24 2 9 2 4" xfId="36573"/>
    <cellStyle name="Normal 24 2 9 3" xfId="13348"/>
    <cellStyle name="Normal 24 2 9 4" xfId="20315"/>
    <cellStyle name="Normal 24 2 9 5" xfId="27282"/>
    <cellStyle name="Normal 24 2 9 6" xfId="34251"/>
    <cellStyle name="Normal 24 3" xfId="1741"/>
    <cellStyle name="Normal 24 3 10" xfId="13522"/>
    <cellStyle name="Normal 24 3 10 2" xfId="20489"/>
    <cellStyle name="Normal 24 3 10 3" xfId="27456"/>
    <cellStyle name="Normal 24 3 10 4" xfId="34425"/>
    <cellStyle name="Normal 24 3 11" xfId="11028"/>
    <cellStyle name="Normal 24 3 12" xfId="17994"/>
    <cellStyle name="Normal 24 3 13" xfId="24962"/>
    <cellStyle name="Normal 24 3 14" xfId="31930"/>
    <cellStyle name="Normal 24 3 2" xfId="3330"/>
    <cellStyle name="Normal 24 3 2 2" xfId="5543"/>
    <cellStyle name="Normal 24 3 2 2 2" xfId="10359"/>
    <cellStyle name="Normal 24 3 2 2 2 2" xfId="17353"/>
    <cellStyle name="Normal 24 3 2 2 2 3" xfId="24320"/>
    <cellStyle name="Normal 24 3 2 2 2 4" xfId="31287"/>
    <cellStyle name="Normal 24 3 2 2 2 5" xfId="38256"/>
    <cellStyle name="Normal 24 3 2 2 3" xfId="15033"/>
    <cellStyle name="Normal 24 3 2 2 3 2" xfId="22000"/>
    <cellStyle name="Normal 24 3 2 2 3 3" xfId="28967"/>
    <cellStyle name="Normal 24 3 2 2 3 4" xfId="35936"/>
    <cellStyle name="Normal 24 3 2 2 4" xfId="12711"/>
    <cellStyle name="Normal 24 3 2 2 5" xfId="19678"/>
    <cellStyle name="Normal 24 3 2 2 6" xfId="26645"/>
    <cellStyle name="Normal 24 3 2 2 7" xfId="33613"/>
    <cellStyle name="Normal 24 3 2 3" xfId="8964"/>
    <cellStyle name="Normal 24 3 2 3 2" xfId="16013"/>
    <cellStyle name="Normal 24 3 2 3 3" xfId="22980"/>
    <cellStyle name="Normal 24 3 2 3 4" xfId="29947"/>
    <cellStyle name="Normal 24 3 2 3 5" xfId="36916"/>
    <cellStyle name="Normal 24 3 2 4" xfId="13691"/>
    <cellStyle name="Normal 24 3 2 4 2" xfId="20658"/>
    <cellStyle name="Normal 24 3 2 4 3" xfId="27625"/>
    <cellStyle name="Normal 24 3 2 4 4" xfId="34594"/>
    <cellStyle name="Normal 24 3 2 5" xfId="11369"/>
    <cellStyle name="Normal 24 3 2 6" xfId="18336"/>
    <cellStyle name="Normal 24 3 2 7" xfId="25303"/>
    <cellStyle name="Normal 24 3 2 8" xfId="32271"/>
    <cellStyle name="Normal 24 3 3" xfId="3529"/>
    <cellStyle name="Normal 24 3 3 2" xfId="5544"/>
    <cellStyle name="Normal 24 3 3 2 2" xfId="10360"/>
    <cellStyle name="Normal 24 3 3 2 2 2" xfId="17354"/>
    <cellStyle name="Normal 24 3 3 2 2 3" xfId="24321"/>
    <cellStyle name="Normal 24 3 3 2 2 4" xfId="31288"/>
    <cellStyle name="Normal 24 3 3 2 2 5" xfId="38257"/>
    <cellStyle name="Normal 24 3 3 2 3" xfId="15034"/>
    <cellStyle name="Normal 24 3 3 2 3 2" xfId="22001"/>
    <cellStyle name="Normal 24 3 3 2 3 3" xfId="28968"/>
    <cellStyle name="Normal 24 3 3 2 3 4" xfId="35937"/>
    <cellStyle name="Normal 24 3 3 2 4" xfId="12712"/>
    <cellStyle name="Normal 24 3 3 2 5" xfId="19679"/>
    <cellStyle name="Normal 24 3 3 2 6" xfId="26646"/>
    <cellStyle name="Normal 24 3 3 2 7" xfId="33614"/>
    <cellStyle name="Normal 24 3 3 3" xfId="9141"/>
    <cellStyle name="Normal 24 3 3 3 2" xfId="16180"/>
    <cellStyle name="Normal 24 3 3 3 3" xfId="23147"/>
    <cellStyle name="Normal 24 3 3 3 4" xfId="30114"/>
    <cellStyle name="Normal 24 3 3 3 5" xfId="37083"/>
    <cellStyle name="Normal 24 3 3 4" xfId="13860"/>
    <cellStyle name="Normal 24 3 3 4 2" xfId="20827"/>
    <cellStyle name="Normal 24 3 3 4 3" xfId="27794"/>
    <cellStyle name="Normal 24 3 3 4 4" xfId="34763"/>
    <cellStyle name="Normal 24 3 3 5" xfId="11538"/>
    <cellStyle name="Normal 24 3 3 6" xfId="18505"/>
    <cellStyle name="Normal 24 3 3 7" xfId="25472"/>
    <cellStyle name="Normal 24 3 3 8" xfId="32440"/>
    <cellStyle name="Normal 24 3 4" xfId="3704"/>
    <cellStyle name="Normal 24 3 4 2" xfId="5545"/>
    <cellStyle name="Normal 24 3 4 2 2" xfId="10361"/>
    <cellStyle name="Normal 24 3 4 2 2 2" xfId="17355"/>
    <cellStyle name="Normal 24 3 4 2 2 3" xfId="24322"/>
    <cellStyle name="Normal 24 3 4 2 2 4" xfId="31289"/>
    <cellStyle name="Normal 24 3 4 2 2 5" xfId="38258"/>
    <cellStyle name="Normal 24 3 4 2 3" xfId="15035"/>
    <cellStyle name="Normal 24 3 4 2 3 2" xfId="22002"/>
    <cellStyle name="Normal 24 3 4 2 3 3" xfId="28969"/>
    <cellStyle name="Normal 24 3 4 2 3 4" xfId="35938"/>
    <cellStyle name="Normal 24 3 4 2 4" xfId="12713"/>
    <cellStyle name="Normal 24 3 4 2 5" xfId="19680"/>
    <cellStyle name="Normal 24 3 4 2 6" xfId="26647"/>
    <cellStyle name="Normal 24 3 4 2 7" xfId="33615"/>
    <cellStyle name="Normal 24 3 4 3" xfId="9312"/>
    <cellStyle name="Normal 24 3 4 3 2" xfId="16351"/>
    <cellStyle name="Normal 24 3 4 3 3" xfId="23318"/>
    <cellStyle name="Normal 24 3 4 3 4" xfId="30285"/>
    <cellStyle name="Normal 24 3 4 3 5" xfId="37254"/>
    <cellStyle name="Normal 24 3 4 4" xfId="14031"/>
    <cellStyle name="Normal 24 3 4 4 2" xfId="20998"/>
    <cellStyle name="Normal 24 3 4 4 3" xfId="27965"/>
    <cellStyle name="Normal 24 3 4 4 4" xfId="34934"/>
    <cellStyle name="Normal 24 3 4 5" xfId="11709"/>
    <cellStyle name="Normal 24 3 4 6" xfId="18676"/>
    <cellStyle name="Normal 24 3 4 7" xfId="25643"/>
    <cellStyle name="Normal 24 3 4 8" xfId="32611"/>
    <cellStyle name="Normal 24 3 5" xfId="3981"/>
    <cellStyle name="Normal 24 3 5 2" xfId="5546"/>
    <cellStyle name="Normal 24 3 5 2 2" xfId="10362"/>
    <cellStyle name="Normal 24 3 5 2 2 2" xfId="17356"/>
    <cellStyle name="Normal 24 3 5 2 2 3" xfId="24323"/>
    <cellStyle name="Normal 24 3 5 2 2 4" xfId="31290"/>
    <cellStyle name="Normal 24 3 5 2 2 5" xfId="38259"/>
    <cellStyle name="Normal 24 3 5 2 3" xfId="15036"/>
    <cellStyle name="Normal 24 3 5 2 3 2" xfId="22003"/>
    <cellStyle name="Normal 24 3 5 2 3 3" xfId="28970"/>
    <cellStyle name="Normal 24 3 5 2 3 4" xfId="35939"/>
    <cellStyle name="Normal 24 3 5 2 4" xfId="12714"/>
    <cellStyle name="Normal 24 3 5 2 5" xfId="19681"/>
    <cellStyle name="Normal 24 3 5 2 6" xfId="26648"/>
    <cellStyle name="Normal 24 3 5 2 7" xfId="33616"/>
    <cellStyle name="Normal 24 3 5 3" xfId="9587"/>
    <cellStyle name="Normal 24 3 5 3 2" xfId="16623"/>
    <cellStyle name="Normal 24 3 5 3 3" xfId="23590"/>
    <cellStyle name="Normal 24 3 5 3 4" xfId="30557"/>
    <cellStyle name="Normal 24 3 5 3 5" xfId="37526"/>
    <cellStyle name="Normal 24 3 5 4" xfId="14303"/>
    <cellStyle name="Normal 24 3 5 4 2" xfId="21270"/>
    <cellStyle name="Normal 24 3 5 4 3" xfId="28237"/>
    <cellStyle name="Normal 24 3 5 4 4" xfId="35206"/>
    <cellStyle name="Normal 24 3 5 5" xfId="11981"/>
    <cellStyle name="Normal 24 3 5 6" xfId="18948"/>
    <cellStyle name="Normal 24 3 5 7" xfId="25915"/>
    <cellStyle name="Normal 24 3 5 8" xfId="32883"/>
    <cellStyle name="Normal 24 3 6" xfId="5542"/>
    <cellStyle name="Normal 24 3 6 2" xfId="10358"/>
    <cellStyle name="Normal 24 3 6 2 2" xfId="17352"/>
    <cellStyle name="Normal 24 3 6 2 3" xfId="24319"/>
    <cellStyle name="Normal 24 3 6 2 4" xfId="31286"/>
    <cellStyle name="Normal 24 3 6 2 5" xfId="38255"/>
    <cellStyle name="Normal 24 3 6 3" xfId="15032"/>
    <cellStyle name="Normal 24 3 6 3 2" xfId="21999"/>
    <cellStyle name="Normal 24 3 6 3 3" xfId="28966"/>
    <cellStyle name="Normal 24 3 6 3 4" xfId="35935"/>
    <cellStyle name="Normal 24 3 6 4" xfId="12710"/>
    <cellStyle name="Normal 24 3 6 5" xfId="19677"/>
    <cellStyle name="Normal 24 3 6 6" xfId="26644"/>
    <cellStyle name="Normal 24 3 6 7" xfId="33612"/>
    <cellStyle name="Normal 24 3 7" xfId="6884"/>
    <cellStyle name="Normal 24 3 7 2" xfId="10845"/>
    <cellStyle name="Normal 24 3 7 2 2" xfId="17819"/>
    <cellStyle name="Normal 24 3 7 2 3" xfId="24786"/>
    <cellStyle name="Normal 24 3 7 2 4" xfId="31753"/>
    <cellStyle name="Normal 24 3 7 2 5" xfId="38722"/>
    <cellStyle name="Normal 24 3 7 3" xfId="15499"/>
    <cellStyle name="Normal 24 3 7 3 2" xfId="22466"/>
    <cellStyle name="Normal 24 3 7 3 3" xfId="29433"/>
    <cellStyle name="Normal 24 3 7 3 4" xfId="36402"/>
    <cellStyle name="Normal 24 3 7 4" xfId="13177"/>
    <cellStyle name="Normal 24 3 7 5" xfId="20144"/>
    <cellStyle name="Normal 24 3 7 6" xfId="27111"/>
    <cellStyle name="Normal 24 3 7 7" xfId="34080"/>
    <cellStyle name="Normal 24 3 8" xfId="7188"/>
    <cellStyle name="Normal 24 3 8 2" xfId="15672"/>
    <cellStyle name="Normal 24 3 8 2 2" xfId="22639"/>
    <cellStyle name="Normal 24 3 8 2 3" xfId="29606"/>
    <cellStyle name="Normal 24 3 8 2 4" xfId="36575"/>
    <cellStyle name="Normal 24 3 8 3" xfId="13350"/>
    <cellStyle name="Normal 24 3 8 4" xfId="20317"/>
    <cellStyle name="Normal 24 3 8 5" xfId="27284"/>
    <cellStyle name="Normal 24 3 8 6" xfId="34253"/>
    <cellStyle name="Normal 24 3 9" xfId="8097"/>
    <cellStyle name="Normal 24 3 9 2" xfId="15844"/>
    <cellStyle name="Normal 24 3 9 2 2" xfId="22811"/>
    <cellStyle name="Normal 24 3 9 2 3" xfId="29778"/>
    <cellStyle name="Normal 24 3 9 2 4" xfId="36747"/>
    <cellStyle name="Normal 24 3 9 3" xfId="11200"/>
    <cellStyle name="Normal 24 3 9 4" xfId="18167"/>
    <cellStyle name="Normal 24 3 9 5" xfId="25134"/>
    <cellStyle name="Normal 24 3 9 6" xfId="32102"/>
    <cellStyle name="Normal 24 4" xfId="3327"/>
    <cellStyle name="Normal 24 4 2" xfId="5547"/>
    <cellStyle name="Normal 24 4 2 2" xfId="10363"/>
    <cellStyle name="Normal 24 4 2 2 2" xfId="17357"/>
    <cellStyle name="Normal 24 4 2 2 3" xfId="24324"/>
    <cellStyle name="Normal 24 4 2 2 4" xfId="31291"/>
    <cellStyle name="Normal 24 4 2 2 5" xfId="38260"/>
    <cellStyle name="Normal 24 4 2 3" xfId="15037"/>
    <cellStyle name="Normal 24 4 2 3 2" xfId="22004"/>
    <cellStyle name="Normal 24 4 2 3 3" xfId="28971"/>
    <cellStyle name="Normal 24 4 2 3 4" xfId="35940"/>
    <cellStyle name="Normal 24 4 2 4" xfId="12715"/>
    <cellStyle name="Normal 24 4 2 5" xfId="19682"/>
    <cellStyle name="Normal 24 4 2 6" xfId="26649"/>
    <cellStyle name="Normal 24 4 2 7" xfId="33617"/>
    <cellStyle name="Normal 24 4 3" xfId="8961"/>
    <cellStyle name="Normal 24 4 3 2" xfId="16010"/>
    <cellStyle name="Normal 24 4 3 3" xfId="22977"/>
    <cellStyle name="Normal 24 4 3 4" xfId="29944"/>
    <cellStyle name="Normal 24 4 3 5" xfId="36913"/>
    <cellStyle name="Normal 24 4 4" xfId="13688"/>
    <cellStyle name="Normal 24 4 4 2" xfId="20655"/>
    <cellStyle name="Normal 24 4 4 3" xfId="27622"/>
    <cellStyle name="Normal 24 4 4 4" xfId="34591"/>
    <cellStyle name="Normal 24 4 5" xfId="11366"/>
    <cellStyle name="Normal 24 4 6" xfId="18333"/>
    <cellStyle name="Normal 24 4 7" xfId="25300"/>
    <cellStyle name="Normal 24 4 8" xfId="32268"/>
    <cellStyle name="Normal 24 5" xfId="3526"/>
    <cellStyle name="Normal 24 5 2" xfId="5548"/>
    <cellStyle name="Normal 24 5 2 2" xfId="10364"/>
    <cellStyle name="Normal 24 5 2 2 2" xfId="17358"/>
    <cellStyle name="Normal 24 5 2 2 3" xfId="24325"/>
    <cellStyle name="Normal 24 5 2 2 4" xfId="31292"/>
    <cellStyle name="Normal 24 5 2 2 5" xfId="38261"/>
    <cellStyle name="Normal 24 5 2 3" xfId="15038"/>
    <cellStyle name="Normal 24 5 2 3 2" xfId="22005"/>
    <cellStyle name="Normal 24 5 2 3 3" xfId="28972"/>
    <cellStyle name="Normal 24 5 2 3 4" xfId="35941"/>
    <cellStyle name="Normal 24 5 2 4" xfId="12716"/>
    <cellStyle name="Normal 24 5 2 5" xfId="19683"/>
    <cellStyle name="Normal 24 5 2 6" xfId="26650"/>
    <cellStyle name="Normal 24 5 2 7" xfId="33618"/>
    <cellStyle name="Normal 24 5 3" xfId="9138"/>
    <cellStyle name="Normal 24 5 3 2" xfId="16177"/>
    <cellStyle name="Normal 24 5 3 3" xfId="23144"/>
    <cellStyle name="Normal 24 5 3 4" xfId="30111"/>
    <cellStyle name="Normal 24 5 3 5" xfId="37080"/>
    <cellStyle name="Normal 24 5 4" xfId="13857"/>
    <cellStyle name="Normal 24 5 4 2" xfId="20824"/>
    <cellStyle name="Normal 24 5 4 3" xfId="27791"/>
    <cellStyle name="Normal 24 5 4 4" xfId="34760"/>
    <cellStyle name="Normal 24 5 5" xfId="11535"/>
    <cellStyle name="Normal 24 5 6" xfId="18502"/>
    <cellStyle name="Normal 24 5 7" xfId="25469"/>
    <cellStyle name="Normal 24 5 8" xfId="32437"/>
    <cellStyle name="Normal 24 6" xfId="3701"/>
    <cellStyle name="Normal 24 6 2" xfId="5549"/>
    <cellStyle name="Normal 24 6 2 2" xfId="10365"/>
    <cellStyle name="Normal 24 6 2 2 2" xfId="17359"/>
    <cellStyle name="Normal 24 6 2 2 3" xfId="24326"/>
    <cellStyle name="Normal 24 6 2 2 4" xfId="31293"/>
    <cellStyle name="Normal 24 6 2 2 5" xfId="38262"/>
    <cellStyle name="Normal 24 6 2 3" xfId="15039"/>
    <cellStyle name="Normal 24 6 2 3 2" xfId="22006"/>
    <cellStyle name="Normal 24 6 2 3 3" xfId="28973"/>
    <cellStyle name="Normal 24 6 2 3 4" xfId="35942"/>
    <cellStyle name="Normal 24 6 2 4" xfId="12717"/>
    <cellStyle name="Normal 24 6 2 5" xfId="19684"/>
    <cellStyle name="Normal 24 6 2 6" xfId="26651"/>
    <cellStyle name="Normal 24 6 2 7" xfId="33619"/>
    <cellStyle name="Normal 24 6 3" xfId="9309"/>
    <cellStyle name="Normal 24 6 3 2" xfId="16348"/>
    <cellStyle name="Normal 24 6 3 3" xfId="23315"/>
    <cellStyle name="Normal 24 6 3 4" xfId="30282"/>
    <cellStyle name="Normal 24 6 3 5" xfId="37251"/>
    <cellStyle name="Normal 24 6 4" xfId="14028"/>
    <cellStyle name="Normal 24 6 4 2" xfId="20995"/>
    <cellStyle name="Normal 24 6 4 3" xfId="27962"/>
    <cellStyle name="Normal 24 6 4 4" xfId="34931"/>
    <cellStyle name="Normal 24 6 5" xfId="11706"/>
    <cellStyle name="Normal 24 6 6" xfId="18673"/>
    <cellStyle name="Normal 24 6 7" xfId="25640"/>
    <cellStyle name="Normal 24 6 8" xfId="32608"/>
    <cellStyle name="Normal 24 7" xfId="3978"/>
    <cellStyle name="Normal 24 7 2" xfId="5550"/>
    <cellStyle name="Normal 24 7 2 2" xfId="10366"/>
    <cellStyle name="Normal 24 7 2 2 2" xfId="17360"/>
    <cellStyle name="Normal 24 7 2 2 3" xfId="24327"/>
    <cellStyle name="Normal 24 7 2 2 4" xfId="31294"/>
    <cellStyle name="Normal 24 7 2 2 5" xfId="38263"/>
    <cellStyle name="Normal 24 7 2 3" xfId="15040"/>
    <cellStyle name="Normal 24 7 2 3 2" xfId="22007"/>
    <cellStyle name="Normal 24 7 2 3 3" xfId="28974"/>
    <cellStyle name="Normal 24 7 2 3 4" xfId="35943"/>
    <cellStyle name="Normal 24 7 2 4" xfId="12718"/>
    <cellStyle name="Normal 24 7 2 5" xfId="19685"/>
    <cellStyle name="Normal 24 7 2 6" xfId="26652"/>
    <cellStyle name="Normal 24 7 2 7" xfId="33620"/>
    <cellStyle name="Normal 24 7 3" xfId="9584"/>
    <cellStyle name="Normal 24 7 3 2" xfId="16620"/>
    <cellStyle name="Normal 24 7 3 3" xfId="23587"/>
    <cellStyle name="Normal 24 7 3 4" xfId="30554"/>
    <cellStyle name="Normal 24 7 3 5" xfId="37523"/>
    <cellStyle name="Normal 24 7 4" xfId="14300"/>
    <cellStyle name="Normal 24 7 4 2" xfId="21267"/>
    <cellStyle name="Normal 24 7 4 3" xfId="28234"/>
    <cellStyle name="Normal 24 7 4 4" xfId="35203"/>
    <cellStyle name="Normal 24 7 5" xfId="11978"/>
    <cellStyle name="Normal 24 7 6" xfId="18945"/>
    <cellStyle name="Normal 24 7 7" xfId="25912"/>
    <cellStyle name="Normal 24 7 8" xfId="32880"/>
    <cellStyle name="Normal 24 8" xfId="5531"/>
    <cellStyle name="Normal 24 8 2" xfId="10347"/>
    <cellStyle name="Normal 24 8 2 2" xfId="17341"/>
    <cellStyle name="Normal 24 8 2 3" xfId="24308"/>
    <cellStyle name="Normal 24 8 2 4" xfId="31275"/>
    <cellStyle name="Normal 24 8 2 5" xfId="38244"/>
    <cellStyle name="Normal 24 8 3" xfId="15021"/>
    <cellStyle name="Normal 24 8 3 2" xfId="21988"/>
    <cellStyle name="Normal 24 8 3 3" xfId="28955"/>
    <cellStyle name="Normal 24 8 3 4" xfId="35924"/>
    <cellStyle name="Normal 24 8 4" xfId="12699"/>
    <cellStyle name="Normal 24 8 5" xfId="19666"/>
    <cellStyle name="Normal 24 8 6" xfId="26633"/>
    <cellStyle name="Normal 24 8 7" xfId="33601"/>
    <cellStyle name="Normal 24 9" xfId="6881"/>
    <cellStyle name="Normal 24 9 2" xfId="10842"/>
    <cellStyle name="Normal 24 9 2 2" xfId="17816"/>
    <cellStyle name="Normal 24 9 2 3" xfId="24783"/>
    <cellStyle name="Normal 24 9 2 4" xfId="31750"/>
    <cellStyle name="Normal 24 9 2 5" xfId="38719"/>
    <cellStyle name="Normal 24 9 3" xfId="15496"/>
    <cellStyle name="Normal 24 9 3 2" xfId="22463"/>
    <cellStyle name="Normal 24 9 3 3" xfId="29430"/>
    <cellStyle name="Normal 24 9 3 4" xfId="36399"/>
    <cellStyle name="Normal 24 9 4" xfId="13174"/>
    <cellStyle name="Normal 24 9 5" xfId="20141"/>
    <cellStyle name="Normal 24 9 6" xfId="27108"/>
    <cellStyle name="Normal 24 9 7" xfId="34077"/>
    <cellStyle name="Normal 240" xfId="38787"/>
    <cellStyle name="Normal 25" xfId="1742"/>
    <cellStyle name="Normal 25 2" xfId="1743"/>
    <cellStyle name="Normal 25 3" xfId="1744"/>
    <cellStyle name="Normal 25 4" xfId="6885"/>
    <cellStyle name="Normal 25 4 2" xfId="10846"/>
    <cellStyle name="Normal 26" xfId="1745"/>
    <cellStyle name="Normal 26 10" xfId="7189"/>
    <cellStyle name="Normal 26 10 2" xfId="15673"/>
    <cellStyle name="Normal 26 10 2 2" xfId="22640"/>
    <cellStyle name="Normal 26 10 2 3" xfId="29607"/>
    <cellStyle name="Normal 26 10 2 4" xfId="36576"/>
    <cellStyle name="Normal 26 10 3" xfId="13351"/>
    <cellStyle name="Normal 26 10 4" xfId="20318"/>
    <cellStyle name="Normal 26 10 5" xfId="27285"/>
    <cellStyle name="Normal 26 10 6" xfId="34254"/>
    <cellStyle name="Normal 26 11" xfId="8098"/>
    <cellStyle name="Normal 26 11 2" xfId="15845"/>
    <cellStyle name="Normal 26 11 2 2" xfId="22812"/>
    <cellStyle name="Normal 26 11 2 3" xfId="29779"/>
    <cellStyle name="Normal 26 11 2 4" xfId="36748"/>
    <cellStyle name="Normal 26 11 3" xfId="11201"/>
    <cellStyle name="Normal 26 11 4" xfId="18168"/>
    <cellStyle name="Normal 26 11 5" xfId="25135"/>
    <cellStyle name="Normal 26 11 6" xfId="32103"/>
    <cellStyle name="Normal 26 12" xfId="13523"/>
    <cellStyle name="Normal 26 12 2" xfId="20490"/>
    <cellStyle name="Normal 26 12 3" xfId="27457"/>
    <cellStyle name="Normal 26 12 4" xfId="34426"/>
    <cellStyle name="Normal 26 13" xfId="11029"/>
    <cellStyle name="Normal 26 14" xfId="17995"/>
    <cellStyle name="Normal 26 15" xfId="24963"/>
    <cellStyle name="Normal 26 16" xfId="31931"/>
    <cellStyle name="Normal 26 2" xfId="1746"/>
    <cellStyle name="Normal 26 2 10" xfId="8099"/>
    <cellStyle name="Normal 26 2 10 2" xfId="15846"/>
    <cellStyle name="Normal 26 2 10 2 2" xfId="22813"/>
    <cellStyle name="Normal 26 2 10 2 3" xfId="29780"/>
    <cellStyle name="Normal 26 2 10 2 4" xfId="36749"/>
    <cellStyle name="Normal 26 2 10 3" xfId="11202"/>
    <cellStyle name="Normal 26 2 10 4" xfId="18169"/>
    <cellStyle name="Normal 26 2 10 5" xfId="25136"/>
    <cellStyle name="Normal 26 2 10 6" xfId="32104"/>
    <cellStyle name="Normal 26 2 11" xfId="13524"/>
    <cellStyle name="Normal 26 2 11 2" xfId="20491"/>
    <cellStyle name="Normal 26 2 11 3" xfId="27458"/>
    <cellStyle name="Normal 26 2 11 4" xfId="34427"/>
    <cellStyle name="Normal 26 2 12" xfId="11030"/>
    <cellStyle name="Normal 26 2 13" xfId="17996"/>
    <cellStyle name="Normal 26 2 14" xfId="24964"/>
    <cellStyle name="Normal 26 2 15" xfId="31932"/>
    <cellStyle name="Normal 26 2 2" xfId="1747"/>
    <cellStyle name="Normal 26 2 2 10" xfId="13525"/>
    <cellStyle name="Normal 26 2 2 10 2" xfId="20492"/>
    <cellStyle name="Normal 26 2 2 10 3" xfId="27459"/>
    <cellStyle name="Normal 26 2 2 10 4" xfId="34428"/>
    <cellStyle name="Normal 26 2 2 11" xfId="11031"/>
    <cellStyle name="Normal 26 2 2 12" xfId="17997"/>
    <cellStyle name="Normal 26 2 2 13" xfId="24965"/>
    <cellStyle name="Normal 26 2 2 14" xfId="31933"/>
    <cellStyle name="Normal 26 2 2 2" xfId="3333"/>
    <cellStyle name="Normal 26 2 2 2 2" xfId="5554"/>
    <cellStyle name="Normal 26 2 2 2 2 2" xfId="10370"/>
    <cellStyle name="Normal 26 2 2 2 2 2 2" xfId="17364"/>
    <cellStyle name="Normal 26 2 2 2 2 2 3" xfId="24331"/>
    <cellStyle name="Normal 26 2 2 2 2 2 4" xfId="31298"/>
    <cellStyle name="Normal 26 2 2 2 2 2 5" xfId="38267"/>
    <cellStyle name="Normal 26 2 2 2 2 3" xfId="15044"/>
    <cellStyle name="Normal 26 2 2 2 2 3 2" xfId="22011"/>
    <cellStyle name="Normal 26 2 2 2 2 3 3" xfId="28978"/>
    <cellStyle name="Normal 26 2 2 2 2 3 4" xfId="35947"/>
    <cellStyle name="Normal 26 2 2 2 2 4" xfId="12722"/>
    <cellStyle name="Normal 26 2 2 2 2 5" xfId="19689"/>
    <cellStyle name="Normal 26 2 2 2 2 6" xfId="26656"/>
    <cellStyle name="Normal 26 2 2 2 2 7" xfId="33624"/>
    <cellStyle name="Normal 26 2 2 2 3" xfId="8967"/>
    <cellStyle name="Normal 26 2 2 2 3 2" xfId="16016"/>
    <cellStyle name="Normal 26 2 2 2 3 3" xfId="22983"/>
    <cellStyle name="Normal 26 2 2 2 3 4" xfId="29950"/>
    <cellStyle name="Normal 26 2 2 2 3 5" xfId="36919"/>
    <cellStyle name="Normal 26 2 2 2 4" xfId="13694"/>
    <cellStyle name="Normal 26 2 2 2 4 2" xfId="20661"/>
    <cellStyle name="Normal 26 2 2 2 4 3" xfId="27628"/>
    <cellStyle name="Normal 26 2 2 2 4 4" xfId="34597"/>
    <cellStyle name="Normal 26 2 2 2 5" xfId="11372"/>
    <cellStyle name="Normal 26 2 2 2 6" xfId="18339"/>
    <cellStyle name="Normal 26 2 2 2 7" xfId="25306"/>
    <cellStyle name="Normal 26 2 2 2 8" xfId="32274"/>
    <cellStyle name="Normal 26 2 2 3" xfId="3532"/>
    <cellStyle name="Normal 26 2 2 3 2" xfId="5555"/>
    <cellStyle name="Normal 26 2 2 3 2 2" xfId="10371"/>
    <cellStyle name="Normal 26 2 2 3 2 2 2" xfId="17365"/>
    <cellStyle name="Normal 26 2 2 3 2 2 3" xfId="24332"/>
    <cellStyle name="Normal 26 2 2 3 2 2 4" xfId="31299"/>
    <cellStyle name="Normal 26 2 2 3 2 2 5" xfId="38268"/>
    <cellStyle name="Normal 26 2 2 3 2 3" xfId="15045"/>
    <cellStyle name="Normal 26 2 2 3 2 3 2" xfId="22012"/>
    <cellStyle name="Normal 26 2 2 3 2 3 3" xfId="28979"/>
    <cellStyle name="Normal 26 2 2 3 2 3 4" xfId="35948"/>
    <cellStyle name="Normal 26 2 2 3 2 4" xfId="12723"/>
    <cellStyle name="Normal 26 2 2 3 2 5" xfId="19690"/>
    <cellStyle name="Normal 26 2 2 3 2 6" xfId="26657"/>
    <cellStyle name="Normal 26 2 2 3 2 7" xfId="33625"/>
    <cellStyle name="Normal 26 2 2 3 3" xfId="9144"/>
    <cellStyle name="Normal 26 2 2 3 3 2" xfId="16183"/>
    <cellStyle name="Normal 26 2 2 3 3 3" xfId="23150"/>
    <cellStyle name="Normal 26 2 2 3 3 4" xfId="30117"/>
    <cellStyle name="Normal 26 2 2 3 3 5" xfId="37086"/>
    <cellStyle name="Normal 26 2 2 3 4" xfId="13863"/>
    <cellStyle name="Normal 26 2 2 3 4 2" xfId="20830"/>
    <cellStyle name="Normal 26 2 2 3 4 3" xfId="27797"/>
    <cellStyle name="Normal 26 2 2 3 4 4" xfId="34766"/>
    <cellStyle name="Normal 26 2 2 3 5" xfId="11541"/>
    <cellStyle name="Normal 26 2 2 3 6" xfId="18508"/>
    <cellStyle name="Normal 26 2 2 3 7" xfId="25475"/>
    <cellStyle name="Normal 26 2 2 3 8" xfId="32443"/>
    <cellStyle name="Normal 26 2 2 4" xfId="3707"/>
    <cellStyle name="Normal 26 2 2 4 2" xfId="5556"/>
    <cellStyle name="Normal 26 2 2 4 2 2" xfId="10372"/>
    <cellStyle name="Normal 26 2 2 4 2 2 2" xfId="17366"/>
    <cellStyle name="Normal 26 2 2 4 2 2 3" xfId="24333"/>
    <cellStyle name="Normal 26 2 2 4 2 2 4" xfId="31300"/>
    <cellStyle name="Normal 26 2 2 4 2 2 5" xfId="38269"/>
    <cellStyle name="Normal 26 2 2 4 2 3" xfId="15046"/>
    <cellStyle name="Normal 26 2 2 4 2 3 2" xfId="22013"/>
    <cellStyle name="Normal 26 2 2 4 2 3 3" xfId="28980"/>
    <cellStyle name="Normal 26 2 2 4 2 3 4" xfId="35949"/>
    <cellStyle name="Normal 26 2 2 4 2 4" xfId="12724"/>
    <cellStyle name="Normal 26 2 2 4 2 5" xfId="19691"/>
    <cellStyle name="Normal 26 2 2 4 2 6" xfId="26658"/>
    <cellStyle name="Normal 26 2 2 4 2 7" xfId="33626"/>
    <cellStyle name="Normal 26 2 2 4 3" xfId="9315"/>
    <cellStyle name="Normal 26 2 2 4 3 2" xfId="16354"/>
    <cellStyle name="Normal 26 2 2 4 3 3" xfId="23321"/>
    <cellStyle name="Normal 26 2 2 4 3 4" xfId="30288"/>
    <cellStyle name="Normal 26 2 2 4 3 5" xfId="37257"/>
    <cellStyle name="Normal 26 2 2 4 4" xfId="14034"/>
    <cellStyle name="Normal 26 2 2 4 4 2" xfId="21001"/>
    <cellStyle name="Normal 26 2 2 4 4 3" xfId="27968"/>
    <cellStyle name="Normal 26 2 2 4 4 4" xfId="34937"/>
    <cellStyle name="Normal 26 2 2 4 5" xfId="11712"/>
    <cellStyle name="Normal 26 2 2 4 6" xfId="18679"/>
    <cellStyle name="Normal 26 2 2 4 7" xfId="25646"/>
    <cellStyle name="Normal 26 2 2 4 8" xfId="32614"/>
    <cellStyle name="Normal 26 2 2 5" xfId="3984"/>
    <cellStyle name="Normal 26 2 2 5 2" xfId="5557"/>
    <cellStyle name="Normal 26 2 2 5 2 2" xfId="10373"/>
    <cellStyle name="Normal 26 2 2 5 2 2 2" xfId="17367"/>
    <cellStyle name="Normal 26 2 2 5 2 2 3" xfId="24334"/>
    <cellStyle name="Normal 26 2 2 5 2 2 4" xfId="31301"/>
    <cellStyle name="Normal 26 2 2 5 2 2 5" xfId="38270"/>
    <cellStyle name="Normal 26 2 2 5 2 3" xfId="15047"/>
    <cellStyle name="Normal 26 2 2 5 2 3 2" xfId="22014"/>
    <cellStyle name="Normal 26 2 2 5 2 3 3" xfId="28981"/>
    <cellStyle name="Normal 26 2 2 5 2 3 4" xfId="35950"/>
    <cellStyle name="Normal 26 2 2 5 2 4" xfId="12725"/>
    <cellStyle name="Normal 26 2 2 5 2 5" xfId="19692"/>
    <cellStyle name="Normal 26 2 2 5 2 6" xfId="26659"/>
    <cellStyle name="Normal 26 2 2 5 2 7" xfId="33627"/>
    <cellStyle name="Normal 26 2 2 5 3" xfId="9590"/>
    <cellStyle name="Normal 26 2 2 5 3 2" xfId="16626"/>
    <cellStyle name="Normal 26 2 2 5 3 3" xfId="23593"/>
    <cellStyle name="Normal 26 2 2 5 3 4" xfId="30560"/>
    <cellStyle name="Normal 26 2 2 5 3 5" xfId="37529"/>
    <cellStyle name="Normal 26 2 2 5 4" xfId="14306"/>
    <cellStyle name="Normal 26 2 2 5 4 2" xfId="21273"/>
    <cellStyle name="Normal 26 2 2 5 4 3" xfId="28240"/>
    <cellStyle name="Normal 26 2 2 5 4 4" xfId="35209"/>
    <cellStyle name="Normal 26 2 2 5 5" xfId="11984"/>
    <cellStyle name="Normal 26 2 2 5 6" xfId="18951"/>
    <cellStyle name="Normal 26 2 2 5 7" xfId="25918"/>
    <cellStyle name="Normal 26 2 2 5 8" xfId="32886"/>
    <cellStyle name="Normal 26 2 2 6" xfId="5553"/>
    <cellStyle name="Normal 26 2 2 6 2" xfId="10369"/>
    <cellStyle name="Normal 26 2 2 6 2 2" xfId="17363"/>
    <cellStyle name="Normal 26 2 2 6 2 3" xfId="24330"/>
    <cellStyle name="Normal 26 2 2 6 2 4" xfId="31297"/>
    <cellStyle name="Normal 26 2 2 6 2 5" xfId="38266"/>
    <cellStyle name="Normal 26 2 2 6 3" xfId="15043"/>
    <cellStyle name="Normal 26 2 2 6 3 2" xfId="22010"/>
    <cellStyle name="Normal 26 2 2 6 3 3" xfId="28977"/>
    <cellStyle name="Normal 26 2 2 6 3 4" xfId="35946"/>
    <cellStyle name="Normal 26 2 2 6 4" xfId="12721"/>
    <cellStyle name="Normal 26 2 2 6 5" xfId="19688"/>
    <cellStyle name="Normal 26 2 2 6 6" xfId="26655"/>
    <cellStyle name="Normal 26 2 2 6 7" xfId="33623"/>
    <cellStyle name="Normal 26 2 2 7" xfId="6888"/>
    <cellStyle name="Normal 26 2 2 7 2" xfId="10849"/>
    <cellStyle name="Normal 26 2 2 7 2 2" xfId="17822"/>
    <cellStyle name="Normal 26 2 2 7 2 3" xfId="24789"/>
    <cellStyle name="Normal 26 2 2 7 2 4" xfId="31756"/>
    <cellStyle name="Normal 26 2 2 7 2 5" xfId="38725"/>
    <cellStyle name="Normal 26 2 2 7 3" xfId="15502"/>
    <cellStyle name="Normal 26 2 2 7 3 2" xfId="22469"/>
    <cellStyle name="Normal 26 2 2 7 3 3" xfId="29436"/>
    <cellStyle name="Normal 26 2 2 7 3 4" xfId="36405"/>
    <cellStyle name="Normal 26 2 2 7 4" xfId="13180"/>
    <cellStyle name="Normal 26 2 2 7 5" xfId="20147"/>
    <cellStyle name="Normal 26 2 2 7 6" xfId="27114"/>
    <cellStyle name="Normal 26 2 2 7 7" xfId="34083"/>
    <cellStyle name="Normal 26 2 2 8" xfId="7191"/>
    <cellStyle name="Normal 26 2 2 8 2" xfId="15675"/>
    <cellStyle name="Normal 26 2 2 8 2 2" xfId="22642"/>
    <cellStyle name="Normal 26 2 2 8 2 3" xfId="29609"/>
    <cellStyle name="Normal 26 2 2 8 2 4" xfId="36578"/>
    <cellStyle name="Normal 26 2 2 8 3" xfId="13353"/>
    <cellStyle name="Normal 26 2 2 8 4" xfId="20320"/>
    <cellStyle name="Normal 26 2 2 8 5" xfId="27287"/>
    <cellStyle name="Normal 26 2 2 8 6" xfId="34256"/>
    <cellStyle name="Normal 26 2 2 9" xfId="8100"/>
    <cellStyle name="Normal 26 2 2 9 2" xfId="15847"/>
    <cellStyle name="Normal 26 2 2 9 2 2" xfId="22814"/>
    <cellStyle name="Normal 26 2 2 9 2 3" xfId="29781"/>
    <cellStyle name="Normal 26 2 2 9 2 4" xfId="36750"/>
    <cellStyle name="Normal 26 2 2 9 3" xfId="11203"/>
    <cellStyle name="Normal 26 2 2 9 4" xfId="18170"/>
    <cellStyle name="Normal 26 2 2 9 5" xfId="25137"/>
    <cellStyle name="Normal 26 2 2 9 6" xfId="32105"/>
    <cellStyle name="Normal 26 2 3" xfId="3332"/>
    <cellStyle name="Normal 26 2 3 2" xfId="5558"/>
    <cellStyle name="Normal 26 2 3 2 2" xfId="10374"/>
    <cellStyle name="Normal 26 2 3 2 2 2" xfId="17368"/>
    <cellStyle name="Normal 26 2 3 2 2 3" xfId="24335"/>
    <cellStyle name="Normal 26 2 3 2 2 4" xfId="31302"/>
    <cellStyle name="Normal 26 2 3 2 2 5" xfId="38271"/>
    <cellStyle name="Normal 26 2 3 2 3" xfId="15048"/>
    <cellStyle name="Normal 26 2 3 2 3 2" xfId="22015"/>
    <cellStyle name="Normal 26 2 3 2 3 3" xfId="28982"/>
    <cellStyle name="Normal 26 2 3 2 3 4" xfId="35951"/>
    <cellStyle name="Normal 26 2 3 2 4" xfId="12726"/>
    <cellStyle name="Normal 26 2 3 2 5" xfId="19693"/>
    <cellStyle name="Normal 26 2 3 2 6" xfId="26660"/>
    <cellStyle name="Normal 26 2 3 2 7" xfId="33628"/>
    <cellStyle name="Normal 26 2 3 3" xfId="8966"/>
    <cellStyle name="Normal 26 2 3 3 2" xfId="16015"/>
    <cellStyle name="Normal 26 2 3 3 3" xfId="22982"/>
    <cellStyle name="Normal 26 2 3 3 4" xfId="29949"/>
    <cellStyle name="Normal 26 2 3 3 5" xfId="36918"/>
    <cellStyle name="Normal 26 2 3 4" xfId="13693"/>
    <cellStyle name="Normal 26 2 3 4 2" xfId="20660"/>
    <cellStyle name="Normal 26 2 3 4 3" xfId="27627"/>
    <cellStyle name="Normal 26 2 3 4 4" xfId="34596"/>
    <cellStyle name="Normal 26 2 3 5" xfId="11371"/>
    <cellStyle name="Normal 26 2 3 6" xfId="18338"/>
    <cellStyle name="Normal 26 2 3 7" xfId="25305"/>
    <cellStyle name="Normal 26 2 3 8" xfId="32273"/>
    <cellStyle name="Normal 26 2 4" xfId="3531"/>
    <cellStyle name="Normal 26 2 4 2" xfId="5559"/>
    <cellStyle name="Normal 26 2 4 2 2" xfId="10375"/>
    <cellStyle name="Normal 26 2 4 2 2 2" xfId="17369"/>
    <cellStyle name="Normal 26 2 4 2 2 3" xfId="24336"/>
    <cellStyle name="Normal 26 2 4 2 2 4" xfId="31303"/>
    <cellStyle name="Normal 26 2 4 2 2 5" xfId="38272"/>
    <cellStyle name="Normal 26 2 4 2 3" xfId="15049"/>
    <cellStyle name="Normal 26 2 4 2 3 2" xfId="22016"/>
    <cellStyle name="Normal 26 2 4 2 3 3" xfId="28983"/>
    <cellStyle name="Normal 26 2 4 2 3 4" xfId="35952"/>
    <cellStyle name="Normal 26 2 4 2 4" xfId="12727"/>
    <cellStyle name="Normal 26 2 4 2 5" xfId="19694"/>
    <cellStyle name="Normal 26 2 4 2 6" xfId="26661"/>
    <cellStyle name="Normal 26 2 4 2 7" xfId="33629"/>
    <cellStyle name="Normal 26 2 4 3" xfId="9143"/>
    <cellStyle name="Normal 26 2 4 3 2" xfId="16182"/>
    <cellStyle name="Normal 26 2 4 3 3" xfId="23149"/>
    <cellStyle name="Normal 26 2 4 3 4" xfId="30116"/>
    <cellStyle name="Normal 26 2 4 3 5" xfId="37085"/>
    <cellStyle name="Normal 26 2 4 4" xfId="13862"/>
    <cellStyle name="Normal 26 2 4 4 2" xfId="20829"/>
    <cellStyle name="Normal 26 2 4 4 3" xfId="27796"/>
    <cellStyle name="Normal 26 2 4 4 4" xfId="34765"/>
    <cellStyle name="Normal 26 2 4 5" xfId="11540"/>
    <cellStyle name="Normal 26 2 4 6" xfId="18507"/>
    <cellStyle name="Normal 26 2 4 7" xfId="25474"/>
    <cellStyle name="Normal 26 2 4 8" xfId="32442"/>
    <cellStyle name="Normal 26 2 5" xfId="3706"/>
    <cellStyle name="Normal 26 2 5 2" xfId="5560"/>
    <cellStyle name="Normal 26 2 5 2 2" xfId="10376"/>
    <cellStyle name="Normal 26 2 5 2 2 2" xfId="17370"/>
    <cellStyle name="Normal 26 2 5 2 2 3" xfId="24337"/>
    <cellStyle name="Normal 26 2 5 2 2 4" xfId="31304"/>
    <cellStyle name="Normal 26 2 5 2 2 5" xfId="38273"/>
    <cellStyle name="Normal 26 2 5 2 3" xfId="15050"/>
    <cellStyle name="Normal 26 2 5 2 3 2" xfId="22017"/>
    <cellStyle name="Normal 26 2 5 2 3 3" xfId="28984"/>
    <cellStyle name="Normal 26 2 5 2 3 4" xfId="35953"/>
    <cellStyle name="Normal 26 2 5 2 4" xfId="12728"/>
    <cellStyle name="Normal 26 2 5 2 5" xfId="19695"/>
    <cellStyle name="Normal 26 2 5 2 6" xfId="26662"/>
    <cellStyle name="Normal 26 2 5 2 7" xfId="33630"/>
    <cellStyle name="Normal 26 2 5 3" xfId="9314"/>
    <cellStyle name="Normal 26 2 5 3 2" xfId="16353"/>
    <cellStyle name="Normal 26 2 5 3 3" xfId="23320"/>
    <cellStyle name="Normal 26 2 5 3 4" xfId="30287"/>
    <cellStyle name="Normal 26 2 5 3 5" xfId="37256"/>
    <cellStyle name="Normal 26 2 5 4" xfId="14033"/>
    <cellStyle name="Normal 26 2 5 4 2" xfId="21000"/>
    <cellStyle name="Normal 26 2 5 4 3" xfId="27967"/>
    <cellStyle name="Normal 26 2 5 4 4" xfId="34936"/>
    <cellStyle name="Normal 26 2 5 5" xfId="11711"/>
    <cellStyle name="Normal 26 2 5 6" xfId="18678"/>
    <cellStyle name="Normal 26 2 5 7" xfId="25645"/>
    <cellStyle name="Normal 26 2 5 8" xfId="32613"/>
    <cellStyle name="Normal 26 2 6" xfId="3983"/>
    <cellStyle name="Normal 26 2 6 2" xfId="5561"/>
    <cellStyle name="Normal 26 2 6 2 2" xfId="10377"/>
    <cellStyle name="Normal 26 2 6 2 2 2" xfId="17371"/>
    <cellStyle name="Normal 26 2 6 2 2 3" xfId="24338"/>
    <cellStyle name="Normal 26 2 6 2 2 4" xfId="31305"/>
    <cellStyle name="Normal 26 2 6 2 2 5" xfId="38274"/>
    <cellStyle name="Normal 26 2 6 2 3" xfId="15051"/>
    <cellStyle name="Normal 26 2 6 2 3 2" xfId="22018"/>
    <cellStyle name="Normal 26 2 6 2 3 3" xfId="28985"/>
    <cellStyle name="Normal 26 2 6 2 3 4" xfId="35954"/>
    <cellStyle name="Normal 26 2 6 2 4" xfId="12729"/>
    <cellStyle name="Normal 26 2 6 2 5" xfId="19696"/>
    <cellStyle name="Normal 26 2 6 2 6" xfId="26663"/>
    <cellStyle name="Normal 26 2 6 2 7" xfId="33631"/>
    <cellStyle name="Normal 26 2 6 3" xfId="9589"/>
    <cellStyle name="Normal 26 2 6 3 2" xfId="16625"/>
    <cellStyle name="Normal 26 2 6 3 3" xfId="23592"/>
    <cellStyle name="Normal 26 2 6 3 4" xfId="30559"/>
    <cellStyle name="Normal 26 2 6 3 5" xfId="37528"/>
    <cellStyle name="Normal 26 2 6 4" xfId="14305"/>
    <cellStyle name="Normal 26 2 6 4 2" xfId="21272"/>
    <cellStyle name="Normal 26 2 6 4 3" xfId="28239"/>
    <cellStyle name="Normal 26 2 6 4 4" xfId="35208"/>
    <cellStyle name="Normal 26 2 6 5" xfId="11983"/>
    <cellStyle name="Normal 26 2 6 6" xfId="18950"/>
    <cellStyle name="Normal 26 2 6 7" xfId="25917"/>
    <cellStyle name="Normal 26 2 6 8" xfId="32885"/>
    <cellStyle name="Normal 26 2 7" xfId="5552"/>
    <cellStyle name="Normal 26 2 7 2" xfId="10368"/>
    <cellStyle name="Normal 26 2 7 2 2" xfId="17362"/>
    <cellStyle name="Normal 26 2 7 2 3" xfId="24329"/>
    <cellStyle name="Normal 26 2 7 2 4" xfId="31296"/>
    <cellStyle name="Normal 26 2 7 2 5" xfId="38265"/>
    <cellStyle name="Normal 26 2 7 3" xfId="15042"/>
    <cellStyle name="Normal 26 2 7 3 2" xfId="22009"/>
    <cellStyle name="Normal 26 2 7 3 3" xfId="28976"/>
    <cellStyle name="Normal 26 2 7 3 4" xfId="35945"/>
    <cellStyle name="Normal 26 2 7 4" xfId="12720"/>
    <cellStyle name="Normal 26 2 7 5" xfId="19687"/>
    <cellStyle name="Normal 26 2 7 6" xfId="26654"/>
    <cellStyle name="Normal 26 2 7 7" xfId="33622"/>
    <cellStyle name="Normal 26 2 8" xfId="6887"/>
    <cellStyle name="Normal 26 2 8 2" xfId="10848"/>
    <cellStyle name="Normal 26 2 8 2 2" xfId="17821"/>
    <cellStyle name="Normal 26 2 8 2 3" xfId="24788"/>
    <cellStyle name="Normal 26 2 8 2 4" xfId="31755"/>
    <cellStyle name="Normal 26 2 8 2 5" xfId="38724"/>
    <cellStyle name="Normal 26 2 8 3" xfId="15501"/>
    <cellStyle name="Normal 26 2 8 3 2" xfId="22468"/>
    <cellStyle name="Normal 26 2 8 3 3" xfId="29435"/>
    <cellStyle name="Normal 26 2 8 3 4" xfId="36404"/>
    <cellStyle name="Normal 26 2 8 4" xfId="13179"/>
    <cellStyle name="Normal 26 2 8 5" xfId="20146"/>
    <cellStyle name="Normal 26 2 8 6" xfId="27113"/>
    <cellStyle name="Normal 26 2 8 7" xfId="34082"/>
    <cellStyle name="Normal 26 2 9" xfId="7190"/>
    <cellStyle name="Normal 26 2 9 2" xfId="15674"/>
    <cellStyle name="Normal 26 2 9 2 2" xfId="22641"/>
    <cellStyle name="Normal 26 2 9 2 3" xfId="29608"/>
    <cellStyle name="Normal 26 2 9 2 4" xfId="36577"/>
    <cellStyle name="Normal 26 2 9 3" xfId="13352"/>
    <cellStyle name="Normal 26 2 9 4" xfId="20319"/>
    <cellStyle name="Normal 26 2 9 5" xfId="27286"/>
    <cellStyle name="Normal 26 2 9 6" xfId="34255"/>
    <cellStyle name="Normal 26 3" xfId="1748"/>
    <cellStyle name="Normal 26 3 10" xfId="13526"/>
    <cellStyle name="Normal 26 3 10 2" xfId="20493"/>
    <cellStyle name="Normal 26 3 10 3" xfId="27460"/>
    <cellStyle name="Normal 26 3 10 4" xfId="34429"/>
    <cellStyle name="Normal 26 3 11" xfId="11032"/>
    <cellStyle name="Normal 26 3 12" xfId="17998"/>
    <cellStyle name="Normal 26 3 13" xfId="24966"/>
    <cellStyle name="Normal 26 3 14" xfId="31934"/>
    <cellStyle name="Normal 26 3 2" xfId="3334"/>
    <cellStyle name="Normal 26 3 2 2" xfId="5563"/>
    <cellStyle name="Normal 26 3 2 2 2" xfId="10379"/>
    <cellStyle name="Normal 26 3 2 2 2 2" xfId="17373"/>
    <cellStyle name="Normal 26 3 2 2 2 3" xfId="24340"/>
    <cellStyle name="Normal 26 3 2 2 2 4" xfId="31307"/>
    <cellStyle name="Normal 26 3 2 2 2 5" xfId="38276"/>
    <cellStyle name="Normal 26 3 2 2 3" xfId="15053"/>
    <cellStyle name="Normal 26 3 2 2 3 2" xfId="22020"/>
    <cellStyle name="Normal 26 3 2 2 3 3" xfId="28987"/>
    <cellStyle name="Normal 26 3 2 2 3 4" xfId="35956"/>
    <cellStyle name="Normal 26 3 2 2 4" xfId="12731"/>
    <cellStyle name="Normal 26 3 2 2 5" xfId="19698"/>
    <cellStyle name="Normal 26 3 2 2 6" xfId="26665"/>
    <cellStyle name="Normal 26 3 2 2 7" xfId="33633"/>
    <cellStyle name="Normal 26 3 2 3" xfId="8968"/>
    <cellStyle name="Normal 26 3 2 3 2" xfId="16017"/>
    <cellStyle name="Normal 26 3 2 3 3" xfId="22984"/>
    <cellStyle name="Normal 26 3 2 3 4" xfId="29951"/>
    <cellStyle name="Normal 26 3 2 3 5" xfId="36920"/>
    <cellStyle name="Normal 26 3 2 4" xfId="13695"/>
    <cellStyle name="Normal 26 3 2 4 2" xfId="20662"/>
    <cellStyle name="Normal 26 3 2 4 3" xfId="27629"/>
    <cellStyle name="Normal 26 3 2 4 4" xfId="34598"/>
    <cellStyle name="Normal 26 3 2 5" xfId="11373"/>
    <cellStyle name="Normal 26 3 2 6" xfId="18340"/>
    <cellStyle name="Normal 26 3 2 7" xfId="25307"/>
    <cellStyle name="Normal 26 3 2 8" xfId="32275"/>
    <cellStyle name="Normal 26 3 3" xfId="3533"/>
    <cellStyle name="Normal 26 3 3 2" xfId="5564"/>
    <cellStyle name="Normal 26 3 3 2 2" xfId="10380"/>
    <cellStyle name="Normal 26 3 3 2 2 2" xfId="17374"/>
    <cellStyle name="Normal 26 3 3 2 2 3" xfId="24341"/>
    <cellStyle name="Normal 26 3 3 2 2 4" xfId="31308"/>
    <cellStyle name="Normal 26 3 3 2 2 5" xfId="38277"/>
    <cellStyle name="Normal 26 3 3 2 3" xfId="15054"/>
    <cellStyle name="Normal 26 3 3 2 3 2" xfId="22021"/>
    <cellStyle name="Normal 26 3 3 2 3 3" xfId="28988"/>
    <cellStyle name="Normal 26 3 3 2 3 4" xfId="35957"/>
    <cellStyle name="Normal 26 3 3 2 4" xfId="12732"/>
    <cellStyle name="Normal 26 3 3 2 5" xfId="19699"/>
    <cellStyle name="Normal 26 3 3 2 6" xfId="26666"/>
    <cellStyle name="Normal 26 3 3 2 7" xfId="33634"/>
    <cellStyle name="Normal 26 3 3 3" xfId="9145"/>
    <cellStyle name="Normal 26 3 3 3 2" xfId="16184"/>
    <cellStyle name="Normal 26 3 3 3 3" xfId="23151"/>
    <cellStyle name="Normal 26 3 3 3 4" xfId="30118"/>
    <cellStyle name="Normal 26 3 3 3 5" xfId="37087"/>
    <cellStyle name="Normal 26 3 3 4" xfId="13864"/>
    <cellStyle name="Normal 26 3 3 4 2" xfId="20831"/>
    <cellStyle name="Normal 26 3 3 4 3" xfId="27798"/>
    <cellStyle name="Normal 26 3 3 4 4" xfId="34767"/>
    <cellStyle name="Normal 26 3 3 5" xfId="11542"/>
    <cellStyle name="Normal 26 3 3 6" xfId="18509"/>
    <cellStyle name="Normal 26 3 3 7" xfId="25476"/>
    <cellStyle name="Normal 26 3 3 8" xfId="32444"/>
    <cellStyle name="Normal 26 3 4" xfId="3708"/>
    <cellStyle name="Normal 26 3 4 2" xfId="5565"/>
    <cellStyle name="Normal 26 3 4 2 2" xfId="10381"/>
    <cellStyle name="Normal 26 3 4 2 2 2" xfId="17375"/>
    <cellStyle name="Normal 26 3 4 2 2 3" xfId="24342"/>
    <cellStyle name="Normal 26 3 4 2 2 4" xfId="31309"/>
    <cellStyle name="Normal 26 3 4 2 2 5" xfId="38278"/>
    <cellStyle name="Normal 26 3 4 2 3" xfId="15055"/>
    <cellStyle name="Normal 26 3 4 2 3 2" xfId="22022"/>
    <cellStyle name="Normal 26 3 4 2 3 3" xfId="28989"/>
    <cellStyle name="Normal 26 3 4 2 3 4" xfId="35958"/>
    <cellStyle name="Normal 26 3 4 2 4" xfId="12733"/>
    <cellStyle name="Normal 26 3 4 2 5" xfId="19700"/>
    <cellStyle name="Normal 26 3 4 2 6" xfId="26667"/>
    <cellStyle name="Normal 26 3 4 2 7" xfId="33635"/>
    <cellStyle name="Normal 26 3 4 3" xfId="9316"/>
    <cellStyle name="Normal 26 3 4 3 2" xfId="16355"/>
    <cellStyle name="Normal 26 3 4 3 3" xfId="23322"/>
    <cellStyle name="Normal 26 3 4 3 4" xfId="30289"/>
    <cellStyle name="Normal 26 3 4 3 5" xfId="37258"/>
    <cellStyle name="Normal 26 3 4 4" xfId="14035"/>
    <cellStyle name="Normal 26 3 4 4 2" xfId="21002"/>
    <cellStyle name="Normal 26 3 4 4 3" xfId="27969"/>
    <cellStyle name="Normal 26 3 4 4 4" xfId="34938"/>
    <cellStyle name="Normal 26 3 4 5" xfId="11713"/>
    <cellStyle name="Normal 26 3 4 6" xfId="18680"/>
    <cellStyle name="Normal 26 3 4 7" xfId="25647"/>
    <cellStyle name="Normal 26 3 4 8" xfId="32615"/>
    <cellStyle name="Normal 26 3 5" xfId="3985"/>
    <cellStyle name="Normal 26 3 5 2" xfId="5566"/>
    <cellStyle name="Normal 26 3 5 2 2" xfId="10382"/>
    <cellStyle name="Normal 26 3 5 2 2 2" xfId="17376"/>
    <cellStyle name="Normal 26 3 5 2 2 3" xfId="24343"/>
    <cellStyle name="Normal 26 3 5 2 2 4" xfId="31310"/>
    <cellStyle name="Normal 26 3 5 2 2 5" xfId="38279"/>
    <cellStyle name="Normal 26 3 5 2 3" xfId="15056"/>
    <cellStyle name="Normal 26 3 5 2 3 2" xfId="22023"/>
    <cellStyle name="Normal 26 3 5 2 3 3" xfId="28990"/>
    <cellStyle name="Normal 26 3 5 2 3 4" xfId="35959"/>
    <cellStyle name="Normal 26 3 5 2 4" xfId="12734"/>
    <cellStyle name="Normal 26 3 5 2 5" xfId="19701"/>
    <cellStyle name="Normal 26 3 5 2 6" xfId="26668"/>
    <cellStyle name="Normal 26 3 5 2 7" xfId="33636"/>
    <cellStyle name="Normal 26 3 5 3" xfId="9591"/>
    <cellStyle name="Normal 26 3 5 3 2" xfId="16627"/>
    <cellStyle name="Normal 26 3 5 3 3" xfId="23594"/>
    <cellStyle name="Normal 26 3 5 3 4" xfId="30561"/>
    <cellStyle name="Normal 26 3 5 3 5" xfId="37530"/>
    <cellStyle name="Normal 26 3 5 4" xfId="14307"/>
    <cellStyle name="Normal 26 3 5 4 2" xfId="21274"/>
    <cellStyle name="Normal 26 3 5 4 3" xfId="28241"/>
    <cellStyle name="Normal 26 3 5 4 4" xfId="35210"/>
    <cellStyle name="Normal 26 3 5 5" xfId="11985"/>
    <cellStyle name="Normal 26 3 5 6" xfId="18952"/>
    <cellStyle name="Normal 26 3 5 7" xfId="25919"/>
    <cellStyle name="Normal 26 3 5 8" xfId="32887"/>
    <cellStyle name="Normal 26 3 6" xfId="5562"/>
    <cellStyle name="Normal 26 3 6 2" xfId="10378"/>
    <cellStyle name="Normal 26 3 6 2 2" xfId="17372"/>
    <cellStyle name="Normal 26 3 6 2 3" xfId="24339"/>
    <cellStyle name="Normal 26 3 6 2 4" xfId="31306"/>
    <cellStyle name="Normal 26 3 6 2 5" xfId="38275"/>
    <cellStyle name="Normal 26 3 6 3" xfId="15052"/>
    <cellStyle name="Normal 26 3 6 3 2" xfId="22019"/>
    <cellStyle name="Normal 26 3 6 3 3" xfId="28986"/>
    <cellStyle name="Normal 26 3 6 3 4" xfId="35955"/>
    <cellStyle name="Normal 26 3 6 4" xfId="12730"/>
    <cellStyle name="Normal 26 3 6 5" xfId="19697"/>
    <cellStyle name="Normal 26 3 6 6" xfId="26664"/>
    <cellStyle name="Normal 26 3 6 7" xfId="33632"/>
    <cellStyle name="Normal 26 3 7" xfId="6889"/>
    <cellStyle name="Normal 26 3 7 2" xfId="10850"/>
    <cellStyle name="Normal 26 3 7 2 2" xfId="17823"/>
    <cellStyle name="Normal 26 3 7 2 3" xfId="24790"/>
    <cellStyle name="Normal 26 3 7 2 4" xfId="31757"/>
    <cellStyle name="Normal 26 3 7 2 5" xfId="38726"/>
    <cellStyle name="Normal 26 3 7 3" xfId="15503"/>
    <cellStyle name="Normal 26 3 7 3 2" xfId="22470"/>
    <cellStyle name="Normal 26 3 7 3 3" xfId="29437"/>
    <cellStyle name="Normal 26 3 7 3 4" xfId="36406"/>
    <cellStyle name="Normal 26 3 7 4" xfId="13181"/>
    <cellStyle name="Normal 26 3 7 5" xfId="20148"/>
    <cellStyle name="Normal 26 3 7 6" xfId="27115"/>
    <cellStyle name="Normal 26 3 7 7" xfId="34084"/>
    <cellStyle name="Normal 26 3 8" xfId="7192"/>
    <cellStyle name="Normal 26 3 8 2" xfId="15676"/>
    <cellStyle name="Normal 26 3 8 2 2" xfId="22643"/>
    <cellStyle name="Normal 26 3 8 2 3" xfId="29610"/>
    <cellStyle name="Normal 26 3 8 2 4" xfId="36579"/>
    <cellStyle name="Normal 26 3 8 3" xfId="13354"/>
    <cellStyle name="Normal 26 3 8 4" xfId="20321"/>
    <cellStyle name="Normal 26 3 8 5" xfId="27288"/>
    <cellStyle name="Normal 26 3 8 6" xfId="34257"/>
    <cellStyle name="Normal 26 3 9" xfId="8101"/>
    <cellStyle name="Normal 26 3 9 2" xfId="15848"/>
    <cellStyle name="Normal 26 3 9 2 2" xfId="22815"/>
    <cellStyle name="Normal 26 3 9 2 3" xfId="29782"/>
    <cellStyle name="Normal 26 3 9 2 4" xfId="36751"/>
    <cellStyle name="Normal 26 3 9 3" xfId="11204"/>
    <cellStyle name="Normal 26 3 9 4" xfId="18171"/>
    <cellStyle name="Normal 26 3 9 5" xfId="25138"/>
    <cellStyle name="Normal 26 3 9 6" xfId="32106"/>
    <cellStyle name="Normal 26 4" xfId="3331"/>
    <cellStyle name="Normal 26 4 2" xfId="5567"/>
    <cellStyle name="Normal 26 4 2 2" xfId="10383"/>
    <cellStyle name="Normal 26 4 2 2 2" xfId="17377"/>
    <cellStyle name="Normal 26 4 2 2 3" xfId="24344"/>
    <cellStyle name="Normal 26 4 2 2 4" xfId="31311"/>
    <cellStyle name="Normal 26 4 2 2 5" xfId="38280"/>
    <cellStyle name="Normal 26 4 2 3" xfId="15057"/>
    <cellStyle name="Normal 26 4 2 3 2" xfId="22024"/>
    <cellStyle name="Normal 26 4 2 3 3" xfId="28991"/>
    <cellStyle name="Normal 26 4 2 3 4" xfId="35960"/>
    <cellStyle name="Normal 26 4 2 4" xfId="12735"/>
    <cellStyle name="Normal 26 4 2 5" xfId="19702"/>
    <cellStyle name="Normal 26 4 2 6" xfId="26669"/>
    <cellStyle name="Normal 26 4 2 7" xfId="33637"/>
    <cellStyle name="Normal 26 4 3" xfId="8965"/>
    <cellStyle name="Normal 26 4 3 2" xfId="16014"/>
    <cellStyle name="Normal 26 4 3 3" xfId="22981"/>
    <cellStyle name="Normal 26 4 3 4" xfId="29948"/>
    <cellStyle name="Normal 26 4 3 5" xfId="36917"/>
    <cellStyle name="Normal 26 4 4" xfId="13692"/>
    <cellStyle name="Normal 26 4 4 2" xfId="20659"/>
    <cellStyle name="Normal 26 4 4 3" xfId="27626"/>
    <cellStyle name="Normal 26 4 4 4" xfId="34595"/>
    <cellStyle name="Normal 26 4 5" xfId="11370"/>
    <cellStyle name="Normal 26 4 6" xfId="18337"/>
    <cellStyle name="Normal 26 4 7" xfId="25304"/>
    <cellStyle name="Normal 26 4 8" xfId="32272"/>
    <cellStyle name="Normal 26 5" xfId="3530"/>
    <cellStyle name="Normal 26 5 2" xfId="5568"/>
    <cellStyle name="Normal 26 5 2 2" xfId="10384"/>
    <cellStyle name="Normal 26 5 2 2 2" xfId="17378"/>
    <cellStyle name="Normal 26 5 2 2 3" xfId="24345"/>
    <cellStyle name="Normal 26 5 2 2 4" xfId="31312"/>
    <cellStyle name="Normal 26 5 2 2 5" xfId="38281"/>
    <cellStyle name="Normal 26 5 2 3" xfId="15058"/>
    <cellStyle name="Normal 26 5 2 3 2" xfId="22025"/>
    <cellStyle name="Normal 26 5 2 3 3" xfId="28992"/>
    <cellStyle name="Normal 26 5 2 3 4" xfId="35961"/>
    <cellStyle name="Normal 26 5 2 4" xfId="12736"/>
    <cellStyle name="Normal 26 5 2 5" xfId="19703"/>
    <cellStyle name="Normal 26 5 2 6" xfId="26670"/>
    <cellStyle name="Normal 26 5 2 7" xfId="33638"/>
    <cellStyle name="Normal 26 5 3" xfId="9142"/>
    <cellStyle name="Normal 26 5 3 2" xfId="16181"/>
    <cellStyle name="Normal 26 5 3 3" xfId="23148"/>
    <cellStyle name="Normal 26 5 3 4" xfId="30115"/>
    <cellStyle name="Normal 26 5 3 5" xfId="37084"/>
    <cellStyle name="Normal 26 5 4" xfId="13861"/>
    <cellStyle name="Normal 26 5 4 2" xfId="20828"/>
    <cellStyle name="Normal 26 5 4 3" xfId="27795"/>
    <cellStyle name="Normal 26 5 4 4" xfId="34764"/>
    <cellStyle name="Normal 26 5 5" xfId="11539"/>
    <cellStyle name="Normal 26 5 6" xfId="18506"/>
    <cellStyle name="Normal 26 5 7" xfId="25473"/>
    <cellStyle name="Normal 26 5 8" xfId="32441"/>
    <cellStyle name="Normal 26 6" xfId="3705"/>
    <cellStyle name="Normal 26 6 2" xfId="5569"/>
    <cellStyle name="Normal 26 6 2 2" xfId="10385"/>
    <cellStyle name="Normal 26 6 2 2 2" xfId="17379"/>
    <cellStyle name="Normal 26 6 2 2 3" xfId="24346"/>
    <cellStyle name="Normal 26 6 2 2 4" xfId="31313"/>
    <cellStyle name="Normal 26 6 2 2 5" xfId="38282"/>
    <cellStyle name="Normal 26 6 2 3" xfId="15059"/>
    <cellStyle name="Normal 26 6 2 3 2" xfId="22026"/>
    <cellStyle name="Normal 26 6 2 3 3" xfId="28993"/>
    <cellStyle name="Normal 26 6 2 3 4" xfId="35962"/>
    <cellStyle name="Normal 26 6 2 4" xfId="12737"/>
    <cellStyle name="Normal 26 6 2 5" xfId="19704"/>
    <cellStyle name="Normal 26 6 2 6" xfId="26671"/>
    <cellStyle name="Normal 26 6 2 7" xfId="33639"/>
    <cellStyle name="Normal 26 6 3" xfId="9313"/>
    <cellStyle name="Normal 26 6 3 2" xfId="16352"/>
    <cellStyle name="Normal 26 6 3 3" xfId="23319"/>
    <cellStyle name="Normal 26 6 3 4" xfId="30286"/>
    <cellStyle name="Normal 26 6 3 5" xfId="37255"/>
    <cellStyle name="Normal 26 6 4" xfId="14032"/>
    <cellStyle name="Normal 26 6 4 2" xfId="20999"/>
    <cellStyle name="Normal 26 6 4 3" xfId="27966"/>
    <cellStyle name="Normal 26 6 4 4" xfId="34935"/>
    <cellStyle name="Normal 26 6 5" xfId="11710"/>
    <cellStyle name="Normal 26 6 6" xfId="18677"/>
    <cellStyle name="Normal 26 6 7" xfId="25644"/>
    <cellStyle name="Normal 26 6 8" xfId="32612"/>
    <cellStyle name="Normal 26 7" xfId="3982"/>
    <cellStyle name="Normal 26 7 2" xfId="5570"/>
    <cellStyle name="Normal 26 7 2 2" xfId="10386"/>
    <cellStyle name="Normal 26 7 2 2 2" xfId="17380"/>
    <cellStyle name="Normal 26 7 2 2 3" xfId="24347"/>
    <cellStyle name="Normal 26 7 2 2 4" xfId="31314"/>
    <cellStyle name="Normal 26 7 2 2 5" xfId="38283"/>
    <cellStyle name="Normal 26 7 2 3" xfId="15060"/>
    <cellStyle name="Normal 26 7 2 3 2" xfId="22027"/>
    <cellStyle name="Normal 26 7 2 3 3" xfId="28994"/>
    <cellStyle name="Normal 26 7 2 3 4" xfId="35963"/>
    <cellStyle name="Normal 26 7 2 4" xfId="12738"/>
    <cellStyle name="Normal 26 7 2 5" xfId="19705"/>
    <cellStyle name="Normal 26 7 2 6" xfId="26672"/>
    <cellStyle name="Normal 26 7 2 7" xfId="33640"/>
    <cellStyle name="Normal 26 7 3" xfId="9588"/>
    <cellStyle name="Normal 26 7 3 2" xfId="16624"/>
    <cellStyle name="Normal 26 7 3 3" xfId="23591"/>
    <cellStyle name="Normal 26 7 3 4" xfId="30558"/>
    <cellStyle name="Normal 26 7 3 5" xfId="37527"/>
    <cellStyle name="Normal 26 7 4" xfId="14304"/>
    <cellStyle name="Normal 26 7 4 2" xfId="21271"/>
    <cellStyle name="Normal 26 7 4 3" xfId="28238"/>
    <cellStyle name="Normal 26 7 4 4" xfId="35207"/>
    <cellStyle name="Normal 26 7 5" xfId="11982"/>
    <cellStyle name="Normal 26 7 6" xfId="18949"/>
    <cellStyle name="Normal 26 7 7" xfId="25916"/>
    <cellStyle name="Normal 26 7 8" xfId="32884"/>
    <cellStyle name="Normal 26 8" xfId="5551"/>
    <cellStyle name="Normal 26 8 2" xfId="10367"/>
    <cellStyle name="Normal 26 8 2 2" xfId="17361"/>
    <cellStyle name="Normal 26 8 2 3" xfId="24328"/>
    <cellStyle name="Normal 26 8 2 4" xfId="31295"/>
    <cellStyle name="Normal 26 8 2 5" xfId="38264"/>
    <cellStyle name="Normal 26 8 3" xfId="15041"/>
    <cellStyle name="Normal 26 8 3 2" xfId="22008"/>
    <cellStyle name="Normal 26 8 3 3" xfId="28975"/>
    <cellStyle name="Normal 26 8 3 4" xfId="35944"/>
    <cellStyle name="Normal 26 8 4" xfId="12719"/>
    <cellStyle name="Normal 26 8 5" xfId="19686"/>
    <cellStyle name="Normal 26 8 6" xfId="26653"/>
    <cellStyle name="Normal 26 8 7" xfId="33621"/>
    <cellStyle name="Normal 26 9" xfId="6886"/>
    <cellStyle name="Normal 26 9 2" xfId="10847"/>
    <cellStyle name="Normal 26 9 2 2" xfId="17820"/>
    <cellStyle name="Normal 26 9 2 3" xfId="24787"/>
    <cellStyle name="Normal 26 9 2 4" xfId="31754"/>
    <cellStyle name="Normal 26 9 2 5" xfId="38723"/>
    <cellStyle name="Normal 26 9 3" xfId="15500"/>
    <cellStyle name="Normal 26 9 3 2" xfId="22467"/>
    <cellStyle name="Normal 26 9 3 3" xfId="29434"/>
    <cellStyle name="Normal 26 9 3 4" xfId="36403"/>
    <cellStyle name="Normal 26 9 4" xfId="13178"/>
    <cellStyle name="Normal 26 9 5" xfId="20145"/>
    <cellStyle name="Normal 26 9 6" xfId="27112"/>
    <cellStyle name="Normal 26 9 7" xfId="34081"/>
    <cellStyle name="Normal 27" xfId="1749"/>
    <cellStyle name="Normal 27 10" xfId="7193"/>
    <cellStyle name="Normal 27 10 2" xfId="15677"/>
    <cellStyle name="Normal 27 10 2 2" xfId="22644"/>
    <cellStyle name="Normal 27 10 2 3" xfId="29611"/>
    <cellStyle name="Normal 27 10 2 4" xfId="36580"/>
    <cellStyle name="Normal 27 10 3" xfId="13355"/>
    <cellStyle name="Normal 27 10 4" xfId="20322"/>
    <cellStyle name="Normal 27 10 5" xfId="27289"/>
    <cellStyle name="Normal 27 10 6" xfId="34258"/>
    <cellStyle name="Normal 27 11" xfId="8102"/>
    <cellStyle name="Normal 27 11 2" xfId="15849"/>
    <cellStyle name="Normal 27 11 2 2" xfId="22816"/>
    <cellStyle name="Normal 27 11 2 3" xfId="29783"/>
    <cellStyle name="Normal 27 11 2 4" xfId="36752"/>
    <cellStyle name="Normal 27 11 3" xfId="11205"/>
    <cellStyle name="Normal 27 11 4" xfId="18172"/>
    <cellStyle name="Normal 27 11 5" xfId="25139"/>
    <cellStyle name="Normal 27 11 6" xfId="32107"/>
    <cellStyle name="Normal 27 12" xfId="13527"/>
    <cellStyle name="Normal 27 12 2" xfId="20494"/>
    <cellStyle name="Normal 27 12 3" xfId="27461"/>
    <cellStyle name="Normal 27 12 4" xfId="34430"/>
    <cellStyle name="Normal 27 13" xfId="11033"/>
    <cellStyle name="Normal 27 14" xfId="17999"/>
    <cellStyle name="Normal 27 15" xfId="24967"/>
    <cellStyle name="Normal 27 16" xfId="31935"/>
    <cellStyle name="Normal 27 2" xfId="1750"/>
    <cellStyle name="Normal 27 2 10" xfId="8103"/>
    <cellStyle name="Normal 27 2 10 2" xfId="15850"/>
    <cellStyle name="Normal 27 2 10 2 2" xfId="22817"/>
    <cellStyle name="Normal 27 2 10 2 3" xfId="29784"/>
    <cellStyle name="Normal 27 2 10 2 4" xfId="36753"/>
    <cellStyle name="Normal 27 2 10 3" xfId="11206"/>
    <cellStyle name="Normal 27 2 10 4" xfId="18173"/>
    <cellStyle name="Normal 27 2 10 5" xfId="25140"/>
    <cellStyle name="Normal 27 2 10 6" xfId="32108"/>
    <cellStyle name="Normal 27 2 11" xfId="13528"/>
    <cellStyle name="Normal 27 2 11 2" xfId="20495"/>
    <cellStyle name="Normal 27 2 11 3" xfId="27462"/>
    <cellStyle name="Normal 27 2 11 4" xfId="34431"/>
    <cellStyle name="Normal 27 2 12" xfId="11034"/>
    <cellStyle name="Normal 27 2 13" xfId="18000"/>
    <cellStyle name="Normal 27 2 14" xfId="24968"/>
    <cellStyle name="Normal 27 2 15" xfId="31936"/>
    <cellStyle name="Normal 27 2 2" xfId="1751"/>
    <cellStyle name="Normal 27 2 2 10" xfId="13529"/>
    <cellStyle name="Normal 27 2 2 10 2" xfId="20496"/>
    <cellStyle name="Normal 27 2 2 10 3" xfId="27463"/>
    <cellStyle name="Normal 27 2 2 10 4" xfId="34432"/>
    <cellStyle name="Normal 27 2 2 11" xfId="11035"/>
    <cellStyle name="Normal 27 2 2 12" xfId="18001"/>
    <cellStyle name="Normal 27 2 2 13" xfId="24969"/>
    <cellStyle name="Normal 27 2 2 14" xfId="31937"/>
    <cellStyle name="Normal 27 2 2 2" xfId="3337"/>
    <cellStyle name="Normal 27 2 2 2 2" xfId="5574"/>
    <cellStyle name="Normal 27 2 2 2 2 2" xfId="10390"/>
    <cellStyle name="Normal 27 2 2 2 2 2 2" xfId="17384"/>
    <cellStyle name="Normal 27 2 2 2 2 2 3" xfId="24351"/>
    <cellStyle name="Normal 27 2 2 2 2 2 4" xfId="31318"/>
    <cellStyle name="Normal 27 2 2 2 2 2 5" xfId="38287"/>
    <cellStyle name="Normal 27 2 2 2 2 3" xfId="15064"/>
    <cellStyle name="Normal 27 2 2 2 2 3 2" xfId="22031"/>
    <cellStyle name="Normal 27 2 2 2 2 3 3" xfId="28998"/>
    <cellStyle name="Normal 27 2 2 2 2 3 4" xfId="35967"/>
    <cellStyle name="Normal 27 2 2 2 2 4" xfId="12742"/>
    <cellStyle name="Normal 27 2 2 2 2 5" xfId="19709"/>
    <cellStyle name="Normal 27 2 2 2 2 6" xfId="26676"/>
    <cellStyle name="Normal 27 2 2 2 2 7" xfId="33644"/>
    <cellStyle name="Normal 27 2 2 2 3" xfId="8971"/>
    <cellStyle name="Normal 27 2 2 2 3 2" xfId="16020"/>
    <cellStyle name="Normal 27 2 2 2 3 3" xfId="22987"/>
    <cellStyle name="Normal 27 2 2 2 3 4" xfId="29954"/>
    <cellStyle name="Normal 27 2 2 2 3 5" xfId="36923"/>
    <cellStyle name="Normal 27 2 2 2 4" xfId="13698"/>
    <cellStyle name="Normal 27 2 2 2 4 2" xfId="20665"/>
    <cellStyle name="Normal 27 2 2 2 4 3" xfId="27632"/>
    <cellStyle name="Normal 27 2 2 2 4 4" xfId="34601"/>
    <cellStyle name="Normal 27 2 2 2 5" xfId="11376"/>
    <cellStyle name="Normal 27 2 2 2 6" xfId="18343"/>
    <cellStyle name="Normal 27 2 2 2 7" xfId="25310"/>
    <cellStyle name="Normal 27 2 2 2 8" xfId="32278"/>
    <cellStyle name="Normal 27 2 2 3" xfId="3536"/>
    <cellStyle name="Normal 27 2 2 3 2" xfId="5575"/>
    <cellStyle name="Normal 27 2 2 3 2 2" xfId="10391"/>
    <cellStyle name="Normal 27 2 2 3 2 2 2" xfId="17385"/>
    <cellStyle name="Normal 27 2 2 3 2 2 3" xfId="24352"/>
    <cellStyle name="Normal 27 2 2 3 2 2 4" xfId="31319"/>
    <cellStyle name="Normal 27 2 2 3 2 2 5" xfId="38288"/>
    <cellStyle name="Normal 27 2 2 3 2 3" xfId="15065"/>
    <cellStyle name="Normal 27 2 2 3 2 3 2" xfId="22032"/>
    <cellStyle name="Normal 27 2 2 3 2 3 3" xfId="28999"/>
    <cellStyle name="Normal 27 2 2 3 2 3 4" xfId="35968"/>
    <cellStyle name="Normal 27 2 2 3 2 4" xfId="12743"/>
    <cellStyle name="Normal 27 2 2 3 2 5" xfId="19710"/>
    <cellStyle name="Normal 27 2 2 3 2 6" xfId="26677"/>
    <cellStyle name="Normal 27 2 2 3 2 7" xfId="33645"/>
    <cellStyle name="Normal 27 2 2 3 3" xfId="9148"/>
    <cellStyle name="Normal 27 2 2 3 3 2" xfId="16187"/>
    <cellStyle name="Normal 27 2 2 3 3 3" xfId="23154"/>
    <cellStyle name="Normal 27 2 2 3 3 4" xfId="30121"/>
    <cellStyle name="Normal 27 2 2 3 3 5" xfId="37090"/>
    <cellStyle name="Normal 27 2 2 3 4" xfId="13867"/>
    <cellStyle name="Normal 27 2 2 3 4 2" xfId="20834"/>
    <cellStyle name="Normal 27 2 2 3 4 3" xfId="27801"/>
    <cellStyle name="Normal 27 2 2 3 4 4" xfId="34770"/>
    <cellStyle name="Normal 27 2 2 3 5" xfId="11545"/>
    <cellStyle name="Normal 27 2 2 3 6" xfId="18512"/>
    <cellStyle name="Normal 27 2 2 3 7" xfId="25479"/>
    <cellStyle name="Normal 27 2 2 3 8" xfId="32447"/>
    <cellStyle name="Normal 27 2 2 4" xfId="3711"/>
    <cellStyle name="Normal 27 2 2 4 2" xfId="5576"/>
    <cellStyle name="Normal 27 2 2 4 2 2" xfId="10392"/>
    <cellStyle name="Normal 27 2 2 4 2 2 2" xfId="17386"/>
    <cellStyle name="Normal 27 2 2 4 2 2 3" xfId="24353"/>
    <cellStyle name="Normal 27 2 2 4 2 2 4" xfId="31320"/>
    <cellStyle name="Normal 27 2 2 4 2 2 5" xfId="38289"/>
    <cellStyle name="Normal 27 2 2 4 2 3" xfId="15066"/>
    <cellStyle name="Normal 27 2 2 4 2 3 2" xfId="22033"/>
    <cellStyle name="Normal 27 2 2 4 2 3 3" xfId="29000"/>
    <cellStyle name="Normal 27 2 2 4 2 3 4" xfId="35969"/>
    <cellStyle name="Normal 27 2 2 4 2 4" xfId="12744"/>
    <cellStyle name="Normal 27 2 2 4 2 5" xfId="19711"/>
    <cellStyle name="Normal 27 2 2 4 2 6" xfId="26678"/>
    <cellStyle name="Normal 27 2 2 4 2 7" xfId="33646"/>
    <cellStyle name="Normal 27 2 2 4 3" xfId="9319"/>
    <cellStyle name="Normal 27 2 2 4 3 2" xfId="16358"/>
    <cellStyle name="Normal 27 2 2 4 3 3" xfId="23325"/>
    <cellStyle name="Normal 27 2 2 4 3 4" xfId="30292"/>
    <cellStyle name="Normal 27 2 2 4 3 5" xfId="37261"/>
    <cellStyle name="Normal 27 2 2 4 4" xfId="14038"/>
    <cellStyle name="Normal 27 2 2 4 4 2" xfId="21005"/>
    <cellStyle name="Normal 27 2 2 4 4 3" xfId="27972"/>
    <cellStyle name="Normal 27 2 2 4 4 4" xfId="34941"/>
    <cellStyle name="Normal 27 2 2 4 5" xfId="11716"/>
    <cellStyle name="Normal 27 2 2 4 6" xfId="18683"/>
    <cellStyle name="Normal 27 2 2 4 7" xfId="25650"/>
    <cellStyle name="Normal 27 2 2 4 8" xfId="32618"/>
    <cellStyle name="Normal 27 2 2 5" xfId="3988"/>
    <cellStyle name="Normal 27 2 2 5 2" xfId="5577"/>
    <cellStyle name="Normal 27 2 2 5 2 2" xfId="10393"/>
    <cellStyle name="Normal 27 2 2 5 2 2 2" xfId="17387"/>
    <cellStyle name="Normal 27 2 2 5 2 2 3" xfId="24354"/>
    <cellStyle name="Normal 27 2 2 5 2 2 4" xfId="31321"/>
    <cellStyle name="Normal 27 2 2 5 2 2 5" xfId="38290"/>
    <cellStyle name="Normal 27 2 2 5 2 3" xfId="15067"/>
    <cellStyle name="Normal 27 2 2 5 2 3 2" xfId="22034"/>
    <cellStyle name="Normal 27 2 2 5 2 3 3" xfId="29001"/>
    <cellStyle name="Normal 27 2 2 5 2 3 4" xfId="35970"/>
    <cellStyle name="Normal 27 2 2 5 2 4" xfId="12745"/>
    <cellStyle name="Normal 27 2 2 5 2 5" xfId="19712"/>
    <cellStyle name="Normal 27 2 2 5 2 6" xfId="26679"/>
    <cellStyle name="Normal 27 2 2 5 2 7" xfId="33647"/>
    <cellStyle name="Normal 27 2 2 5 3" xfId="9594"/>
    <cellStyle name="Normal 27 2 2 5 3 2" xfId="16630"/>
    <cellStyle name="Normal 27 2 2 5 3 3" xfId="23597"/>
    <cellStyle name="Normal 27 2 2 5 3 4" xfId="30564"/>
    <cellStyle name="Normal 27 2 2 5 3 5" xfId="37533"/>
    <cellStyle name="Normal 27 2 2 5 4" xfId="14310"/>
    <cellStyle name="Normal 27 2 2 5 4 2" xfId="21277"/>
    <cellStyle name="Normal 27 2 2 5 4 3" xfId="28244"/>
    <cellStyle name="Normal 27 2 2 5 4 4" xfId="35213"/>
    <cellStyle name="Normal 27 2 2 5 5" xfId="11988"/>
    <cellStyle name="Normal 27 2 2 5 6" xfId="18955"/>
    <cellStyle name="Normal 27 2 2 5 7" xfId="25922"/>
    <cellStyle name="Normal 27 2 2 5 8" xfId="32890"/>
    <cellStyle name="Normal 27 2 2 6" xfId="5573"/>
    <cellStyle name="Normal 27 2 2 6 2" xfId="10389"/>
    <cellStyle name="Normal 27 2 2 6 2 2" xfId="17383"/>
    <cellStyle name="Normal 27 2 2 6 2 3" xfId="24350"/>
    <cellStyle name="Normal 27 2 2 6 2 4" xfId="31317"/>
    <cellStyle name="Normal 27 2 2 6 2 5" xfId="38286"/>
    <cellStyle name="Normal 27 2 2 6 3" xfId="15063"/>
    <cellStyle name="Normal 27 2 2 6 3 2" xfId="22030"/>
    <cellStyle name="Normal 27 2 2 6 3 3" xfId="28997"/>
    <cellStyle name="Normal 27 2 2 6 3 4" xfId="35966"/>
    <cellStyle name="Normal 27 2 2 6 4" xfId="12741"/>
    <cellStyle name="Normal 27 2 2 6 5" xfId="19708"/>
    <cellStyle name="Normal 27 2 2 6 6" xfId="26675"/>
    <cellStyle name="Normal 27 2 2 6 7" xfId="33643"/>
    <cellStyle name="Normal 27 2 2 7" xfId="6892"/>
    <cellStyle name="Normal 27 2 2 7 2" xfId="10853"/>
    <cellStyle name="Normal 27 2 2 7 2 2" xfId="17826"/>
    <cellStyle name="Normal 27 2 2 7 2 3" xfId="24793"/>
    <cellStyle name="Normal 27 2 2 7 2 4" xfId="31760"/>
    <cellStyle name="Normal 27 2 2 7 2 5" xfId="38729"/>
    <cellStyle name="Normal 27 2 2 7 3" xfId="15506"/>
    <cellStyle name="Normal 27 2 2 7 3 2" xfId="22473"/>
    <cellStyle name="Normal 27 2 2 7 3 3" xfId="29440"/>
    <cellStyle name="Normal 27 2 2 7 3 4" xfId="36409"/>
    <cellStyle name="Normal 27 2 2 7 4" xfId="13184"/>
    <cellStyle name="Normal 27 2 2 7 5" xfId="20151"/>
    <cellStyle name="Normal 27 2 2 7 6" xfId="27118"/>
    <cellStyle name="Normal 27 2 2 7 7" xfId="34087"/>
    <cellStyle name="Normal 27 2 2 8" xfId="7195"/>
    <cellStyle name="Normal 27 2 2 8 2" xfId="15679"/>
    <cellStyle name="Normal 27 2 2 8 2 2" xfId="22646"/>
    <cellStyle name="Normal 27 2 2 8 2 3" xfId="29613"/>
    <cellStyle name="Normal 27 2 2 8 2 4" xfId="36582"/>
    <cellStyle name="Normal 27 2 2 8 3" xfId="13357"/>
    <cellStyle name="Normal 27 2 2 8 4" xfId="20324"/>
    <cellStyle name="Normal 27 2 2 8 5" xfId="27291"/>
    <cellStyle name="Normal 27 2 2 8 6" xfId="34260"/>
    <cellStyle name="Normal 27 2 2 9" xfId="8104"/>
    <cellStyle name="Normal 27 2 2 9 2" xfId="15851"/>
    <cellStyle name="Normal 27 2 2 9 2 2" xfId="22818"/>
    <cellStyle name="Normal 27 2 2 9 2 3" xfId="29785"/>
    <cellStyle name="Normal 27 2 2 9 2 4" xfId="36754"/>
    <cellStyle name="Normal 27 2 2 9 3" xfId="11207"/>
    <cellStyle name="Normal 27 2 2 9 4" xfId="18174"/>
    <cellStyle name="Normal 27 2 2 9 5" xfId="25141"/>
    <cellStyle name="Normal 27 2 2 9 6" xfId="32109"/>
    <cellStyle name="Normal 27 2 3" xfId="3336"/>
    <cellStyle name="Normal 27 2 3 2" xfId="5578"/>
    <cellStyle name="Normal 27 2 3 2 2" xfId="10394"/>
    <cellStyle name="Normal 27 2 3 2 2 2" xfId="17388"/>
    <cellStyle name="Normal 27 2 3 2 2 3" xfId="24355"/>
    <cellStyle name="Normal 27 2 3 2 2 4" xfId="31322"/>
    <cellStyle name="Normal 27 2 3 2 2 5" xfId="38291"/>
    <cellStyle name="Normal 27 2 3 2 3" xfId="15068"/>
    <cellStyle name="Normal 27 2 3 2 3 2" xfId="22035"/>
    <cellStyle name="Normal 27 2 3 2 3 3" xfId="29002"/>
    <cellStyle name="Normal 27 2 3 2 3 4" xfId="35971"/>
    <cellStyle name="Normal 27 2 3 2 4" xfId="12746"/>
    <cellStyle name="Normal 27 2 3 2 5" xfId="19713"/>
    <cellStyle name="Normal 27 2 3 2 6" xfId="26680"/>
    <cellStyle name="Normal 27 2 3 2 7" xfId="33648"/>
    <cellStyle name="Normal 27 2 3 3" xfId="8970"/>
    <cellStyle name="Normal 27 2 3 3 2" xfId="16019"/>
    <cellStyle name="Normal 27 2 3 3 3" xfId="22986"/>
    <cellStyle name="Normal 27 2 3 3 4" xfId="29953"/>
    <cellStyle name="Normal 27 2 3 3 5" xfId="36922"/>
    <cellStyle name="Normal 27 2 3 4" xfId="13697"/>
    <cellStyle name="Normal 27 2 3 4 2" xfId="20664"/>
    <cellStyle name="Normal 27 2 3 4 3" xfId="27631"/>
    <cellStyle name="Normal 27 2 3 4 4" xfId="34600"/>
    <cellStyle name="Normal 27 2 3 5" xfId="11375"/>
    <cellStyle name="Normal 27 2 3 6" xfId="18342"/>
    <cellStyle name="Normal 27 2 3 7" xfId="25309"/>
    <cellStyle name="Normal 27 2 3 8" xfId="32277"/>
    <cellStyle name="Normal 27 2 4" xfId="3535"/>
    <cellStyle name="Normal 27 2 4 2" xfId="5579"/>
    <cellStyle name="Normal 27 2 4 2 2" xfId="10395"/>
    <cellStyle name="Normal 27 2 4 2 2 2" xfId="17389"/>
    <cellStyle name="Normal 27 2 4 2 2 3" xfId="24356"/>
    <cellStyle name="Normal 27 2 4 2 2 4" xfId="31323"/>
    <cellStyle name="Normal 27 2 4 2 2 5" xfId="38292"/>
    <cellStyle name="Normal 27 2 4 2 3" xfId="15069"/>
    <cellStyle name="Normal 27 2 4 2 3 2" xfId="22036"/>
    <cellStyle name="Normal 27 2 4 2 3 3" xfId="29003"/>
    <cellStyle name="Normal 27 2 4 2 3 4" xfId="35972"/>
    <cellStyle name="Normal 27 2 4 2 4" xfId="12747"/>
    <cellStyle name="Normal 27 2 4 2 5" xfId="19714"/>
    <cellStyle name="Normal 27 2 4 2 6" xfId="26681"/>
    <cellStyle name="Normal 27 2 4 2 7" xfId="33649"/>
    <cellStyle name="Normal 27 2 4 3" xfId="9147"/>
    <cellStyle name="Normal 27 2 4 3 2" xfId="16186"/>
    <cellStyle name="Normal 27 2 4 3 3" xfId="23153"/>
    <cellStyle name="Normal 27 2 4 3 4" xfId="30120"/>
    <cellStyle name="Normal 27 2 4 3 5" xfId="37089"/>
    <cellStyle name="Normal 27 2 4 4" xfId="13866"/>
    <cellStyle name="Normal 27 2 4 4 2" xfId="20833"/>
    <cellStyle name="Normal 27 2 4 4 3" xfId="27800"/>
    <cellStyle name="Normal 27 2 4 4 4" xfId="34769"/>
    <cellStyle name="Normal 27 2 4 5" xfId="11544"/>
    <cellStyle name="Normal 27 2 4 6" xfId="18511"/>
    <cellStyle name="Normal 27 2 4 7" xfId="25478"/>
    <cellStyle name="Normal 27 2 4 8" xfId="32446"/>
    <cellStyle name="Normal 27 2 5" xfId="3710"/>
    <cellStyle name="Normal 27 2 5 2" xfId="5580"/>
    <cellStyle name="Normal 27 2 5 2 2" xfId="10396"/>
    <cellStyle name="Normal 27 2 5 2 2 2" xfId="17390"/>
    <cellStyle name="Normal 27 2 5 2 2 3" xfId="24357"/>
    <cellStyle name="Normal 27 2 5 2 2 4" xfId="31324"/>
    <cellStyle name="Normal 27 2 5 2 2 5" xfId="38293"/>
    <cellStyle name="Normal 27 2 5 2 3" xfId="15070"/>
    <cellStyle name="Normal 27 2 5 2 3 2" xfId="22037"/>
    <cellStyle name="Normal 27 2 5 2 3 3" xfId="29004"/>
    <cellStyle name="Normal 27 2 5 2 3 4" xfId="35973"/>
    <cellStyle name="Normal 27 2 5 2 4" xfId="12748"/>
    <cellStyle name="Normal 27 2 5 2 5" xfId="19715"/>
    <cellStyle name="Normal 27 2 5 2 6" xfId="26682"/>
    <cellStyle name="Normal 27 2 5 2 7" xfId="33650"/>
    <cellStyle name="Normal 27 2 5 3" xfId="9318"/>
    <cellStyle name="Normal 27 2 5 3 2" xfId="16357"/>
    <cellStyle name="Normal 27 2 5 3 3" xfId="23324"/>
    <cellStyle name="Normal 27 2 5 3 4" xfId="30291"/>
    <cellStyle name="Normal 27 2 5 3 5" xfId="37260"/>
    <cellStyle name="Normal 27 2 5 4" xfId="14037"/>
    <cellStyle name="Normal 27 2 5 4 2" xfId="21004"/>
    <cellStyle name="Normal 27 2 5 4 3" xfId="27971"/>
    <cellStyle name="Normal 27 2 5 4 4" xfId="34940"/>
    <cellStyle name="Normal 27 2 5 5" xfId="11715"/>
    <cellStyle name="Normal 27 2 5 6" xfId="18682"/>
    <cellStyle name="Normal 27 2 5 7" xfId="25649"/>
    <cellStyle name="Normal 27 2 5 8" xfId="32617"/>
    <cellStyle name="Normal 27 2 6" xfId="3987"/>
    <cellStyle name="Normal 27 2 6 2" xfId="5581"/>
    <cellStyle name="Normal 27 2 6 2 2" xfId="10397"/>
    <cellStyle name="Normal 27 2 6 2 2 2" xfId="17391"/>
    <cellStyle name="Normal 27 2 6 2 2 3" xfId="24358"/>
    <cellStyle name="Normal 27 2 6 2 2 4" xfId="31325"/>
    <cellStyle name="Normal 27 2 6 2 2 5" xfId="38294"/>
    <cellStyle name="Normal 27 2 6 2 3" xfId="15071"/>
    <cellStyle name="Normal 27 2 6 2 3 2" xfId="22038"/>
    <cellStyle name="Normal 27 2 6 2 3 3" xfId="29005"/>
    <cellStyle name="Normal 27 2 6 2 3 4" xfId="35974"/>
    <cellStyle name="Normal 27 2 6 2 4" xfId="12749"/>
    <cellStyle name="Normal 27 2 6 2 5" xfId="19716"/>
    <cellStyle name="Normal 27 2 6 2 6" xfId="26683"/>
    <cellStyle name="Normal 27 2 6 2 7" xfId="33651"/>
    <cellStyle name="Normal 27 2 6 3" xfId="9593"/>
    <cellStyle name="Normal 27 2 6 3 2" xfId="16629"/>
    <cellStyle name="Normal 27 2 6 3 3" xfId="23596"/>
    <cellStyle name="Normal 27 2 6 3 4" xfId="30563"/>
    <cellStyle name="Normal 27 2 6 3 5" xfId="37532"/>
    <cellStyle name="Normal 27 2 6 4" xfId="14309"/>
    <cellStyle name="Normal 27 2 6 4 2" xfId="21276"/>
    <cellStyle name="Normal 27 2 6 4 3" xfId="28243"/>
    <cellStyle name="Normal 27 2 6 4 4" xfId="35212"/>
    <cellStyle name="Normal 27 2 6 5" xfId="11987"/>
    <cellStyle name="Normal 27 2 6 6" xfId="18954"/>
    <cellStyle name="Normal 27 2 6 7" xfId="25921"/>
    <cellStyle name="Normal 27 2 6 8" xfId="32889"/>
    <cellStyle name="Normal 27 2 7" xfId="5572"/>
    <cellStyle name="Normal 27 2 7 2" xfId="10388"/>
    <cellStyle name="Normal 27 2 7 2 2" xfId="17382"/>
    <cellStyle name="Normal 27 2 7 2 3" xfId="24349"/>
    <cellStyle name="Normal 27 2 7 2 4" xfId="31316"/>
    <cellStyle name="Normal 27 2 7 2 5" xfId="38285"/>
    <cellStyle name="Normal 27 2 7 3" xfId="15062"/>
    <cellStyle name="Normal 27 2 7 3 2" xfId="22029"/>
    <cellStyle name="Normal 27 2 7 3 3" xfId="28996"/>
    <cellStyle name="Normal 27 2 7 3 4" xfId="35965"/>
    <cellStyle name="Normal 27 2 7 4" xfId="12740"/>
    <cellStyle name="Normal 27 2 7 5" xfId="19707"/>
    <cellStyle name="Normal 27 2 7 6" xfId="26674"/>
    <cellStyle name="Normal 27 2 7 7" xfId="33642"/>
    <cellStyle name="Normal 27 2 8" xfId="6891"/>
    <cellStyle name="Normal 27 2 8 2" xfId="10852"/>
    <cellStyle name="Normal 27 2 8 2 2" xfId="17825"/>
    <cellStyle name="Normal 27 2 8 2 3" xfId="24792"/>
    <cellStyle name="Normal 27 2 8 2 4" xfId="31759"/>
    <cellStyle name="Normal 27 2 8 2 5" xfId="38728"/>
    <cellStyle name="Normal 27 2 8 3" xfId="15505"/>
    <cellStyle name="Normal 27 2 8 3 2" xfId="22472"/>
    <cellStyle name="Normal 27 2 8 3 3" xfId="29439"/>
    <cellStyle name="Normal 27 2 8 3 4" xfId="36408"/>
    <cellStyle name="Normal 27 2 8 4" xfId="13183"/>
    <cellStyle name="Normal 27 2 8 5" xfId="20150"/>
    <cellStyle name="Normal 27 2 8 6" xfId="27117"/>
    <cellStyle name="Normal 27 2 8 7" xfId="34086"/>
    <cellStyle name="Normal 27 2 9" xfId="7194"/>
    <cellStyle name="Normal 27 2 9 2" xfId="15678"/>
    <cellStyle name="Normal 27 2 9 2 2" xfId="22645"/>
    <cellStyle name="Normal 27 2 9 2 3" xfId="29612"/>
    <cellStyle name="Normal 27 2 9 2 4" xfId="36581"/>
    <cellStyle name="Normal 27 2 9 3" xfId="13356"/>
    <cellStyle name="Normal 27 2 9 4" xfId="20323"/>
    <cellStyle name="Normal 27 2 9 5" xfId="27290"/>
    <cellStyle name="Normal 27 2 9 6" xfId="34259"/>
    <cellStyle name="Normal 27 3" xfId="1752"/>
    <cellStyle name="Normal 27 3 10" xfId="13530"/>
    <cellStyle name="Normal 27 3 10 2" xfId="20497"/>
    <cellStyle name="Normal 27 3 10 3" xfId="27464"/>
    <cellStyle name="Normal 27 3 10 4" xfId="34433"/>
    <cellStyle name="Normal 27 3 11" xfId="11036"/>
    <cellStyle name="Normal 27 3 12" xfId="18002"/>
    <cellStyle name="Normal 27 3 13" xfId="24970"/>
    <cellStyle name="Normal 27 3 14" xfId="31938"/>
    <cellStyle name="Normal 27 3 2" xfId="3338"/>
    <cellStyle name="Normal 27 3 2 2" xfId="5583"/>
    <cellStyle name="Normal 27 3 2 2 2" xfId="10399"/>
    <cellStyle name="Normal 27 3 2 2 2 2" xfId="17393"/>
    <cellStyle name="Normal 27 3 2 2 2 3" xfId="24360"/>
    <cellStyle name="Normal 27 3 2 2 2 4" xfId="31327"/>
    <cellStyle name="Normal 27 3 2 2 2 5" xfId="38296"/>
    <cellStyle name="Normal 27 3 2 2 3" xfId="15073"/>
    <cellStyle name="Normal 27 3 2 2 3 2" xfId="22040"/>
    <cellStyle name="Normal 27 3 2 2 3 3" xfId="29007"/>
    <cellStyle name="Normal 27 3 2 2 3 4" xfId="35976"/>
    <cellStyle name="Normal 27 3 2 2 4" xfId="12751"/>
    <cellStyle name="Normal 27 3 2 2 5" xfId="19718"/>
    <cellStyle name="Normal 27 3 2 2 6" xfId="26685"/>
    <cellStyle name="Normal 27 3 2 2 7" xfId="33653"/>
    <cellStyle name="Normal 27 3 2 3" xfId="8972"/>
    <cellStyle name="Normal 27 3 2 3 2" xfId="16021"/>
    <cellStyle name="Normal 27 3 2 3 3" xfId="22988"/>
    <cellStyle name="Normal 27 3 2 3 4" xfId="29955"/>
    <cellStyle name="Normal 27 3 2 3 5" xfId="36924"/>
    <cellStyle name="Normal 27 3 2 4" xfId="13699"/>
    <cellStyle name="Normal 27 3 2 4 2" xfId="20666"/>
    <cellStyle name="Normal 27 3 2 4 3" xfId="27633"/>
    <cellStyle name="Normal 27 3 2 4 4" xfId="34602"/>
    <cellStyle name="Normal 27 3 2 5" xfId="11377"/>
    <cellStyle name="Normal 27 3 2 6" xfId="18344"/>
    <cellStyle name="Normal 27 3 2 7" xfId="25311"/>
    <cellStyle name="Normal 27 3 2 8" xfId="32279"/>
    <cellStyle name="Normal 27 3 3" xfId="3537"/>
    <cellStyle name="Normal 27 3 3 2" xfId="5584"/>
    <cellStyle name="Normal 27 3 3 2 2" xfId="10400"/>
    <cellStyle name="Normal 27 3 3 2 2 2" xfId="17394"/>
    <cellStyle name="Normal 27 3 3 2 2 3" xfId="24361"/>
    <cellStyle name="Normal 27 3 3 2 2 4" xfId="31328"/>
    <cellStyle name="Normal 27 3 3 2 2 5" xfId="38297"/>
    <cellStyle name="Normal 27 3 3 2 3" xfId="15074"/>
    <cellStyle name="Normal 27 3 3 2 3 2" xfId="22041"/>
    <cellStyle name="Normal 27 3 3 2 3 3" xfId="29008"/>
    <cellStyle name="Normal 27 3 3 2 3 4" xfId="35977"/>
    <cellStyle name="Normal 27 3 3 2 4" xfId="12752"/>
    <cellStyle name="Normal 27 3 3 2 5" xfId="19719"/>
    <cellStyle name="Normal 27 3 3 2 6" xfId="26686"/>
    <cellStyle name="Normal 27 3 3 2 7" xfId="33654"/>
    <cellStyle name="Normal 27 3 3 3" xfId="9149"/>
    <cellStyle name="Normal 27 3 3 3 2" xfId="16188"/>
    <cellStyle name="Normal 27 3 3 3 3" xfId="23155"/>
    <cellStyle name="Normal 27 3 3 3 4" xfId="30122"/>
    <cellStyle name="Normal 27 3 3 3 5" xfId="37091"/>
    <cellStyle name="Normal 27 3 3 4" xfId="13868"/>
    <cellStyle name="Normal 27 3 3 4 2" xfId="20835"/>
    <cellStyle name="Normal 27 3 3 4 3" xfId="27802"/>
    <cellStyle name="Normal 27 3 3 4 4" xfId="34771"/>
    <cellStyle name="Normal 27 3 3 5" xfId="11546"/>
    <cellStyle name="Normal 27 3 3 6" xfId="18513"/>
    <cellStyle name="Normal 27 3 3 7" xfId="25480"/>
    <cellStyle name="Normal 27 3 3 8" xfId="32448"/>
    <cellStyle name="Normal 27 3 4" xfId="3712"/>
    <cellStyle name="Normal 27 3 4 2" xfId="5585"/>
    <cellStyle name="Normal 27 3 4 2 2" xfId="10401"/>
    <cellStyle name="Normal 27 3 4 2 2 2" xfId="17395"/>
    <cellStyle name="Normal 27 3 4 2 2 3" xfId="24362"/>
    <cellStyle name="Normal 27 3 4 2 2 4" xfId="31329"/>
    <cellStyle name="Normal 27 3 4 2 2 5" xfId="38298"/>
    <cellStyle name="Normal 27 3 4 2 3" xfId="15075"/>
    <cellStyle name="Normal 27 3 4 2 3 2" xfId="22042"/>
    <cellStyle name="Normal 27 3 4 2 3 3" xfId="29009"/>
    <cellStyle name="Normal 27 3 4 2 3 4" xfId="35978"/>
    <cellStyle name="Normal 27 3 4 2 4" xfId="12753"/>
    <cellStyle name="Normal 27 3 4 2 5" xfId="19720"/>
    <cellStyle name="Normal 27 3 4 2 6" xfId="26687"/>
    <cellStyle name="Normal 27 3 4 2 7" xfId="33655"/>
    <cellStyle name="Normal 27 3 4 3" xfId="9320"/>
    <cellStyle name="Normal 27 3 4 3 2" xfId="16359"/>
    <cellStyle name="Normal 27 3 4 3 3" xfId="23326"/>
    <cellStyle name="Normal 27 3 4 3 4" xfId="30293"/>
    <cellStyle name="Normal 27 3 4 3 5" xfId="37262"/>
    <cellStyle name="Normal 27 3 4 4" xfId="14039"/>
    <cellStyle name="Normal 27 3 4 4 2" xfId="21006"/>
    <cellStyle name="Normal 27 3 4 4 3" xfId="27973"/>
    <cellStyle name="Normal 27 3 4 4 4" xfId="34942"/>
    <cellStyle name="Normal 27 3 4 5" xfId="11717"/>
    <cellStyle name="Normal 27 3 4 6" xfId="18684"/>
    <cellStyle name="Normal 27 3 4 7" xfId="25651"/>
    <cellStyle name="Normal 27 3 4 8" xfId="32619"/>
    <cellStyle name="Normal 27 3 5" xfId="3989"/>
    <cellStyle name="Normal 27 3 5 2" xfId="5586"/>
    <cellStyle name="Normal 27 3 5 2 2" xfId="10402"/>
    <cellStyle name="Normal 27 3 5 2 2 2" xfId="17396"/>
    <cellStyle name="Normal 27 3 5 2 2 3" xfId="24363"/>
    <cellStyle name="Normal 27 3 5 2 2 4" xfId="31330"/>
    <cellStyle name="Normal 27 3 5 2 2 5" xfId="38299"/>
    <cellStyle name="Normal 27 3 5 2 3" xfId="15076"/>
    <cellStyle name="Normal 27 3 5 2 3 2" xfId="22043"/>
    <cellStyle name="Normal 27 3 5 2 3 3" xfId="29010"/>
    <cellStyle name="Normal 27 3 5 2 3 4" xfId="35979"/>
    <cellStyle name="Normal 27 3 5 2 4" xfId="12754"/>
    <cellStyle name="Normal 27 3 5 2 5" xfId="19721"/>
    <cellStyle name="Normal 27 3 5 2 6" xfId="26688"/>
    <cellStyle name="Normal 27 3 5 2 7" xfId="33656"/>
    <cellStyle name="Normal 27 3 5 3" xfId="9595"/>
    <cellStyle name="Normal 27 3 5 3 2" xfId="16631"/>
    <cellStyle name="Normal 27 3 5 3 3" xfId="23598"/>
    <cellStyle name="Normal 27 3 5 3 4" xfId="30565"/>
    <cellStyle name="Normal 27 3 5 3 5" xfId="37534"/>
    <cellStyle name="Normal 27 3 5 4" xfId="14311"/>
    <cellStyle name="Normal 27 3 5 4 2" xfId="21278"/>
    <cellStyle name="Normal 27 3 5 4 3" xfId="28245"/>
    <cellStyle name="Normal 27 3 5 4 4" xfId="35214"/>
    <cellStyle name="Normal 27 3 5 5" xfId="11989"/>
    <cellStyle name="Normal 27 3 5 6" xfId="18956"/>
    <cellStyle name="Normal 27 3 5 7" xfId="25923"/>
    <cellStyle name="Normal 27 3 5 8" xfId="32891"/>
    <cellStyle name="Normal 27 3 6" xfId="5582"/>
    <cellStyle name="Normal 27 3 6 2" xfId="10398"/>
    <cellStyle name="Normal 27 3 6 2 2" xfId="17392"/>
    <cellStyle name="Normal 27 3 6 2 3" xfId="24359"/>
    <cellStyle name="Normal 27 3 6 2 4" xfId="31326"/>
    <cellStyle name="Normal 27 3 6 2 5" xfId="38295"/>
    <cellStyle name="Normal 27 3 6 3" xfId="15072"/>
    <cellStyle name="Normal 27 3 6 3 2" xfId="22039"/>
    <cellStyle name="Normal 27 3 6 3 3" xfId="29006"/>
    <cellStyle name="Normal 27 3 6 3 4" xfId="35975"/>
    <cellStyle name="Normal 27 3 6 4" xfId="12750"/>
    <cellStyle name="Normal 27 3 6 5" xfId="19717"/>
    <cellStyle name="Normal 27 3 6 6" xfId="26684"/>
    <cellStyle name="Normal 27 3 6 7" xfId="33652"/>
    <cellStyle name="Normal 27 3 7" xfId="6893"/>
    <cellStyle name="Normal 27 3 7 2" xfId="10854"/>
    <cellStyle name="Normal 27 3 7 2 2" xfId="17827"/>
    <cellStyle name="Normal 27 3 7 2 3" xfId="24794"/>
    <cellStyle name="Normal 27 3 7 2 4" xfId="31761"/>
    <cellStyle name="Normal 27 3 7 2 5" xfId="38730"/>
    <cellStyle name="Normal 27 3 7 3" xfId="15507"/>
    <cellStyle name="Normal 27 3 7 3 2" xfId="22474"/>
    <cellStyle name="Normal 27 3 7 3 3" xfId="29441"/>
    <cellStyle name="Normal 27 3 7 3 4" xfId="36410"/>
    <cellStyle name="Normal 27 3 7 4" xfId="13185"/>
    <cellStyle name="Normal 27 3 7 5" xfId="20152"/>
    <cellStyle name="Normal 27 3 7 6" xfId="27119"/>
    <cellStyle name="Normal 27 3 7 7" xfId="34088"/>
    <cellStyle name="Normal 27 3 8" xfId="7196"/>
    <cellStyle name="Normal 27 3 8 2" xfId="15680"/>
    <cellStyle name="Normal 27 3 8 2 2" xfId="22647"/>
    <cellStyle name="Normal 27 3 8 2 3" xfId="29614"/>
    <cellStyle name="Normal 27 3 8 2 4" xfId="36583"/>
    <cellStyle name="Normal 27 3 8 3" xfId="13358"/>
    <cellStyle name="Normal 27 3 8 4" xfId="20325"/>
    <cellStyle name="Normal 27 3 8 5" xfId="27292"/>
    <cellStyle name="Normal 27 3 8 6" xfId="34261"/>
    <cellStyle name="Normal 27 3 9" xfId="8105"/>
    <cellStyle name="Normal 27 3 9 2" xfId="15852"/>
    <cellStyle name="Normal 27 3 9 2 2" xfId="22819"/>
    <cellStyle name="Normal 27 3 9 2 3" xfId="29786"/>
    <cellStyle name="Normal 27 3 9 2 4" xfId="36755"/>
    <cellStyle name="Normal 27 3 9 3" xfId="11208"/>
    <cellStyle name="Normal 27 3 9 4" xfId="18175"/>
    <cellStyle name="Normal 27 3 9 5" xfId="25142"/>
    <cellStyle name="Normal 27 3 9 6" xfId="32110"/>
    <cellStyle name="Normal 27 4" xfId="3335"/>
    <cellStyle name="Normal 27 4 2" xfId="5587"/>
    <cellStyle name="Normal 27 4 2 2" xfId="10403"/>
    <cellStyle name="Normal 27 4 2 2 2" xfId="17397"/>
    <cellStyle name="Normal 27 4 2 2 3" xfId="24364"/>
    <cellStyle name="Normal 27 4 2 2 4" xfId="31331"/>
    <cellStyle name="Normal 27 4 2 2 5" xfId="38300"/>
    <cellStyle name="Normal 27 4 2 3" xfId="15077"/>
    <cellStyle name="Normal 27 4 2 3 2" xfId="22044"/>
    <cellStyle name="Normal 27 4 2 3 3" xfId="29011"/>
    <cellStyle name="Normal 27 4 2 3 4" xfId="35980"/>
    <cellStyle name="Normal 27 4 2 4" xfId="12755"/>
    <cellStyle name="Normal 27 4 2 5" xfId="19722"/>
    <cellStyle name="Normal 27 4 2 6" xfId="26689"/>
    <cellStyle name="Normal 27 4 2 7" xfId="33657"/>
    <cellStyle name="Normal 27 4 3" xfId="8969"/>
    <cellStyle name="Normal 27 4 3 2" xfId="16018"/>
    <cellStyle name="Normal 27 4 3 3" xfId="22985"/>
    <cellStyle name="Normal 27 4 3 4" xfId="29952"/>
    <cellStyle name="Normal 27 4 3 5" xfId="36921"/>
    <cellStyle name="Normal 27 4 4" xfId="13696"/>
    <cellStyle name="Normal 27 4 4 2" xfId="20663"/>
    <cellStyle name="Normal 27 4 4 3" xfId="27630"/>
    <cellStyle name="Normal 27 4 4 4" xfId="34599"/>
    <cellStyle name="Normal 27 4 5" xfId="11374"/>
    <cellStyle name="Normal 27 4 6" xfId="18341"/>
    <cellStyle name="Normal 27 4 7" xfId="25308"/>
    <cellStyle name="Normal 27 4 8" xfId="32276"/>
    <cellStyle name="Normal 27 5" xfId="3534"/>
    <cellStyle name="Normal 27 5 2" xfId="5588"/>
    <cellStyle name="Normal 27 5 2 2" xfId="10404"/>
    <cellStyle name="Normal 27 5 2 2 2" xfId="17398"/>
    <cellStyle name="Normal 27 5 2 2 3" xfId="24365"/>
    <cellStyle name="Normal 27 5 2 2 4" xfId="31332"/>
    <cellStyle name="Normal 27 5 2 2 5" xfId="38301"/>
    <cellStyle name="Normal 27 5 2 3" xfId="15078"/>
    <cellStyle name="Normal 27 5 2 3 2" xfId="22045"/>
    <cellStyle name="Normal 27 5 2 3 3" xfId="29012"/>
    <cellStyle name="Normal 27 5 2 3 4" xfId="35981"/>
    <cellStyle name="Normal 27 5 2 4" xfId="12756"/>
    <cellStyle name="Normal 27 5 2 5" xfId="19723"/>
    <cellStyle name="Normal 27 5 2 6" xfId="26690"/>
    <cellStyle name="Normal 27 5 2 7" xfId="33658"/>
    <cellStyle name="Normal 27 5 3" xfId="9146"/>
    <cellStyle name="Normal 27 5 3 2" xfId="16185"/>
    <cellStyle name="Normal 27 5 3 3" xfId="23152"/>
    <cellStyle name="Normal 27 5 3 4" xfId="30119"/>
    <cellStyle name="Normal 27 5 3 5" xfId="37088"/>
    <cellStyle name="Normal 27 5 4" xfId="13865"/>
    <cellStyle name="Normal 27 5 4 2" xfId="20832"/>
    <cellStyle name="Normal 27 5 4 3" xfId="27799"/>
    <cellStyle name="Normal 27 5 4 4" xfId="34768"/>
    <cellStyle name="Normal 27 5 5" xfId="11543"/>
    <cellStyle name="Normal 27 5 6" xfId="18510"/>
    <cellStyle name="Normal 27 5 7" xfId="25477"/>
    <cellStyle name="Normal 27 5 8" xfId="32445"/>
    <cellStyle name="Normal 27 6" xfId="3709"/>
    <cellStyle name="Normal 27 6 2" xfId="5589"/>
    <cellStyle name="Normal 27 6 2 2" xfId="10405"/>
    <cellStyle name="Normal 27 6 2 2 2" xfId="17399"/>
    <cellStyle name="Normal 27 6 2 2 3" xfId="24366"/>
    <cellStyle name="Normal 27 6 2 2 4" xfId="31333"/>
    <cellStyle name="Normal 27 6 2 2 5" xfId="38302"/>
    <cellStyle name="Normal 27 6 2 3" xfId="15079"/>
    <cellStyle name="Normal 27 6 2 3 2" xfId="22046"/>
    <cellStyle name="Normal 27 6 2 3 3" xfId="29013"/>
    <cellStyle name="Normal 27 6 2 3 4" xfId="35982"/>
    <cellStyle name="Normal 27 6 2 4" xfId="12757"/>
    <cellStyle name="Normal 27 6 2 5" xfId="19724"/>
    <cellStyle name="Normal 27 6 2 6" xfId="26691"/>
    <cellStyle name="Normal 27 6 2 7" xfId="33659"/>
    <cellStyle name="Normal 27 6 3" xfId="9317"/>
    <cellStyle name="Normal 27 6 3 2" xfId="16356"/>
    <cellStyle name="Normal 27 6 3 3" xfId="23323"/>
    <cellStyle name="Normal 27 6 3 4" xfId="30290"/>
    <cellStyle name="Normal 27 6 3 5" xfId="37259"/>
    <cellStyle name="Normal 27 6 4" xfId="14036"/>
    <cellStyle name="Normal 27 6 4 2" xfId="21003"/>
    <cellStyle name="Normal 27 6 4 3" xfId="27970"/>
    <cellStyle name="Normal 27 6 4 4" xfId="34939"/>
    <cellStyle name="Normal 27 6 5" xfId="11714"/>
    <cellStyle name="Normal 27 6 6" xfId="18681"/>
    <cellStyle name="Normal 27 6 7" xfId="25648"/>
    <cellStyle name="Normal 27 6 8" xfId="32616"/>
    <cellStyle name="Normal 27 7" xfId="3986"/>
    <cellStyle name="Normal 27 7 2" xfId="5590"/>
    <cellStyle name="Normal 27 7 2 2" xfId="10406"/>
    <cellStyle name="Normal 27 7 2 2 2" xfId="17400"/>
    <cellStyle name="Normal 27 7 2 2 3" xfId="24367"/>
    <cellStyle name="Normal 27 7 2 2 4" xfId="31334"/>
    <cellStyle name="Normal 27 7 2 2 5" xfId="38303"/>
    <cellStyle name="Normal 27 7 2 3" xfId="15080"/>
    <cellStyle name="Normal 27 7 2 3 2" xfId="22047"/>
    <cellStyle name="Normal 27 7 2 3 3" xfId="29014"/>
    <cellStyle name="Normal 27 7 2 3 4" xfId="35983"/>
    <cellStyle name="Normal 27 7 2 4" xfId="12758"/>
    <cellStyle name="Normal 27 7 2 5" xfId="19725"/>
    <cellStyle name="Normal 27 7 2 6" xfId="26692"/>
    <cellStyle name="Normal 27 7 2 7" xfId="33660"/>
    <cellStyle name="Normal 27 7 3" xfId="9592"/>
    <cellStyle name="Normal 27 7 3 2" xfId="16628"/>
    <cellStyle name="Normal 27 7 3 3" xfId="23595"/>
    <cellStyle name="Normal 27 7 3 4" xfId="30562"/>
    <cellStyle name="Normal 27 7 3 5" xfId="37531"/>
    <cellStyle name="Normal 27 7 4" xfId="14308"/>
    <cellStyle name="Normal 27 7 4 2" xfId="21275"/>
    <cellStyle name="Normal 27 7 4 3" xfId="28242"/>
    <cellStyle name="Normal 27 7 4 4" xfId="35211"/>
    <cellStyle name="Normal 27 7 5" xfId="11986"/>
    <cellStyle name="Normal 27 7 6" xfId="18953"/>
    <cellStyle name="Normal 27 7 7" xfId="25920"/>
    <cellStyle name="Normal 27 7 8" xfId="32888"/>
    <cellStyle name="Normal 27 8" xfId="5571"/>
    <cellStyle name="Normal 27 8 2" xfId="10387"/>
    <cellStyle name="Normal 27 8 2 2" xfId="17381"/>
    <cellStyle name="Normal 27 8 2 3" xfId="24348"/>
    <cellStyle name="Normal 27 8 2 4" xfId="31315"/>
    <cellStyle name="Normal 27 8 2 5" xfId="38284"/>
    <cellStyle name="Normal 27 8 3" xfId="15061"/>
    <cellStyle name="Normal 27 8 3 2" xfId="22028"/>
    <cellStyle name="Normal 27 8 3 3" xfId="28995"/>
    <cellStyle name="Normal 27 8 3 4" xfId="35964"/>
    <cellStyle name="Normal 27 8 4" xfId="12739"/>
    <cellStyle name="Normal 27 8 5" xfId="19706"/>
    <cellStyle name="Normal 27 8 6" xfId="26673"/>
    <cellStyle name="Normal 27 8 7" xfId="33641"/>
    <cellStyle name="Normal 27 9" xfId="6890"/>
    <cellStyle name="Normal 27 9 2" xfId="10851"/>
    <cellStyle name="Normal 27 9 2 2" xfId="17824"/>
    <cellStyle name="Normal 27 9 2 3" xfId="24791"/>
    <cellStyle name="Normal 27 9 2 4" xfId="31758"/>
    <cellStyle name="Normal 27 9 2 5" xfId="38727"/>
    <cellStyle name="Normal 27 9 3" xfId="15504"/>
    <cellStyle name="Normal 27 9 3 2" xfId="22471"/>
    <cellStyle name="Normal 27 9 3 3" xfId="29438"/>
    <cellStyle name="Normal 27 9 3 4" xfId="36407"/>
    <cellStyle name="Normal 27 9 4" xfId="13182"/>
    <cellStyle name="Normal 27 9 5" xfId="20149"/>
    <cellStyle name="Normal 27 9 6" xfId="27116"/>
    <cellStyle name="Normal 27 9 7" xfId="34085"/>
    <cellStyle name="Normal 28" xfId="1753"/>
    <cellStyle name="Normal 28 2" xfId="1754"/>
    <cellStyle name="Normal 28 3" xfId="1755"/>
    <cellStyle name="Normal 28 4" xfId="6894"/>
    <cellStyle name="Normal 28 4 2" xfId="10855"/>
    <cellStyle name="Normal 29" xfId="1756"/>
    <cellStyle name="Normal 29 2" xfId="1757"/>
    <cellStyle name="Normal 29 3" xfId="1758"/>
    <cellStyle name="Normal 29 4" xfId="6895"/>
    <cellStyle name="Normal 29 4 2" xfId="10856"/>
    <cellStyle name="Normal 3" xfId="1759"/>
    <cellStyle name="Normal 3 10" xfId="3990"/>
    <cellStyle name="Normal 3 10 2" xfId="5591"/>
    <cellStyle name="Normal 3 10 2 2" xfId="10407"/>
    <cellStyle name="Normal 3 10 2 2 2" xfId="17401"/>
    <cellStyle name="Normal 3 10 2 2 3" xfId="24368"/>
    <cellStyle name="Normal 3 10 2 2 4" xfId="31335"/>
    <cellStyle name="Normal 3 10 2 2 5" xfId="38304"/>
    <cellStyle name="Normal 3 10 2 3" xfId="15081"/>
    <cellStyle name="Normal 3 10 2 3 2" xfId="22048"/>
    <cellStyle name="Normal 3 10 2 3 3" xfId="29015"/>
    <cellStyle name="Normal 3 10 2 3 4" xfId="35984"/>
    <cellStyle name="Normal 3 10 2 4" xfId="12759"/>
    <cellStyle name="Normal 3 10 2 5" xfId="19726"/>
    <cellStyle name="Normal 3 10 2 6" xfId="26693"/>
    <cellStyle name="Normal 3 10 2 7" xfId="33661"/>
    <cellStyle name="Normal 3 10 3" xfId="9596"/>
    <cellStyle name="Normal 3 10 3 2" xfId="16632"/>
    <cellStyle name="Normal 3 10 3 3" xfId="23599"/>
    <cellStyle name="Normal 3 10 3 4" xfId="30566"/>
    <cellStyle name="Normal 3 10 3 5" xfId="37535"/>
    <cellStyle name="Normal 3 10 4" xfId="14312"/>
    <cellStyle name="Normal 3 10 4 2" xfId="21279"/>
    <cellStyle name="Normal 3 10 4 3" xfId="28246"/>
    <cellStyle name="Normal 3 10 4 4" xfId="35215"/>
    <cellStyle name="Normal 3 10 5" xfId="11990"/>
    <cellStyle name="Normal 3 10 6" xfId="18957"/>
    <cellStyle name="Normal 3 10 7" xfId="25924"/>
    <cellStyle name="Normal 3 10 8" xfId="32892"/>
    <cellStyle name="Normal 3 11" xfId="6640"/>
    <cellStyle name="Normal 3 12" xfId="8106"/>
    <cellStyle name="Normal 3 2" xfId="1760"/>
    <cellStyle name="Normal 3 2 10" xfId="3714"/>
    <cellStyle name="Normal 3 2 10 2" xfId="5593"/>
    <cellStyle name="Normal 3 2 10 2 2" xfId="10409"/>
    <cellStyle name="Normal 3 2 10 2 2 2" xfId="17403"/>
    <cellStyle name="Normal 3 2 10 2 2 3" xfId="24370"/>
    <cellStyle name="Normal 3 2 10 2 2 4" xfId="31337"/>
    <cellStyle name="Normal 3 2 10 2 2 5" xfId="38306"/>
    <cellStyle name="Normal 3 2 10 2 3" xfId="15083"/>
    <cellStyle name="Normal 3 2 10 2 3 2" xfId="22050"/>
    <cellStyle name="Normal 3 2 10 2 3 3" xfId="29017"/>
    <cellStyle name="Normal 3 2 10 2 3 4" xfId="35986"/>
    <cellStyle name="Normal 3 2 10 2 4" xfId="12761"/>
    <cellStyle name="Normal 3 2 10 2 5" xfId="19728"/>
    <cellStyle name="Normal 3 2 10 2 6" xfId="26695"/>
    <cellStyle name="Normal 3 2 10 2 7" xfId="33663"/>
    <cellStyle name="Normal 3 2 10 3" xfId="9322"/>
    <cellStyle name="Normal 3 2 10 3 2" xfId="16361"/>
    <cellStyle name="Normal 3 2 10 3 3" xfId="23328"/>
    <cellStyle name="Normal 3 2 10 3 4" xfId="30295"/>
    <cellStyle name="Normal 3 2 10 3 5" xfId="37264"/>
    <cellStyle name="Normal 3 2 10 4" xfId="14041"/>
    <cellStyle name="Normal 3 2 10 4 2" xfId="21008"/>
    <cellStyle name="Normal 3 2 10 4 3" xfId="27975"/>
    <cellStyle name="Normal 3 2 10 4 4" xfId="34944"/>
    <cellStyle name="Normal 3 2 10 5" xfId="11719"/>
    <cellStyle name="Normal 3 2 10 6" xfId="18686"/>
    <cellStyle name="Normal 3 2 10 7" xfId="25653"/>
    <cellStyle name="Normal 3 2 10 8" xfId="32621"/>
    <cellStyle name="Normal 3 2 11" xfId="3991"/>
    <cellStyle name="Normal 3 2 11 2" xfId="5594"/>
    <cellStyle name="Normal 3 2 11 2 2" xfId="10410"/>
    <cellStyle name="Normal 3 2 11 2 2 2" xfId="17404"/>
    <cellStyle name="Normal 3 2 11 2 2 3" xfId="24371"/>
    <cellStyle name="Normal 3 2 11 2 2 4" xfId="31338"/>
    <cellStyle name="Normal 3 2 11 2 2 5" xfId="38307"/>
    <cellStyle name="Normal 3 2 11 2 3" xfId="15084"/>
    <cellStyle name="Normal 3 2 11 2 3 2" xfId="22051"/>
    <cellStyle name="Normal 3 2 11 2 3 3" xfId="29018"/>
    <cellStyle name="Normal 3 2 11 2 3 4" xfId="35987"/>
    <cellStyle name="Normal 3 2 11 2 4" xfId="12762"/>
    <cellStyle name="Normal 3 2 11 2 5" xfId="19729"/>
    <cellStyle name="Normal 3 2 11 2 6" xfId="26696"/>
    <cellStyle name="Normal 3 2 11 2 7" xfId="33664"/>
    <cellStyle name="Normal 3 2 11 3" xfId="9597"/>
    <cellStyle name="Normal 3 2 11 3 2" xfId="16633"/>
    <cellStyle name="Normal 3 2 11 3 3" xfId="23600"/>
    <cellStyle name="Normal 3 2 11 3 4" xfId="30567"/>
    <cellStyle name="Normal 3 2 11 3 5" xfId="37536"/>
    <cellStyle name="Normal 3 2 11 4" xfId="14313"/>
    <cellStyle name="Normal 3 2 11 4 2" xfId="21280"/>
    <cellStyle name="Normal 3 2 11 4 3" xfId="28247"/>
    <cellStyle name="Normal 3 2 11 4 4" xfId="35216"/>
    <cellStyle name="Normal 3 2 11 5" xfId="11991"/>
    <cellStyle name="Normal 3 2 11 6" xfId="18958"/>
    <cellStyle name="Normal 3 2 11 7" xfId="25925"/>
    <cellStyle name="Normal 3 2 11 8" xfId="32893"/>
    <cellStyle name="Normal 3 2 12" xfId="5592"/>
    <cellStyle name="Normal 3 2 12 2" xfId="10408"/>
    <cellStyle name="Normal 3 2 12 2 2" xfId="17402"/>
    <cellStyle name="Normal 3 2 12 2 3" xfId="24369"/>
    <cellStyle name="Normal 3 2 12 2 4" xfId="31336"/>
    <cellStyle name="Normal 3 2 12 2 5" xfId="38305"/>
    <cellStyle name="Normal 3 2 12 3" xfId="15082"/>
    <cellStyle name="Normal 3 2 12 3 2" xfId="22049"/>
    <cellStyle name="Normal 3 2 12 3 3" xfId="29016"/>
    <cellStyle name="Normal 3 2 12 3 4" xfId="35985"/>
    <cellStyle name="Normal 3 2 12 4" xfId="12760"/>
    <cellStyle name="Normal 3 2 12 5" xfId="19727"/>
    <cellStyle name="Normal 3 2 12 6" xfId="26694"/>
    <cellStyle name="Normal 3 2 12 7" xfId="33662"/>
    <cellStyle name="Normal 3 2 2" xfId="1761"/>
    <cellStyle name="Normal 3 2 2 10" xfId="3992"/>
    <cellStyle name="Normal 3 2 2 10 2" xfId="5596"/>
    <cellStyle name="Normal 3 2 2 10 2 2" xfId="10412"/>
    <cellStyle name="Normal 3 2 2 10 2 2 2" xfId="17406"/>
    <cellStyle name="Normal 3 2 2 10 2 2 3" xfId="24373"/>
    <cellStyle name="Normal 3 2 2 10 2 2 4" xfId="31340"/>
    <cellStyle name="Normal 3 2 2 10 2 2 5" xfId="38309"/>
    <cellStyle name="Normal 3 2 2 10 2 3" xfId="15086"/>
    <cellStyle name="Normal 3 2 2 10 2 3 2" xfId="22053"/>
    <cellStyle name="Normal 3 2 2 10 2 3 3" xfId="29020"/>
    <cellStyle name="Normal 3 2 2 10 2 3 4" xfId="35989"/>
    <cellStyle name="Normal 3 2 2 10 2 4" xfId="12764"/>
    <cellStyle name="Normal 3 2 2 10 2 5" xfId="19731"/>
    <cellStyle name="Normal 3 2 2 10 2 6" xfId="26698"/>
    <cellStyle name="Normal 3 2 2 10 2 7" xfId="33666"/>
    <cellStyle name="Normal 3 2 2 10 3" xfId="9598"/>
    <cellStyle name="Normal 3 2 2 10 3 2" xfId="16634"/>
    <cellStyle name="Normal 3 2 2 10 3 3" xfId="23601"/>
    <cellStyle name="Normal 3 2 2 10 3 4" xfId="30568"/>
    <cellStyle name="Normal 3 2 2 10 3 5" xfId="37537"/>
    <cellStyle name="Normal 3 2 2 10 4" xfId="14314"/>
    <cellStyle name="Normal 3 2 2 10 4 2" xfId="21281"/>
    <cellStyle name="Normal 3 2 2 10 4 3" xfId="28248"/>
    <cellStyle name="Normal 3 2 2 10 4 4" xfId="35217"/>
    <cellStyle name="Normal 3 2 2 10 5" xfId="11992"/>
    <cellStyle name="Normal 3 2 2 10 6" xfId="18959"/>
    <cellStyle name="Normal 3 2 2 10 7" xfId="25926"/>
    <cellStyle name="Normal 3 2 2 10 8" xfId="32894"/>
    <cellStyle name="Normal 3 2 2 11" xfId="5595"/>
    <cellStyle name="Normal 3 2 2 11 2" xfId="10411"/>
    <cellStyle name="Normal 3 2 2 11 2 2" xfId="17405"/>
    <cellStyle name="Normal 3 2 2 11 2 3" xfId="24372"/>
    <cellStyle name="Normal 3 2 2 11 2 4" xfId="31339"/>
    <cellStyle name="Normal 3 2 2 11 2 5" xfId="38308"/>
    <cellStyle name="Normal 3 2 2 11 3" xfId="15085"/>
    <cellStyle name="Normal 3 2 2 11 3 2" xfId="22052"/>
    <cellStyle name="Normal 3 2 2 11 3 3" xfId="29019"/>
    <cellStyle name="Normal 3 2 2 11 3 4" xfId="35988"/>
    <cellStyle name="Normal 3 2 2 11 4" xfId="12763"/>
    <cellStyle name="Normal 3 2 2 11 5" xfId="19730"/>
    <cellStyle name="Normal 3 2 2 11 6" xfId="26697"/>
    <cellStyle name="Normal 3 2 2 11 7" xfId="33665"/>
    <cellStyle name="Normal 3 2 2 12" xfId="8107"/>
    <cellStyle name="Normal 3 2 2 12 2" xfId="15853"/>
    <cellStyle name="Normal 3 2 2 12 2 2" xfId="22820"/>
    <cellStyle name="Normal 3 2 2 12 2 3" xfId="29787"/>
    <cellStyle name="Normal 3 2 2 12 2 4" xfId="36756"/>
    <cellStyle name="Normal 3 2 2 12 3" xfId="11209"/>
    <cellStyle name="Normal 3 2 2 12 4" xfId="18176"/>
    <cellStyle name="Normal 3 2 2 12 5" xfId="25143"/>
    <cellStyle name="Normal 3 2 2 12 6" xfId="32111"/>
    <cellStyle name="Normal 3 2 2 13" xfId="13531"/>
    <cellStyle name="Normal 3 2 2 13 2" xfId="20498"/>
    <cellStyle name="Normal 3 2 2 13 3" xfId="27465"/>
    <cellStyle name="Normal 3 2 2 13 4" xfId="34434"/>
    <cellStyle name="Normal 3 2 2 2" xfId="1762"/>
    <cellStyle name="Normal 3 2 2 2 2" xfId="5597"/>
    <cellStyle name="Normal 3 2 2 2 3" xfId="8108"/>
    <cellStyle name="Normal 3 2 2 3" xfId="1763"/>
    <cellStyle name="Normal 3 2 2 3 10" xfId="8109"/>
    <cellStyle name="Normal 3 2 2 3 10 2" xfId="15854"/>
    <cellStyle name="Normal 3 2 2 3 10 2 2" xfId="22821"/>
    <cellStyle name="Normal 3 2 2 3 10 2 3" xfId="29788"/>
    <cellStyle name="Normal 3 2 2 3 10 2 4" xfId="36757"/>
    <cellStyle name="Normal 3 2 2 3 10 3" xfId="11210"/>
    <cellStyle name="Normal 3 2 2 3 10 4" xfId="18177"/>
    <cellStyle name="Normal 3 2 2 3 10 5" xfId="25144"/>
    <cellStyle name="Normal 3 2 2 3 10 6" xfId="32112"/>
    <cellStyle name="Normal 3 2 2 3 11" xfId="13532"/>
    <cellStyle name="Normal 3 2 2 3 11 2" xfId="20499"/>
    <cellStyle name="Normal 3 2 2 3 11 3" xfId="27466"/>
    <cellStyle name="Normal 3 2 2 3 11 4" xfId="34435"/>
    <cellStyle name="Normal 3 2 2 3 12" xfId="11037"/>
    <cellStyle name="Normal 3 2 2 3 13" xfId="18003"/>
    <cellStyle name="Normal 3 2 2 3 14" xfId="24971"/>
    <cellStyle name="Normal 3 2 2 3 15" xfId="31939"/>
    <cellStyle name="Normal 3 2 2 3 2" xfId="1764"/>
    <cellStyle name="Normal 3 2 2 3 2 10" xfId="13533"/>
    <cellStyle name="Normal 3 2 2 3 2 10 2" xfId="20500"/>
    <cellStyle name="Normal 3 2 2 3 2 10 3" xfId="27467"/>
    <cellStyle name="Normal 3 2 2 3 2 10 4" xfId="34436"/>
    <cellStyle name="Normal 3 2 2 3 2 11" xfId="11038"/>
    <cellStyle name="Normal 3 2 2 3 2 12" xfId="18004"/>
    <cellStyle name="Normal 3 2 2 3 2 13" xfId="24972"/>
    <cellStyle name="Normal 3 2 2 3 2 14" xfId="31940"/>
    <cellStyle name="Normal 3 2 2 3 2 2" xfId="3343"/>
    <cellStyle name="Normal 3 2 2 3 2 2 2" xfId="5600"/>
    <cellStyle name="Normal 3 2 2 3 2 2 2 2" xfId="10415"/>
    <cellStyle name="Normal 3 2 2 3 2 2 2 2 2" xfId="17409"/>
    <cellStyle name="Normal 3 2 2 3 2 2 2 2 3" xfId="24376"/>
    <cellStyle name="Normal 3 2 2 3 2 2 2 2 4" xfId="31343"/>
    <cellStyle name="Normal 3 2 2 3 2 2 2 2 5" xfId="38312"/>
    <cellStyle name="Normal 3 2 2 3 2 2 2 3" xfId="15089"/>
    <cellStyle name="Normal 3 2 2 3 2 2 2 3 2" xfId="22056"/>
    <cellStyle name="Normal 3 2 2 3 2 2 2 3 3" xfId="29023"/>
    <cellStyle name="Normal 3 2 2 3 2 2 2 3 4" xfId="35992"/>
    <cellStyle name="Normal 3 2 2 3 2 2 2 4" xfId="12767"/>
    <cellStyle name="Normal 3 2 2 3 2 2 2 5" xfId="19734"/>
    <cellStyle name="Normal 3 2 2 3 2 2 2 6" xfId="26701"/>
    <cellStyle name="Normal 3 2 2 3 2 2 2 7" xfId="33669"/>
    <cellStyle name="Normal 3 2 2 3 2 2 3" xfId="8977"/>
    <cellStyle name="Normal 3 2 2 3 2 2 3 2" xfId="16026"/>
    <cellStyle name="Normal 3 2 2 3 2 2 3 3" xfId="22993"/>
    <cellStyle name="Normal 3 2 2 3 2 2 3 4" xfId="29960"/>
    <cellStyle name="Normal 3 2 2 3 2 2 3 5" xfId="36929"/>
    <cellStyle name="Normal 3 2 2 3 2 2 4" xfId="13704"/>
    <cellStyle name="Normal 3 2 2 3 2 2 4 2" xfId="20671"/>
    <cellStyle name="Normal 3 2 2 3 2 2 4 3" xfId="27638"/>
    <cellStyle name="Normal 3 2 2 3 2 2 4 4" xfId="34607"/>
    <cellStyle name="Normal 3 2 2 3 2 2 5" xfId="11382"/>
    <cellStyle name="Normal 3 2 2 3 2 2 6" xfId="18349"/>
    <cellStyle name="Normal 3 2 2 3 2 2 7" xfId="25316"/>
    <cellStyle name="Normal 3 2 2 3 2 2 8" xfId="32284"/>
    <cellStyle name="Normal 3 2 2 3 2 3" xfId="3542"/>
    <cellStyle name="Normal 3 2 2 3 2 3 2" xfId="5601"/>
    <cellStyle name="Normal 3 2 2 3 2 3 2 2" xfId="10416"/>
    <cellStyle name="Normal 3 2 2 3 2 3 2 2 2" xfId="17410"/>
    <cellStyle name="Normal 3 2 2 3 2 3 2 2 3" xfId="24377"/>
    <cellStyle name="Normal 3 2 2 3 2 3 2 2 4" xfId="31344"/>
    <cellStyle name="Normal 3 2 2 3 2 3 2 2 5" xfId="38313"/>
    <cellStyle name="Normal 3 2 2 3 2 3 2 3" xfId="15090"/>
    <cellStyle name="Normal 3 2 2 3 2 3 2 3 2" xfId="22057"/>
    <cellStyle name="Normal 3 2 2 3 2 3 2 3 3" xfId="29024"/>
    <cellStyle name="Normal 3 2 2 3 2 3 2 3 4" xfId="35993"/>
    <cellStyle name="Normal 3 2 2 3 2 3 2 4" xfId="12768"/>
    <cellStyle name="Normal 3 2 2 3 2 3 2 5" xfId="19735"/>
    <cellStyle name="Normal 3 2 2 3 2 3 2 6" xfId="26702"/>
    <cellStyle name="Normal 3 2 2 3 2 3 2 7" xfId="33670"/>
    <cellStyle name="Normal 3 2 2 3 2 3 3" xfId="9154"/>
    <cellStyle name="Normal 3 2 2 3 2 3 3 2" xfId="16193"/>
    <cellStyle name="Normal 3 2 2 3 2 3 3 3" xfId="23160"/>
    <cellStyle name="Normal 3 2 2 3 2 3 3 4" xfId="30127"/>
    <cellStyle name="Normal 3 2 2 3 2 3 3 5" xfId="37096"/>
    <cellStyle name="Normal 3 2 2 3 2 3 4" xfId="13873"/>
    <cellStyle name="Normal 3 2 2 3 2 3 4 2" xfId="20840"/>
    <cellStyle name="Normal 3 2 2 3 2 3 4 3" xfId="27807"/>
    <cellStyle name="Normal 3 2 2 3 2 3 4 4" xfId="34776"/>
    <cellStyle name="Normal 3 2 2 3 2 3 5" xfId="11551"/>
    <cellStyle name="Normal 3 2 2 3 2 3 6" xfId="18518"/>
    <cellStyle name="Normal 3 2 2 3 2 3 7" xfId="25485"/>
    <cellStyle name="Normal 3 2 2 3 2 3 8" xfId="32453"/>
    <cellStyle name="Normal 3 2 2 3 2 4" xfId="3717"/>
    <cellStyle name="Normal 3 2 2 3 2 4 2" xfId="5602"/>
    <cellStyle name="Normal 3 2 2 3 2 4 2 2" xfId="10417"/>
    <cellStyle name="Normal 3 2 2 3 2 4 2 2 2" xfId="17411"/>
    <cellStyle name="Normal 3 2 2 3 2 4 2 2 3" xfId="24378"/>
    <cellStyle name="Normal 3 2 2 3 2 4 2 2 4" xfId="31345"/>
    <cellStyle name="Normal 3 2 2 3 2 4 2 2 5" xfId="38314"/>
    <cellStyle name="Normal 3 2 2 3 2 4 2 3" xfId="15091"/>
    <cellStyle name="Normal 3 2 2 3 2 4 2 3 2" xfId="22058"/>
    <cellStyle name="Normal 3 2 2 3 2 4 2 3 3" xfId="29025"/>
    <cellStyle name="Normal 3 2 2 3 2 4 2 3 4" xfId="35994"/>
    <cellStyle name="Normal 3 2 2 3 2 4 2 4" xfId="12769"/>
    <cellStyle name="Normal 3 2 2 3 2 4 2 5" xfId="19736"/>
    <cellStyle name="Normal 3 2 2 3 2 4 2 6" xfId="26703"/>
    <cellStyle name="Normal 3 2 2 3 2 4 2 7" xfId="33671"/>
    <cellStyle name="Normal 3 2 2 3 2 4 3" xfId="9325"/>
    <cellStyle name="Normal 3 2 2 3 2 4 3 2" xfId="16364"/>
    <cellStyle name="Normal 3 2 2 3 2 4 3 3" xfId="23331"/>
    <cellStyle name="Normal 3 2 2 3 2 4 3 4" xfId="30298"/>
    <cellStyle name="Normal 3 2 2 3 2 4 3 5" xfId="37267"/>
    <cellStyle name="Normal 3 2 2 3 2 4 4" xfId="14044"/>
    <cellStyle name="Normal 3 2 2 3 2 4 4 2" xfId="21011"/>
    <cellStyle name="Normal 3 2 2 3 2 4 4 3" xfId="27978"/>
    <cellStyle name="Normal 3 2 2 3 2 4 4 4" xfId="34947"/>
    <cellStyle name="Normal 3 2 2 3 2 4 5" xfId="11722"/>
    <cellStyle name="Normal 3 2 2 3 2 4 6" xfId="18689"/>
    <cellStyle name="Normal 3 2 2 3 2 4 7" xfId="25656"/>
    <cellStyle name="Normal 3 2 2 3 2 4 8" xfId="32624"/>
    <cellStyle name="Normal 3 2 2 3 2 5" xfId="3994"/>
    <cellStyle name="Normal 3 2 2 3 2 5 2" xfId="5603"/>
    <cellStyle name="Normal 3 2 2 3 2 5 2 2" xfId="10418"/>
    <cellStyle name="Normal 3 2 2 3 2 5 2 2 2" xfId="17412"/>
    <cellStyle name="Normal 3 2 2 3 2 5 2 2 3" xfId="24379"/>
    <cellStyle name="Normal 3 2 2 3 2 5 2 2 4" xfId="31346"/>
    <cellStyle name="Normal 3 2 2 3 2 5 2 2 5" xfId="38315"/>
    <cellStyle name="Normal 3 2 2 3 2 5 2 3" xfId="15092"/>
    <cellStyle name="Normal 3 2 2 3 2 5 2 3 2" xfId="22059"/>
    <cellStyle name="Normal 3 2 2 3 2 5 2 3 3" xfId="29026"/>
    <cellStyle name="Normal 3 2 2 3 2 5 2 3 4" xfId="35995"/>
    <cellStyle name="Normal 3 2 2 3 2 5 2 4" xfId="12770"/>
    <cellStyle name="Normal 3 2 2 3 2 5 2 5" xfId="19737"/>
    <cellStyle name="Normal 3 2 2 3 2 5 2 6" xfId="26704"/>
    <cellStyle name="Normal 3 2 2 3 2 5 2 7" xfId="33672"/>
    <cellStyle name="Normal 3 2 2 3 2 5 3" xfId="9600"/>
    <cellStyle name="Normal 3 2 2 3 2 5 3 2" xfId="16636"/>
    <cellStyle name="Normal 3 2 2 3 2 5 3 3" xfId="23603"/>
    <cellStyle name="Normal 3 2 2 3 2 5 3 4" xfId="30570"/>
    <cellStyle name="Normal 3 2 2 3 2 5 3 5" xfId="37539"/>
    <cellStyle name="Normal 3 2 2 3 2 5 4" xfId="14316"/>
    <cellStyle name="Normal 3 2 2 3 2 5 4 2" xfId="21283"/>
    <cellStyle name="Normal 3 2 2 3 2 5 4 3" xfId="28250"/>
    <cellStyle name="Normal 3 2 2 3 2 5 4 4" xfId="35219"/>
    <cellStyle name="Normal 3 2 2 3 2 5 5" xfId="11994"/>
    <cellStyle name="Normal 3 2 2 3 2 5 6" xfId="18961"/>
    <cellStyle name="Normal 3 2 2 3 2 5 7" xfId="25928"/>
    <cellStyle name="Normal 3 2 2 3 2 5 8" xfId="32896"/>
    <cellStyle name="Normal 3 2 2 3 2 6" xfId="5599"/>
    <cellStyle name="Normal 3 2 2 3 2 6 2" xfId="10414"/>
    <cellStyle name="Normal 3 2 2 3 2 6 2 2" xfId="17408"/>
    <cellStyle name="Normal 3 2 2 3 2 6 2 3" xfId="24375"/>
    <cellStyle name="Normal 3 2 2 3 2 6 2 4" xfId="31342"/>
    <cellStyle name="Normal 3 2 2 3 2 6 2 5" xfId="38311"/>
    <cellStyle name="Normal 3 2 2 3 2 6 3" xfId="15088"/>
    <cellStyle name="Normal 3 2 2 3 2 6 3 2" xfId="22055"/>
    <cellStyle name="Normal 3 2 2 3 2 6 3 3" xfId="29022"/>
    <cellStyle name="Normal 3 2 2 3 2 6 3 4" xfId="35991"/>
    <cellStyle name="Normal 3 2 2 3 2 6 4" xfId="12766"/>
    <cellStyle name="Normal 3 2 2 3 2 6 5" xfId="19733"/>
    <cellStyle name="Normal 3 2 2 3 2 6 6" xfId="26700"/>
    <cellStyle name="Normal 3 2 2 3 2 6 7" xfId="33668"/>
    <cellStyle name="Normal 3 2 2 3 2 7" xfId="6897"/>
    <cellStyle name="Normal 3 2 2 3 2 7 2" xfId="10858"/>
    <cellStyle name="Normal 3 2 2 3 2 7 2 2" xfId="17829"/>
    <cellStyle name="Normal 3 2 2 3 2 7 2 3" xfId="24796"/>
    <cellStyle name="Normal 3 2 2 3 2 7 2 4" xfId="31763"/>
    <cellStyle name="Normal 3 2 2 3 2 7 2 5" xfId="38732"/>
    <cellStyle name="Normal 3 2 2 3 2 7 3" xfId="15509"/>
    <cellStyle name="Normal 3 2 2 3 2 7 3 2" xfId="22476"/>
    <cellStyle name="Normal 3 2 2 3 2 7 3 3" xfId="29443"/>
    <cellStyle name="Normal 3 2 2 3 2 7 3 4" xfId="36412"/>
    <cellStyle name="Normal 3 2 2 3 2 7 4" xfId="13187"/>
    <cellStyle name="Normal 3 2 2 3 2 7 5" xfId="20154"/>
    <cellStyle name="Normal 3 2 2 3 2 7 6" xfId="27121"/>
    <cellStyle name="Normal 3 2 2 3 2 7 7" xfId="34090"/>
    <cellStyle name="Normal 3 2 2 3 2 8" xfId="7198"/>
    <cellStyle name="Normal 3 2 2 3 2 8 2" xfId="15682"/>
    <cellStyle name="Normal 3 2 2 3 2 8 2 2" xfId="22649"/>
    <cellStyle name="Normal 3 2 2 3 2 8 2 3" xfId="29616"/>
    <cellStyle name="Normal 3 2 2 3 2 8 2 4" xfId="36585"/>
    <cellStyle name="Normal 3 2 2 3 2 8 3" xfId="13360"/>
    <cellStyle name="Normal 3 2 2 3 2 8 4" xfId="20327"/>
    <cellStyle name="Normal 3 2 2 3 2 8 5" xfId="27294"/>
    <cellStyle name="Normal 3 2 2 3 2 8 6" xfId="34263"/>
    <cellStyle name="Normal 3 2 2 3 2 9" xfId="8110"/>
    <cellStyle name="Normal 3 2 2 3 2 9 2" xfId="15855"/>
    <cellStyle name="Normal 3 2 2 3 2 9 2 2" xfId="22822"/>
    <cellStyle name="Normal 3 2 2 3 2 9 2 3" xfId="29789"/>
    <cellStyle name="Normal 3 2 2 3 2 9 2 4" xfId="36758"/>
    <cellStyle name="Normal 3 2 2 3 2 9 3" xfId="11211"/>
    <cellStyle name="Normal 3 2 2 3 2 9 4" xfId="18178"/>
    <cellStyle name="Normal 3 2 2 3 2 9 5" xfId="25145"/>
    <cellStyle name="Normal 3 2 2 3 2 9 6" xfId="32113"/>
    <cellStyle name="Normal 3 2 2 3 3" xfId="3342"/>
    <cellStyle name="Normal 3 2 2 3 3 2" xfId="5604"/>
    <cellStyle name="Normal 3 2 2 3 3 2 2" xfId="10419"/>
    <cellStyle name="Normal 3 2 2 3 3 2 2 2" xfId="17413"/>
    <cellStyle name="Normal 3 2 2 3 3 2 2 3" xfId="24380"/>
    <cellStyle name="Normal 3 2 2 3 3 2 2 4" xfId="31347"/>
    <cellStyle name="Normal 3 2 2 3 3 2 2 5" xfId="38316"/>
    <cellStyle name="Normal 3 2 2 3 3 2 3" xfId="15093"/>
    <cellStyle name="Normal 3 2 2 3 3 2 3 2" xfId="22060"/>
    <cellStyle name="Normal 3 2 2 3 3 2 3 3" xfId="29027"/>
    <cellStyle name="Normal 3 2 2 3 3 2 3 4" xfId="35996"/>
    <cellStyle name="Normal 3 2 2 3 3 2 4" xfId="12771"/>
    <cellStyle name="Normal 3 2 2 3 3 2 5" xfId="19738"/>
    <cellStyle name="Normal 3 2 2 3 3 2 6" xfId="26705"/>
    <cellStyle name="Normal 3 2 2 3 3 2 7" xfId="33673"/>
    <cellStyle name="Normal 3 2 2 3 3 3" xfId="8976"/>
    <cellStyle name="Normal 3 2 2 3 3 3 2" xfId="16025"/>
    <cellStyle name="Normal 3 2 2 3 3 3 3" xfId="22992"/>
    <cellStyle name="Normal 3 2 2 3 3 3 4" xfId="29959"/>
    <cellStyle name="Normal 3 2 2 3 3 3 5" xfId="36928"/>
    <cellStyle name="Normal 3 2 2 3 3 4" xfId="13703"/>
    <cellStyle name="Normal 3 2 2 3 3 4 2" xfId="20670"/>
    <cellStyle name="Normal 3 2 2 3 3 4 3" xfId="27637"/>
    <cellStyle name="Normal 3 2 2 3 3 4 4" xfId="34606"/>
    <cellStyle name="Normal 3 2 2 3 3 5" xfId="11381"/>
    <cellStyle name="Normal 3 2 2 3 3 6" xfId="18348"/>
    <cellStyle name="Normal 3 2 2 3 3 7" xfId="25315"/>
    <cellStyle name="Normal 3 2 2 3 3 8" xfId="32283"/>
    <cellStyle name="Normal 3 2 2 3 4" xfId="3541"/>
    <cellStyle name="Normal 3 2 2 3 4 2" xfId="5605"/>
    <cellStyle name="Normal 3 2 2 3 4 2 2" xfId="10420"/>
    <cellStyle name="Normal 3 2 2 3 4 2 2 2" xfId="17414"/>
    <cellStyle name="Normal 3 2 2 3 4 2 2 3" xfId="24381"/>
    <cellStyle name="Normal 3 2 2 3 4 2 2 4" xfId="31348"/>
    <cellStyle name="Normal 3 2 2 3 4 2 2 5" xfId="38317"/>
    <cellStyle name="Normal 3 2 2 3 4 2 3" xfId="15094"/>
    <cellStyle name="Normal 3 2 2 3 4 2 3 2" xfId="22061"/>
    <cellStyle name="Normal 3 2 2 3 4 2 3 3" xfId="29028"/>
    <cellStyle name="Normal 3 2 2 3 4 2 3 4" xfId="35997"/>
    <cellStyle name="Normal 3 2 2 3 4 2 4" xfId="12772"/>
    <cellStyle name="Normal 3 2 2 3 4 2 5" xfId="19739"/>
    <cellStyle name="Normal 3 2 2 3 4 2 6" xfId="26706"/>
    <cellStyle name="Normal 3 2 2 3 4 2 7" xfId="33674"/>
    <cellStyle name="Normal 3 2 2 3 4 3" xfId="9153"/>
    <cellStyle name="Normal 3 2 2 3 4 3 2" xfId="16192"/>
    <cellStyle name="Normal 3 2 2 3 4 3 3" xfId="23159"/>
    <cellStyle name="Normal 3 2 2 3 4 3 4" xfId="30126"/>
    <cellStyle name="Normal 3 2 2 3 4 3 5" xfId="37095"/>
    <cellStyle name="Normal 3 2 2 3 4 4" xfId="13872"/>
    <cellStyle name="Normal 3 2 2 3 4 4 2" xfId="20839"/>
    <cellStyle name="Normal 3 2 2 3 4 4 3" xfId="27806"/>
    <cellStyle name="Normal 3 2 2 3 4 4 4" xfId="34775"/>
    <cellStyle name="Normal 3 2 2 3 4 5" xfId="11550"/>
    <cellStyle name="Normal 3 2 2 3 4 6" xfId="18517"/>
    <cellStyle name="Normal 3 2 2 3 4 7" xfId="25484"/>
    <cellStyle name="Normal 3 2 2 3 4 8" xfId="32452"/>
    <cellStyle name="Normal 3 2 2 3 5" xfId="3716"/>
    <cellStyle name="Normal 3 2 2 3 5 2" xfId="5606"/>
    <cellStyle name="Normal 3 2 2 3 5 2 2" xfId="10421"/>
    <cellStyle name="Normal 3 2 2 3 5 2 2 2" xfId="17415"/>
    <cellStyle name="Normal 3 2 2 3 5 2 2 3" xfId="24382"/>
    <cellStyle name="Normal 3 2 2 3 5 2 2 4" xfId="31349"/>
    <cellStyle name="Normal 3 2 2 3 5 2 2 5" xfId="38318"/>
    <cellStyle name="Normal 3 2 2 3 5 2 3" xfId="15095"/>
    <cellStyle name="Normal 3 2 2 3 5 2 3 2" xfId="22062"/>
    <cellStyle name="Normal 3 2 2 3 5 2 3 3" xfId="29029"/>
    <cellStyle name="Normal 3 2 2 3 5 2 3 4" xfId="35998"/>
    <cellStyle name="Normal 3 2 2 3 5 2 4" xfId="12773"/>
    <cellStyle name="Normal 3 2 2 3 5 2 5" xfId="19740"/>
    <cellStyle name="Normal 3 2 2 3 5 2 6" xfId="26707"/>
    <cellStyle name="Normal 3 2 2 3 5 2 7" xfId="33675"/>
    <cellStyle name="Normal 3 2 2 3 5 3" xfId="9324"/>
    <cellStyle name="Normal 3 2 2 3 5 3 2" xfId="16363"/>
    <cellStyle name="Normal 3 2 2 3 5 3 3" xfId="23330"/>
    <cellStyle name="Normal 3 2 2 3 5 3 4" xfId="30297"/>
    <cellStyle name="Normal 3 2 2 3 5 3 5" xfId="37266"/>
    <cellStyle name="Normal 3 2 2 3 5 4" xfId="14043"/>
    <cellStyle name="Normal 3 2 2 3 5 4 2" xfId="21010"/>
    <cellStyle name="Normal 3 2 2 3 5 4 3" xfId="27977"/>
    <cellStyle name="Normal 3 2 2 3 5 4 4" xfId="34946"/>
    <cellStyle name="Normal 3 2 2 3 5 5" xfId="11721"/>
    <cellStyle name="Normal 3 2 2 3 5 6" xfId="18688"/>
    <cellStyle name="Normal 3 2 2 3 5 7" xfId="25655"/>
    <cellStyle name="Normal 3 2 2 3 5 8" xfId="32623"/>
    <cellStyle name="Normal 3 2 2 3 6" xfId="3993"/>
    <cellStyle name="Normal 3 2 2 3 6 2" xfId="5607"/>
    <cellStyle name="Normal 3 2 2 3 6 2 2" xfId="10422"/>
    <cellStyle name="Normal 3 2 2 3 6 2 2 2" xfId="17416"/>
    <cellStyle name="Normal 3 2 2 3 6 2 2 3" xfId="24383"/>
    <cellStyle name="Normal 3 2 2 3 6 2 2 4" xfId="31350"/>
    <cellStyle name="Normal 3 2 2 3 6 2 2 5" xfId="38319"/>
    <cellStyle name="Normal 3 2 2 3 6 2 3" xfId="15096"/>
    <cellStyle name="Normal 3 2 2 3 6 2 3 2" xfId="22063"/>
    <cellStyle name="Normal 3 2 2 3 6 2 3 3" xfId="29030"/>
    <cellStyle name="Normal 3 2 2 3 6 2 3 4" xfId="35999"/>
    <cellStyle name="Normal 3 2 2 3 6 2 4" xfId="12774"/>
    <cellStyle name="Normal 3 2 2 3 6 2 5" xfId="19741"/>
    <cellStyle name="Normal 3 2 2 3 6 2 6" xfId="26708"/>
    <cellStyle name="Normal 3 2 2 3 6 2 7" xfId="33676"/>
    <cellStyle name="Normal 3 2 2 3 6 3" xfId="9599"/>
    <cellStyle name="Normal 3 2 2 3 6 3 2" xfId="16635"/>
    <cellStyle name="Normal 3 2 2 3 6 3 3" xfId="23602"/>
    <cellStyle name="Normal 3 2 2 3 6 3 4" xfId="30569"/>
    <cellStyle name="Normal 3 2 2 3 6 3 5" xfId="37538"/>
    <cellStyle name="Normal 3 2 2 3 6 4" xfId="14315"/>
    <cellStyle name="Normal 3 2 2 3 6 4 2" xfId="21282"/>
    <cellStyle name="Normal 3 2 2 3 6 4 3" xfId="28249"/>
    <cellStyle name="Normal 3 2 2 3 6 4 4" xfId="35218"/>
    <cellStyle name="Normal 3 2 2 3 6 5" xfId="11993"/>
    <cellStyle name="Normal 3 2 2 3 6 6" xfId="18960"/>
    <cellStyle name="Normal 3 2 2 3 6 7" xfId="25927"/>
    <cellStyle name="Normal 3 2 2 3 6 8" xfId="32895"/>
    <cellStyle name="Normal 3 2 2 3 7" xfId="5598"/>
    <cellStyle name="Normal 3 2 2 3 7 2" xfId="10413"/>
    <cellStyle name="Normal 3 2 2 3 7 2 2" xfId="17407"/>
    <cellStyle name="Normal 3 2 2 3 7 2 3" xfId="24374"/>
    <cellStyle name="Normal 3 2 2 3 7 2 4" xfId="31341"/>
    <cellStyle name="Normal 3 2 2 3 7 2 5" xfId="38310"/>
    <cellStyle name="Normal 3 2 2 3 7 3" xfId="15087"/>
    <cellStyle name="Normal 3 2 2 3 7 3 2" xfId="22054"/>
    <cellStyle name="Normal 3 2 2 3 7 3 3" xfId="29021"/>
    <cellStyle name="Normal 3 2 2 3 7 3 4" xfId="35990"/>
    <cellStyle name="Normal 3 2 2 3 7 4" xfId="12765"/>
    <cellStyle name="Normal 3 2 2 3 7 5" xfId="19732"/>
    <cellStyle name="Normal 3 2 2 3 7 6" xfId="26699"/>
    <cellStyle name="Normal 3 2 2 3 7 7" xfId="33667"/>
    <cellStyle name="Normal 3 2 2 3 8" xfId="6896"/>
    <cellStyle name="Normal 3 2 2 3 8 2" xfId="10857"/>
    <cellStyle name="Normal 3 2 2 3 8 2 2" xfId="17828"/>
    <cellStyle name="Normal 3 2 2 3 8 2 3" xfId="24795"/>
    <cellStyle name="Normal 3 2 2 3 8 2 4" xfId="31762"/>
    <cellStyle name="Normal 3 2 2 3 8 2 5" xfId="38731"/>
    <cellStyle name="Normal 3 2 2 3 8 3" xfId="15508"/>
    <cellStyle name="Normal 3 2 2 3 8 3 2" xfId="22475"/>
    <cellStyle name="Normal 3 2 2 3 8 3 3" xfId="29442"/>
    <cellStyle name="Normal 3 2 2 3 8 3 4" xfId="36411"/>
    <cellStyle name="Normal 3 2 2 3 8 4" xfId="13186"/>
    <cellStyle name="Normal 3 2 2 3 8 5" xfId="20153"/>
    <cellStyle name="Normal 3 2 2 3 8 6" xfId="27120"/>
    <cellStyle name="Normal 3 2 2 3 8 7" xfId="34089"/>
    <cellStyle name="Normal 3 2 2 3 9" xfId="7197"/>
    <cellStyle name="Normal 3 2 2 3 9 2" xfId="15681"/>
    <cellStyle name="Normal 3 2 2 3 9 2 2" xfId="22648"/>
    <cellStyle name="Normal 3 2 2 3 9 2 3" xfId="29615"/>
    <cellStyle name="Normal 3 2 2 3 9 2 4" xfId="36584"/>
    <cellStyle name="Normal 3 2 2 3 9 3" xfId="13359"/>
    <cellStyle name="Normal 3 2 2 3 9 4" xfId="20326"/>
    <cellStyle name="Normal 3 2 2 3 9 5" xfId="27293"/>
    <cellStyle name="Normal 3 2 2 3 9 6" xfId="34262"/>
    <cellStyle name="Normal 3 2 2 4" xfId="1765"/>
    <cellStyle name="Normal 3 2 2 5" xfId="1766"/>
    <cellStyle name="Normal 3 2 2 5 10" xfId="8111"/>
    <cellStyle name="Normal 3 2 2 5 10 2" xfId="15856"/>
    <cellStyle name="Normal 3 2 2 5 10 2 2" xfId="22823"/>
    <cellStyle name="Normal 3 2 2 5 10 2 3" xfId="29790"/>
    <cellStyle name="Normal 3 2 2 5 10 2 4" xfId="36759"/>
    <cellStyle name="Normal 3 2 2 5 10 3" xfId="11212"/>
    <cellStyle name="Normal 3 2 2 5 10 4" xfId="18179"/>
    <cellStyle name="Normal 3 2 2 5 10 5" xfId="25146"/>
    <cellStyle name="Normal 3 2 2 5 10 6" xfId="32114"/>
    <cellStyle name="Normal 3 2 2 5 11" xfId="13534"/>
    <cellStyle name="Normal 3 2 2 5 11 2" xfId="20501"/>
    <cellStyle name="Normal 3 2 2 5 11 3" xfId="27468"/>
    <cellStyle name="Normal 3 2 2 5 11 4" xfId="34437"/>
    <cellStyle name="Normal 3 2 2 5 12" xfId="11039"/>
    <cellStyle name="Normal 3 2 2 5 13" xfId="18005"/>
    <cellStyle name="Normal 3 2 2 5 14" xfId="24973"/>
    <cellStyle name="Normal 3 2 2 5 15" xfId="31941"/>
    <cellStyle name="Normal 3 2 2 5 2" xfId="1767"/>
    <cellStyle name="Normal 3 2 2 5 2 10" xfId="13535"/>
    <cellStyle name="Normal 3 2 2 5 2 10 2" xfId="20502"/>
    <cellStyle name="Normal 3 2 2 5 2 10 3" xfId="27469"/>
    <cellStyle name="Normal 3 2 2 5 2 10 4" xfId="34438"/>
    <cellStyle name="Normal 3 2 2 5 2 11" xfId="11040"/>
    <cellStyle name="Normal 3 2 2 5 2 12" xfId="18006"/>
    <cellStyle name="Normal 3 2 2 5 2 13" xfId="24974"/>
    <cellStyle name="Normal 3 2 2 5 2 14" xfId="31942"/>
    <cellStyle name="Normal 3 2 2 5 2 2" xfId="3345"/>
    <cellStyle name="Normal 3 2 2 5 2 2 2" xfId="5610"/>
    <cellStyle name="Normal 3 2 2 5 2 2 2 2" xfId="10425"/>
    <cellStyle name="Normal 3 2 2 5 2 2 2 2 2" xfId="17419"/>
    <cellStyle name="Normal 3 2 2 5 2 2 2 2 3" xfId="24386"/>
    <cellStyle name="Normal 3 2 2 5 2 2 2 2 4" xfId="31353"/>
    <cellStyle name="Normal 3 2 2 5 2 2 2 2 5" xfId="38322"/>
    <cellStyle name="Normal 3 2 2 5 2 2 2 3" xfId="15099"/>
    <cellStyle name="Normal 3 2 2 5 2 2 2 3 2" xfId="22066"/>
    <cellStyle name="Normal 3 2 2 5 2 2 2 3 3" xfId="29033"/>
    <cellStyle name="Normal 3 2 2 5 2 2 2 3 4" xfId="36002"/>
    <cellStyle name="Normal 3 2 2 5 2 2 2 4" xfId="12777"/>
    <cellStyle name="Normal 3 2 2 5 2 2 2 5" xfId="19744"/>
    <cellStyle name="Normal 3 2 2 5 2 2 2 6" xfId="26711"/>
    <cellStyle name="Normal 3 2 2 5 2 2 2 7" xfId="33679"/>
    <cellStyle name="Normal 3 2 2 5 2 2 3" xfId="8979"/>
    <cellStyle name="Normal 3 2 2 5 2 2 3 2" xfId="16028"/>
    <cellStyle name="Normal 3 2 2 5 2 2 3 3" xfId="22995"/>
    <cellStyle name="Normal 3 2 2 5 2 2 3 4" xfId="29962"/>
    <cellStyle name="Normal 3 2 2 5 2 2 3 5" xfId="36931"/>
    <cellStyle name="Normal 3 2 2 5 2 2 4" xfId="13706"/>
    <cellStyle name="Normal 3 2 2 5 2 2 4 2" xfId="20673"/>
    <cellStyle name="Normal 3 2 2 5 2 2 4 3" xfId="27640"/>
    <cellStyle name="Normal 3 2 2 5 2 2 4 4" xfId="34609"/>
    <cellStyle name="Normal 3 2 2 5 2 2 5" xfId="11384"/>
    <cellStyle name="Normal 3 2 2 5 2 2 6" xfId="18351"/>
    <cellStyle name="Normal 3 2 2 5 2 2 7" xfId="25318"/>
    <cellStyle name="Normal 3 2 2 5 2 2 8" xfId="32286"/>
    <cellStyle name="Normal 3 2 2 5 2 3" xfId="3544"/>
    <cellStyle name="Normal 3 2 2 5 2 3 2" xfId="5611"/>
    <cellStyle name="Normal 3 2 2 5 2 3 2 2" xfId="10426"/>
    <cellStyle name="Normal 3 2 2 5 2 3 2 2 2" xfId="17420"/>
    <cellStyle name="Normal 3 2 2 5 2 3 2 2 3" xfId="24387"/>
    <cellStyle name="Normal 3 2 2 5 2 3 2 2 4" xfId="31354"/>
    <cellStyle name="Normal 3 2 2 5 2 3 2 2 5" xfId="38323"/>
    <cellStyle name="Normal 3 2 2 5 2 3 2 3" xfId="15100"/>
    <cellStyle name="Normal 3 2 2 5 2 3 2 3 2" xfId="22067"/>
    <cellStyle name="Normal 3 2 2 5 2 3 2 3 3" xfId="29034"/>
    <cellStyle name="Normal 3 2 2 5 2 3 2 3 4" xfId="36003"/>
    <cellStyle name="Normal 3 2 2 5 2 3 2 4" xfId="12778"/>
    <cellStyle name="Normal 3 2 2 5 2 3 2 5" xfId="19745"/>
    <cellStyle name="Normal 3 2 2 5 2 3 2 6" xfId="26712"/>
    <cellStyle name="Normal 3 2 2 5 2 3 2 7" xfId="33680"/>
    <cellStyle name="Normal 3 2 2 5 2 3 3" xfId="9156"/>
    <cellStyle name="Normal 3 2 2 5 2 3 3 2" xfId="16195"/>
    <cellStyle name="Normal 3 2 2 5 2 3 3 3" xfId="23162"/>
    <cellStyle name="Normal 3 2 2 5 2 3 3 4" xfId="30129"/>
    <cellStyle name="Normal 3 2 2 5 2 3 3 5" xfId="37098"/>
    <cellStyle name="Normal 3 2 2 5 2 3 4" xfId="13875"/>
    <cellStyle name="Normal 3 2 2 5 2 3 4 2" xfId="20842"/>
    <cellStyle name="Normal 3 2 2 5 2 3 4 3" xfId="27809"/>
    <cellStyle name="Normal 3 2 2 5 2 3 4 4" xfId="34778"/>
    <cellStyle name="Normal 3 2 2 5 2 3 5" xfId="11553"/>
    <cellStyle name="Normal 3 2 2 5 2 3 6" xfId="18520"/>
    <cellStyle name="Normal 3 2 2 5 2 3 7" xfId="25487"/>
    <cellStyle name="Normal 3 2 2 5 2 3 8" xfId="32455"/>
    <cellStyle name="Normal 3 2 2 5 2 4" xfId="3719"/>
    <cellStyle name="Normal 3 2 2 5 2 4 2" xfId="5612"/>
    <cellStyle name="Normal 3 2 2 5 2 4 2 2" xfId="10427"/>
    <cellStyle name="Normal 3 2 2 5 2 4 2 2 2" xfId="17421"/>
    <cellStyle name="Normal 3 2 2 5 2 4 2 2 3" xfId="24388"/>
    <cellStyle name="Normal 3 2 2 5 2 4 2 2 4" xfId="31355"/>
    <cellStyle name="Normal 3 2 2 5 2 4 2 2 5" xfId="38324"/>
    <cellStyle name="Normal 3 2 2 5 2 4 2 3" xfId="15101"/>
    <cellStyle name="Normal 3 2 2 5 2 4 2 3 2" xfId="22068"/>
    <cellStyle name="Normal 3 2 2 5 2 4 2 3 3" xfId="29035"/>
    <cellStyle name="Normal 3 2 2 5 2 4 2 3 4" xfId="36004"/>
    <cellStyle name="Normal 3 2 2 5 2 4 2 4" xfId="12779"/>
    <cellStyle name="Normal 3 2 2 5 2 4 2 5" xfId="19746"/>
    <cellStyle name="Normal 3 2 2 5 2 4 2 6" xfId="26713"/>
    <cellStyle name="Normal 3 2 2 5 2 4 2 7" xfId="33681"/>
    <cellStyle name="Normal 3 2 2 5 2 4 3" xfId="9327"/>
    <cellStyle name="Normal 3 2 2 5 2 4 3 2" xfId="16366"/>
    <cellStyle name="Normal 3 2 2 5 2 4 3 3" xfId="23333"/>
    <cellStyle name="Normal 3 2 2 5 2 4 3 4" xfId="30300"/>
    <cellStyle name="Normal 3 2 2 5 2 4 3 5" xfId="37269"/>
    <cellStyle name="Normal 3 2 2 5 2 4 4" xfId="14046"/>
    <cellStyle name="Normal 3 2 2 5 2 4 4 2" xfId="21013"/>
    <cellStyle name="Normal 3 2 2 5 2 4 4 3" xfId="27980"/>
    <cellStyle name="Normal 3 2 2 5 2 4 4 4" xfId="34949"/>
    <cellStyle name="Normal 3 2 2 5 2 4 5" xfId="11724"/>
    <cellStyle name="Normal 3 2 2 5 2 4 6" xfId="18691"/>
    <cellStyle name="Normal 3 2 2 5 2 4 7" xfId="25658"/>
    <cellStyle name="Normal 3 2 2 5 2 4 8" xfId="32626"/>
    <cellStyle name="Normal 3 2 2 5 2 5" xfId="3996"/>
    <cellStyle name="Normal 3 2 2 5 2 5 2" xfId="5613"/>
    <cellStyle name="Normal 3 2 2 5 2 5 2 2" xfId="10428"/>
    <cellStyle name="Normal 3 2 2 5 2 5 2 2 2" xfId="17422"/>
    <cellStyle name="Normal 3 2 2 5 2 5 2 2 3" xfId="24389"/>
    <cellStyle name="Normal 3 2 2 5 2 5 2 2 4" xfId="31356"/>
    <cellStyle name="Normal 3 2 2 5 2 5 2 2 5" xfId="38325"/>
    <cellStyle name="Normal 3 2 2 5 2 5 2 3" xfId="15102"/>
    <cellStyle name="Normal 3 2 2 5 2 5 2 3 2" xfId="22069"/>
    <cellStyle name="Normal 3 2 2 5 2 5 2 3 3" xfId="29036"/>
    <cellStyle name="Normal 3 2 2 5 2 5 2 3 4" xfId="36005"/>
    <cellStyle name="Normal 3 2 2 5 2 5 2 4" xfId="12780"/>
    <cellStyle name="Normal 3 2 2 5 2 5 2 5" xfId="19747"/>
    <cellStyle name="Normal 3 2 2 5 2 5 2 6" xfId="26714"/>
    <cellStyle name="Normal 3 2 2 5 2 5 2 7" xfId="33682"/>
    <cellStyle name="Normal 3 2 2 5 2 5 3" xfId="9602"/>
    <cellStyle name="Normal 3 2 2 5 2 5 3 2" xfId="16638"/>
    <cellStyle name="Normal 3 2 2 5 2 5 3 3" xfId="23605"/>
    <cellStyle name="Normal 3 2 2 5 2 5 3 4" xfId="30572"/>
    <cellStyle name="Normal 3 2 2 5 2 5 3 5" xfId="37541"/>
    <cellStyle name="Normal 3 2 2 5 2 5 4" xfId="14318"/>
    <cellStyle name="Normal 3 2 2 5 2 5 4 2" xfId="21285"/>
    <cellStyle name="Normal 3 2 2 5 2 5 4 3" xfId="28252"/>
    <cellStyle name="Normal 3 2 2 5 2 5 4 4" xfId="35221"/>
    <cellStyle name="Normal 3 2 2 5 2 5 5" xfId="11996"/>
    <cellStyle name="Normal 3 2 2 5 2 5 6" xfId="18963"/>
    <cellStyle name="Normal 3 2 2 5 2 5 7" xfId="25930"/>
    <cellStyle name="Normal 3 2 2 5 2 5 8" xfId="32898"/>
    <cellStyle name="Normal 3 2 2 5 2 6" xfId="5609"/>
    <cellStyle name="Normal 3 2 2 5 2 6 2" xfId="10424"/>
    <cellStyle name="Normal 3 2 2 5 2 6 2 2" xfId="17418"/>
    <cellStyle name="Normal 3 2 2 5 2 6 2 3" xfId="24385"/>
    <cellStyle name="Normal 3 2 2 5 2 6 2 4" xfId="31352"/>
    <cellStyle name="Normal 3 2 2 5 2 6 2 5" xfId="38321"/>
    <cellStyle name="Normal 3 2 2 5 2 6 3" xfId="15098"/>
    <cellStyle name="Normal 3 2 2 5 2 6 3 2" xfId="22065"/>
    <cellStyle name="Normal 3 2 2 5 2 6 3 3" xfId="29032"/>
    <cellStyle name="Normal 3 2 2 5 2 6 3 4" xfId="36001"/>
    <cellStyle name="Normal 3 2 2 5 2 6 4" xfId="12776"/>
    <cellStyle name="Normal 3 2 2 5 2 6 5" xfId="19743"/>
    <cellStyle name="Normal 3 2 2 5 2 6 6" xfId="26710"/>
    <cellStyle name="Normal 3 2 2 5 2 6 7" xfId="33678"/>
    <cellStyle name="Normal 3 2 2 5 2 7" xfId="6899"/>
    <cellStyle name="Normal 3 2 2 5 2 7 2" xfId="10860"/>
    <cellStyle name="Normal 3 2 2 5 2 7 2 2" xfId="17831"/>
    <cellStyle name="Normal 3 2 2 5 2 7 2 3" xfId="24798"/>
    <cellStyle name="Normal 3 2 2 5 2 7 2 4" xfId="31765"/>
    <cellStyle name="Normal 3 2 2 5 2 7 2 5" xfId="38734"/>
    <cellStyle name="Normal 3 2 2 5 2 7 3" xfId="15511"/>
    <cellStyle name="Normal 3 2 2 5 2 7 3 2" xfId="22478"/>
    <cellStyle name="Normal 3 2 2 5 2 7 3 3" xfId="29445"/>
    <cellStyle name="Normal 3 2 2 5 2 7 3 4" xfId="36414"/>
    <cellStyle name="Normal 3 2 2 5 2 7 4" xfId="13189"/>
    <cellStyle name="Normal 3 2 2 5 2 7 5" xfId="20156"/>
    <cellStyle name="Normal 3 2 2 5 2 7 6" xfId="27123"/>
    <cellStyle name="Normal 3 2 2 5 2 7 7" xfId="34092"/>
    <cellStyle name="Normal 3 2 2 5 2 8" xfId="7200"/>
    <cellStyle name="Normal 3 2 2 5 2 8 2" xfId="15684"/>
    <cellStyle name="Normal 3 2 2 5 2 8 2 2" xfId="22651"/>
    <cellStyle name="Normal 3 2 2 5 2 8 2 3" xfId="29618"/>
    <cellStyle name="Normal 3 2 2 5 2 8 2 4" xfId="36587"/>
    <cellStyle name="Normal 3 2 2 5 2 8 3" xfId="13362"/>
    <cellStyle name="Normal 3 2 2 5 2 8 4" xfId="20329"/>
    <cellStyle name="Normal 3 2 2 5 2 8 5" xfId="27296"/>
    <cellStyle name="Normal 3 2 2 5 2 8 6" xfId="34265"/>
    <cellStyle name="Normal 3 2 2 5 2 9" xfId="8112"/>
    <cellStyle name="Normal 3 2 2 5 2 9 2" xfId="15857"/>
    <cellStyle name="Normal 3 2 2 5 2 9 2 2" xfId="22824"/>
    <cellStyle name="Normal 3 2 2 5 2 9 2 3" xfId="29791"/>
    <cellStyle name="Normal 3 2 2 5 2 9 2 4" xfId="36760"/>
    <cellStyle name="Normal 3 2 2 5 2 9 3" xfId="11213"/>
    <cellStyle name="Normal 3 2 2 5 2 9 4" xfId="18180"/>
    <cellStyle name="Normal 3 2 2 5 2 9 5" xfId="25147"/>
    <cellStyle name="Normal 3 2 2 5 2 9 6" xfId="32115"/>
    <cellStyle name="Normal 3 2 2 5 3" xfId="3344"/>
    <cellStyle name="Normal 3 2 2 5 3 2" xfId="5614"/>
    <cellStyle name="Normal 3 2 2 5 3 2 2" xfId="10429"/>
    <cellStyle name="Normal 3 2 2 5 3 2 2 2" xfId="17423"/>
    <cellStyle name="Normal 3 2 2 5 3 2 2 3" xfId="24390"/>
    <cellStyle name="Normal 3 2 2 5 3 2 2 4" xfId="31357"/>
    <cellStyle name="Normal 3 2 2 5 3 2 2 5" xfId="38326"/>
    <cellStyle name="Normal 3 2 2 5 3 2 3" xfId="15103"/>
    <cellStyle name="Normal 3 2 2 5 3 2 3 2" xfId="22070"/>
    <cellStyle name="Normal 3 2 2 5 3 2 3 3" xfId="29037"/>
    <cellStyle name="Normal 3 2 2 5 3 2 3 4" xfId="36006"/>
    <cellStyle name="Normal 3 2 2 5 3 2 4" xfId="12781"/>
    <cellStyle name="Normal 3 2 2 5 3 2 5" xfId="19748"/>
    <cellStyle name="Normal 3 2 2 5 3 2 6" xfId="26715"/>
    <cellStyle name="Normal 3 2 2 5 3 2 7" xfId="33683"/>
    <cellStyle name="Normal 3 2 2 5 3 3" xfId="8978"/>
    <cellStyle name="Normal 3 2 2 5 3 3 2" xfId="16027"/>
    <cellStyle name="Normal 3 2 2 5 3 3 3" xfId="22994"/>
    <cellStyle name="Normal 3 2 2 5 3 3 4" xfId="29961"/>
    <cellStyle name="Normal 3 2 2 5 3 3 5" xfId="36930"/>
    <cellStyle name="Normal 3 2 2 5 3 4" xfId="13705"/>
    <cellStyle name="Normal 3 2 2 5 3 4 2" xfId="20672"/>
    <cellStyle name="Normal 3 2 2 5 3 4 3" xfId="27639"/>
    <cellStyle name="Normal 3 2 2 5 3 4 4" xfId="34608"/>
    <cellStyle name="Normal 3 2 2 5 3 5" xfId="11383"/>
    <cellStyle name="Normal 3 2 2 5 3 6" xfId="18350"/>
    <cellStyle name="Normal 3 2 2 5 3 7" xfId="25317"/>
    <cellStyle name="Normal 3 2 2 5 3 8" xfId="32285"/>
    <cellStyle name="Normal 3 2 2 5 4" xfId="3543"/>
    <cellStyle name="Normal 3 2 2 5 4 2" xfId="5615"/>
    <cellStyle name="Normal 3 2 2 5 4 2 2" xfId="10430"/>
    <cellStyle name="Normal 3 2 2 5 4 2 2 2" xfId="17424"/>
    <cellStyle name="Normal 3 2 2 5 4 2 2 3" xfId="24391"/>
    <cellStyle name="Normal 3 2 2 5 4 2 2 4" xfId="31358"/>
    <cellStyle name="Normal 3 2 2 5 4 2 2 5" xfId="38327"/>
    <cellStyle name="Normal 3 2 2 5 4 2 3" xfId="15104"/>
    <cellStyle name="Normal 3 2 2 5 4 2 3 2" xfId="22071"/>
    <cellStyle name="Normal 3 2 2 5 4 2 3 3" xfId="29038"/>
    <cellStyle name="Normal 3 2 2 5 4 2 3 4" xfId="36007"/>
    <cellStyle name="Normal 3 2 2 5 4 2 4" xfId="12782"/>
    <cellStyle name="Normal 3 2 2 5 4 2 5" xfId="19749"/>
    <cellStyle name="Normal 3 2 2 5 4 2 6" xfId="26716"/>
    <cellStyle name="Normal 3 2 2 5 4 2 7" xfId="33684"/>
    <cellStyle name="Normal 3 2 2 5 4 3" xfId="9155"/>
    <cellStyle name="Normal 3 2 2 5 4 3 2" xfId="16194"/>
    <cellStyle name="Normal 3 2 2 5 4 3 3" xfId="23161"/>
    <cellStyle name="Normal 3 2 2 5 4 3 4" xfId="30128"/>
    <cellStyle name="Normal 3 2 2 5 4 3 5" xfId="37097"/>
    <cellStyle name="Normal 3 2 2 5 4 4" xfId="13874"/>
    <cellStyle name="Normal 3 2 2 5 4 4 2" xfId="20841"/>
    <cellStyle name="Normal 3 2 2 5 4 4 3" xfId="27808"/>
    <cellStyle name="Normal 3 2 2 5 4 4 4" xfId="34777"/>
    <cellStyle name="Normal 3 2 2 5 4 5" xfId="11552"/>
    <cellStyle name="Normal 3 2 2 5 4 6" xfId="18519"/>
    <cellStyle name="Normal 3 2 2 5 4 7" xfId="25486"/>
    <cellStyle name="Normal 3 2 2 5 4 8" xfId="32454"/>
    <cellStyle name="Normal 3 2 2 5 5" xfId="3718"/>
    <cellStyle name="Normal 3 2 2 5 5 2" xfId="5616"/>
    <cellStyle name="Normal 3 2 2 5 5 2 2" xfId="10431"/>
    <cellStyle name="Normal 3 2 2 5 5 2 2 2" xfId="17425"/>
    <cellStyle name="Normal 3 2 2 5 5 2 2 3" xfId="24392"/>
    <cellStyle name="Normal 3 2 2 5 5 2 2 4" xfId="31359"/>
    <cellStyle name="Normal 3 2 2 5 5 2 2 5" xfId="38328"/>
    <cellStyle name="Normal 3 2 2 5 5 2 3" xfId="15105"/>
    <cellStyle name="Normal 3 2 2 5 5 2 3 2" xfId="22072"/>
    <cellStyle name="Normal 3 2 2 5 5 2 3 3" xfId="29039"/>
    <cellStyle name="Normal 3 2 2 5 5 2 3 4" xfId="36008"/>
    <cellStyle name="Normal 3 2 2 5 5 2 4" xfId="12783"/>
    <cellStyle name="Normal 3 2 2 5 5 2 5" xfId="19750"/>
    <cellStyle name="Normal 3 2 2 5 5 2 6" xfId="26717"/>
    <cellStyle name="Normal 3 2 2 5 5 2 7" xfId="33685"/>
    <cellStyle name="Normal 3 2 2 5 5 3" xfId="9326"/>
    <cellStyle name="Normal 3 2 2 5 5 3 2" xfId="16365"/>
    <cellStyle name="Normal 3 2 2 5 5 3 3" xfId="23332"/>
    <cellStyle name="Normal 3 2 2 5 5 3 4" xfId="30299"/>
    <cellStyle name="Normal 3 2 2 5 5 3 5" xfId="37268"/>
    <cellStyle name="Normal 3 2 2 5 5 4" xfId="14045"/>
    <cellStyle name="Normal 3 2 2 5 5 4 2" xfId="21012"/>
    <cellStyle name="Normal 3 2 2 5 5 4 3" xfId="27979"/>
    <cellStyle name="Normal 3 2 2 5 5 4 4" xfId="34948"/>
    <cellStyle name="Normal 3 2 2 5 5 5" xfId="11723"/>
    <cellStyle name="Normal 3 2 2 5 5 6" xfId="18690"/>
    <cellStyle name="Normal 3 2 2 5 5 7" xfId="25657"/>
    <cellStyle name="Normal 3 2 2 5 5 8" xfId="32625"/>
    <cellStyle name="Normal 3 2 2 5 6" xfId="3995"/>
    <cellStyle name="Normal 3 2 2 5 6 2" xfId="5617"/>
    <cellStyle name="Normal 3 2 2 5 6 2 2" xfId="10432"/>
    <cellStyle name="Normal 3 2 2 5 6 2 2 2" xfId="17426"/>
    <cellStyle name="Normal 3 2 2 5 6 2 2 3" xfId="24393"/>
    <cellStyle name="Normal 3 2 2 5 6 2 2 4" xfId="31360"/>
    <cellStyle name="Normal 3 2 2 5 6 2 2 5" xfId="38329"/>
    <cellStyle name="Normal 3 2 2 5 6 2 3" xfId="15106"/>
    <cellStyle name="Normal 3 2 2 5 6 2 3 2" xfId="22073"/>
    <cellStyle name="Normal 3 2 2 5 6 2 3 3" xfId="29040"/>
    <cellStyle name="Normal 3 2 2 5 6 2 3 4" xfId="36009"/>
    <cellStyle name="Normal 3 2 2 5 6 2 4" xfId="12784"/>
    <cellStyle name="Normal 3 2 2 5 6 2 5" xfId="19751"/>
    <cellStyle name="Normal 3 2 2 5 6 2 6" xfId="26718"/>
    <cellStyle name="Normal 3 2 2 5 6 2 7" xfId="33686"/>
    <cellStyle name="Normal 3 2 2 5 6 3" xfId="9601"/>
    <cellStyle name="Normal 3 2 2 5 6 3 2" xfId="16637"/>
    <cellStyle name="Normal 3 2 2 5 6 3 3" xfId="23604"/>
    <cellStyle name="Normal 3 2 2 5 6 3 4" xfId="30571"/>
    <cellStyle name="Normal 3 2 2 5 6 3 5" xfId="37540"/>
    <cellStyle name="Normal 3 2 2 5 6 4" xfId="14317"/>
    <cellStyle name="Normal 3 2 2 5 6 4 2" xfId="21284"/>
    <cellStyle name="Normal 3 2 2 5 6 4 3" xfId="28251"/>
    <cellStyle name="Normal 3 2 2 5 6 4 4" xfId="35220"/>
    <cellStyle name="Normal 3 2 2 5 6 5" xfId="11995"/>
    <cellStyle name="Normal 3 2 2 5 6 6" xfId="18962"/>
    <cellStyle name="Normal 3 2 2 5 6 7" xfId="25929"/>
    <cellStyle name="Normal 3 2 2 5 6 8" xfId="32897"/>
    <cellStyle name="Normal 3 2 2 5 7" xfId="5608"/>
    <cellStyle name="Normal 3 2 2 5 7 2" xfId="10423"/>
    <cellStyle name="Normal 3 2 2 5 7 2 2" xfId="17417"/>
    <cellStyle name="Normal 3 2 2 5 7 2 3" xfId="24384"/>
    <cellStyle name="Normal 3 2 2 5 7 2 4" xfId="31351"/>
    <cellStyle name="Normal 3 2 2 5 7 2 5" xfId="38320"/>
    <cellStyle name="Normal 3 2 2 5 7 3" xfId="15097"/>
    <cellStyle name="Normal 3 2 2 5 7 3 2" xfId="22064"/>
    <cellStyle name="Normal 3 2 2 5 7 3 3" xfId="29031"/>
    <cellStyle name="Normal 3 2 2 5 7 3 4" xfId="36000"/>
    <cellStyle name="Normal 3 2 2 5 7 4" xfId="12775"/>
    <cellStyle name="Normal 3 2 2 5 7 5" xfId="19742"/>
    <cellStyle name="Normal 3 2 2 5 7 6" xfId="26709"/>
    <cellStyle name="Normal 3 2 2 5 7 7" xfId="33677"/>
    <cellStyle name="Normal 3 2 2 5 8" xfId="6898"/>
    <cellStyle name="Normal 3 2 2 5 8 2" xfId="10859"/>
    <cellStyle name="Normal 3 2 2 5 8 2 2" xfId="17830"/>
    <cellStyle name="Normal 3 2 2 5 8 2 3" xfId="24797"/>
    <cellStyle name="Normal 3 2 2 5 8 2 4" xfId="31764"/>
    <cellStyle name="Normal 3 2 2 5 8 2 5" xfId="38733"/>
    <cellStyle name="Normal 3 2 2 5 8 3" xfId="15510"/>
    <cellStyle name="Normal 3 2 2 5 8 3 2" xfId="22477"/>
    <cellStyle name="Normal 3 2 2 5 8 3 3" xfId="29444"/>
    <cellStyle name="Normal 3 2 2 5 8 3 4" xfId="36413"/>
    <cellStyle name="Normal 3 2 2 5 8 4" xfId="13188"/>
    <cellStyle name="Normal 3 2 2 5 8 5" xfId="20155"/>
    <cellStyle name="Normal 3 2 2 5 8 6" xfId="27122"/>
    <cellStyle name="Normal 3 2 2 5 8 7" xfId="34091"/>
    <cellStyle name="Normal 3 2 2 5 9" xfId="7199"/>
    <cellStyle name="Normal 3 2 2 5 9 2" xfId="15683"/>
    <cellStyle name="Normal 3 2 2 5 9 2 2" xfId="22650"/>
    <cellStyle name="Normal 3 2 2 5 9 2 3" xfId="29617"/>
    <cellStyle name="Normal 3 2 2 5 9 2 4" xfId="36586"/>
    <cellStyle name="Normal 3 2 2 5 9 3" xfId="13361"/>
    <cellStyle name="Normal 3 2 2 5 9 4" xfId="20328"/>
    <cellStyle name="Normal 3 2 2 5 9 5" xfId="27295"/>
    <cellStyle name="Normal 3 2 2 5 9 6" xfId="34264"/>
    <cellStyle name="Normal 3 2 2 6" xfId="1768"/>
    <cellStyle name="Normal 3 2 2 6 10" xfId="13536"/>
    <cellStyle name="Normal 3 2 2 6 10 2" xfId="20503"/>
    <cellStyle name="Normal 3 2 2 6 10 3" xfId="27470"/>
    <cellStyle name="Normal 3 2 2 6 10 4" xfId="34439"/>
    <cellStyle name="Normal 3 2 2 6 11" xfId="11041"/>
    <cellStyle name="Normal 3 2 2 6 12" xfId="18007"/>
    <cellStyle name="Normal 3 2 2 6 13" xfId="24975"/>
    <cellStyle name="Normal 3 2 2 6 14" xfId="31943"/>
    <cellStyle name="Normal 3 2 2 6 2" xfId="3346"/>
    <cellStyle name="Normal 3 2 2 6 2 2" xfId="5619"/>
    <cellStyle name="Normal 3 2 2 6 2 2 2" xfId="10434"/>
    <cellStyle name="Normal 3 2 2 6 2 2 2 2" xfId="17428"/>
    <cellStyle name="Normal 3 2 2 6 2 2 2 3" xfId="24395"/>
    <cellStyle name="Normal 3 2 2 6 2 2 2 4" xfId="31362"/>
    <cellStyle name="Normal 3 2 2 6 2 2 2 5" xfId="38331"/>
    <cellStyle name="Normal 3 2 2 6 2 2 3" xfId="15108"/>
    <cellStyle name="Normal 3 2 2 6 2 2 3 2" xfId="22075"/>
    <cellStyle name="Normal 3 2 2 6 2 2 3 3" xfId="29042"/>
    <cellStyle name="Normal 3 2 2 6 2 2 3 4" xfId="36011"/>
    <cellStyle name="Normal 3 2 2 6 2 2 4" xfId="12786"/>
    <cellStyle name="Normal 3 2 2 6 2 2 5" xfId="19753"/>
    <cellStyle name="Normal 3 2 2 6 2 2 6" xfId="26720"/>
    <cellStyle name="Normal 3 2 2 6 2 2 7" xfId="33688"/>
    <cellStyle name="Normal 3 2 2 6 2 3" xfId="8980"/>
    <cellStyle name="Normal 3 2 2 6 2 3 2" xfId="16029"/>
    <cellStyle name="Normal 3 2 2 6 2 3 3" xfId="22996"/>
    <cellStyle name="Normal 3 2 2 6 2 3 4" xfId="29963"/>
    <cellStyle name="Normal 3 2 2 6 2 3 5" xfId="36932"/>
    <cellStyle name="Normal 3 2 2 6 2 4" xfId="13707"/>
    <cellStyle name="Normal 3 2 2 6 2 4 2" xfId="20674"/>
    <cellStyle name="Normal 3 2 2 6 2 4 3" xfId="27641"/>
    <cellStyle name="Normal 3 2 2 6 2 4 4" xfId="34610"/>
    <cellStyle name="Normal 3 2 2 6 2 5" xfId="11385"/>
    <cellStyle name="Normal 3 2 2 6 2 6" xfId="18352"/>
    <cellStyle name="Normal 3 2 2 6 2 7" xfId="25319"/>
    <cellStyle name="Normal 3 2 2 6 2 8" xfId="32287"/>
    <cellStyle name="Normal 3 2 2 6 3" xfId="3545"/>
    <cellStyle name="Normal 3 2 2 6 3 2" xfId="5620"/>
    <cellStyle name="Normal 3 2 2 6 3 2 2" xfId="10435"/>
    <cellStyle name="Normal 3 2 2 6 3 2 2 2" xfId="17429"/>
    <cellStyle name="Normal 3 2 2 6 3 2 2 3" xfId="24396"/>
    <cellStyle name="Normal 3 2 2 6 3 2 2 4" xfId="31363"/>
    <cellStyle name="Normal 3 2 2 6 3 2 2 5" xfId="38332"/>
    <cellStyle name="Normal 3 2 2 6 3 2 3" xfId="15109"/>
    <cellStyle name="Normal 3 2 2 6 3 2 3 2" xfId="22076"/>
    <cellStyle name="Normal 3 2 2 6 3 2 3 3" xfId="29043"/>
    <cellStyle name="Normal 3 2 2 6 3 2 3 4" xfId="36012"/>
    <cellStyle name="Normal 3 2 2 6 3 2 4" xfId="12787"/>
    <cellStyle name="Normal 3 2 2 6 3 2 5" xfId="19754"/>
    <cellStyle name="Normal 3 2 2 6 3 2 6" xfId="26721"/>
    <cellStyle name="Normal 3 2 2 6 3 2 7" xfId="33689"/>
    <cellStyle name="Normal 3 2 2 6 3 3" xfId="9157"/>
    <cellStyle name="Normal 3 2 2 6 3 3 2" xfId="16196"/>
    <cellStyle name="Normal 3 2 2 6 3 3 3" xfId="23163"/>
    <cellStyle name="Normal 3 2 2 6 3 3 4" xfId="30130"/>
    <cellStyle name="Normal 3 2 2 6 3 3 5" xfId="37099"/>
    <cellStyle name="Normal 3 2 2 6 3 4" xfId="13876"/>
    <cellStyle name="Normal 3 2 2 6 3 4 2" xfId="20843"/>
    <cellStyle name="Normal 3 2 2 6 3 4 3" xfId="27810"/>
    <cellStyle name="Normal 3 2 2 6 3 4 4" xfId="34779"/>
    <cellStyle name="Normal 3 2 2 6 3 5" xfId="11554"/>
    <cellStyle name="Normal 3 2 2 6 3 6" xfId="18521"/>
    <cellStyle name="Normal 3 2 2 6 3 7" xfId="25488"/>
    <cellStyle name="Normal 3 2 2 6 3 8" xfId="32456"/>
    <cellStyle name="Normal 3 2 2 6 4" xfId="3720"/>
    <cellStyle name="Normal 3 2 2 6 4 2" xfId="5621"/>
    <cellStyle name="Normal 3 2 2 6 4 2 2" xfId="10436"/>
    <cellStyle name="Normal 3 2 2 6 4 2 2 2" xfId="17430"/>
    <cellStyle name="Normal 3 2 2 6 4 2 2 3" xfId="24397"/>
    <cellStyle name="Normal 3 2 2 6 4 2 2 4" xfId="31364"/>
    <cellStyle name="Normal 3 2 2 6 4 2 2 5" xfId="38333"/>
    <cellStyle name="Normal 3 2 2 6 4 2 3" xfId="15110"/>
    <cellStyle name="Normal 3 2 2 6 4 2 3 2" xfId="22077"/>
    <cellStyle name="Normal 3 2 2 6 4 2 3 3" xfId="29044"/>
    <cellStyle name="Normal 3 2 2 6 4 2 3 4" xfId="36013"/>
    <cellStyle name="Normal 3 2 2 6 4 2 4" xfId="12788"/>
    <cellStyle name="Normal 3 2 2 6 4 2 5" xfId="19755"/>
    <cellStyle name="Normal 3 2 2 6 4 2 6" xfId="26722"/>
    <cellStyle name="Normal 3 2 2 6 4 2 7" xfId="33690"/>
    <cellStyle name="Normal 3 2 2 6 4 3" xfId="9328"/>
    <cellStyle name="Normal 3 2 2 6 4 3 2" xfId="16367"/>
    <cellStyle name="Normal 3 2 2 6 4 3 3" xfId="23334"/>
    <cellStyle name="Normal 3 2 2 6 4 3 4" xfId="30301"/>
    <cellStyle name="Normal 3 2 2 6 4 3 5" xfId="37270"/>
    <cellStyle name="Normal 3 2 2 6 4 4" xfId="14047"/>
    <cellStyle name="Normal 3 2 2 6 4 4 2" xfId="21014"/>
    <cellStyle name="Normal 3 2 2 6 4 4 3" xfId="27981"/>
    <cellStyle name="Normal 3 2 2 6 4 4 4" xfId="34950"/>
    <cellStyle name="Normal 3 2 2 6 4 5" xfId="11725"/>
    <cellStyle name="Normal 3 2 2 6 4 6" xfId="18692"/>
    <cellStyle name="Normal 3 2 2 6 4 7" xfId="25659"/>
    <cellStyle name="Normal 3 2 2 6 4 8" xfId="32627"/>
    <cellStyle name="Normal 3 2 2 6 5" xfId="3997"/>
    <cellStyle name="Normal 3 2 2 6 5 2" xfId="5622"/>
    <cellStyle name="Normal 3 2 2 6 5 2 2" xfId="10437"/>
    <cellStyle name="Normal 3 2 2 6 5 2 2 2" xfId="17431"/>
    <cellStyle name="Normal 3 2 2 6 5 2 2 3" xfId="24398"/>
    <cellStyle name="Normal 3 2 2 6 5 2 2 4" xfId="31365"/>
    <cellStyle name="Normal 3 2 2 6 5 2 2 5" xfId="38334"/>
    <cellStyle name="Normal 3 2 2 6 5 2 3" xfId="15111"/>
    <cellStyle name="Normal 3 2 2 6 5 2 3 2" xfId="22078"/>
    <cellStyle name="Normal 3 2 2 6 5 2 3 3" xfId="29045"/>
    <cellStyle name="Normal 3 2 2 6 5 2 3 4" xfId="36014"/>
    <cellStyle name="Normal 3 2 2 6 5 2 4" xfId="12789"/>
    <cellStyle name="Normal 3 2 2 6 5 2 5" xfId="19756"/>
    <cellStyle name="Normal 3 2 2 6 5 2 6" xfId="26723"/>
    <cellStyle name="Normal 3 2 2 6 5 2 7" xfId="33691"/>
    <cellStyle name="Normal 3 2 2 6 5 3" xfId="9603"/>
    <cellStyle name="Normal 3 2 2 6 5 3 2" xfId="16639"/>
    <cellStyle name="Normal 3 2 2 6 5 3 3" xfId="23606"/>
    <cellStyle name="Normal 3 2 2 6 5 3 4" xfId="30573"/>
    <cellStyle name="Normal 3 2 2 6 5 3 5" xfId="37542"/>
    <cellStyle name="Normal 3 2 2 6 5 4" xfId="14319"/>
    <cellStyle name="Normal 3 2 2 6 5 4 2" xfId="21286"/>
    <cellStyle name="Normal 3 2 2 6 5 4 3" xfId="28253"/>
    <cellStyle name="Normal 3 2 2 6 5 4 4" xfId="35222"/>
    <cellStyle name="Normal 3 2 2 6 5 5" xfId="11997"/>
    <cellStyle name="Normal 3 2 2 6 5 6" xfId="18964"/>
    <cellStyle name="Normal 3 2 2 6 5 7" xfId="25931"/>
    <cellStyle name="Normal 3 2 2 6 5 8" xfId="32899"/>
    <cellStyle name="Normal 3 2 2 6 6" xfId="5618"/>
    <cellStyle name="Normal 3 2 2 6 6 2" xfId="10433"/>
    <cellStyle name="Normal 3 2 2 6 6 2 2" xfId="17427"/>
    <cellStyle name="Normal 3 2 2 6 6 2 3" xfId="24394"/>
    <cellStyle name="Normal 3 2 2 6 6 2 4" xfId="31361"/>
    <cellStyle name="Normal 3 2 2 6 6 2 5" xfId="38330"/>
    <cellStyle name="Normal 3 2 2 6 6 3" xfId="15107"/>
    <cellStyle name="Normal 3 2 2 6 6 3 2" xfId="22074"/>
    <cellStyle name="Normal 3 2 2 6 6 3 3" xfId="29041"/>
    <cellStyle name="Normal 3 2 2 6 6 3 4" xfId="36010"/>
    <cellStyle name="Normal 3 2 2 6 6 4" xfId="12785"/>
    <cellStyle name="Normal 3 2 2 6 6 5" xfId="19752"/>
    <cellStyle name="Normal 3 2 2 6 6 6" xfId="26719"/>
    <cellStyle name="Normal 3 2 2 6 6 7" xfId="33687"/>
    <cellStyle name="Normal 3 2 2 6 7" xfId="6900"/>
    <cellStyle name="Normal 3 2 2 6 7 2" xfId="10861"/>
    <cellStyle name="Normal 3 2 2 6 7 2 2" xfId="17832"/>
    <cellStyle name="Normal 3 2 2 6 7 2 3" xfId="24799"/>
    <cellStyle name="Normal 3 2 2 6 7 2 4" xfId="31766"/>
    <cellStyle name="Normal 3 2 2 6 7 2 5" xfId="38735"/>
    <cellStyle name="Normal 3 2 2 6 7 3" xfId="15512"/>
    <cellStyle name="Normal 3 2 2 6 7 3 2" xfId="22479"/>
    <cellStyle name="Normal 3 2 2 6 7 3 3" xfId="29446"/>
    <cellStyle name="Normal 3 2 2 6 7 3 4" xfId="36415"/>
    <cellStyle name="Normal 3 2 2 6 7 4" xfId="13190"/>
    <cellStyle name="Normal 3 2 2 6 7 5" xfId="20157"/>
    <cellStyle name="Normal 3 2 2 6 7 6" xfId="27124"/>
    <cellStyle name="Normal 3 2 2 6 7 7" xfId="34093"/>
    <cellStyle name="Normal 3 2 2 6 8" xfId="7201"/>
    <cellStyle name="Normal 3 2 2 6 8 2" xfId="15685"/>
    <cellStyle name="Normal 3 2 2 6 8 2 2" xfId="22652"/>
    <cellStyle name="Normal 3 2 2 6 8 2 3" xfId="29619"/>
    <cellStyle name="Normal 3 2 2 6 8 2 4" xfId="36588"/>
    <cellStyle name="Normal 3 2 2 6 8 3" xfId="13363"/>
    <cellStyle name="Normal 3 2 2 6 8 4" xfId="20330"/>
    <cellStyle name="Normal 3 2 2 6 8 5" xfId="27297"/>
    <cellStyle name="Normal 3 2 2 6 8 6" xfId="34266"/>
    <cellStyle name="Normal 3 2 2 6 9" xfId="8113"/>
    <cellStyle name="Normal 3 2 2 6 9 2" xfId="15858"/>
    <cellStyle name="Normal 3 2 2 6 9 2 2" xfId="22825"/>
    <cellStyle name="Normal 3 2 2 6 9 2 3" xfId="29792"/>
    <cellStyle name="Normal 3 2 2 6 9 2 4" xfId="36761"/>
    <cellStyle name="Normal 3 2 2 6 9 3" xfId="11214"/>
    <cellStyle name="Normal 3 2 2 6 9 4" xfId="18181"/>
    <cellStyle name="Normal 3 2 2 6 9 5" xfId="25148"/>
    <cellStyle name="Normal 3 2 2 6 9 6" xfId="32116"/>
    <cellStyle name="Normal 3 2 2 7" xfId="3341"/>
    <cellStyle name="Normal 3 2 2 7 2" xfId="5623"/>
    <cellStyle name="Normal 3 2 2 7 2 2" xfId="10438"/>
    <cellStyle name="Normal 3 2 2 7 2 2 2" xfId="17432"/>
    <cellStyle name="Normal 3 2 2 7 2 2 3" xfId="24399"/>
    <cellStyle name="Normal 3 2 2 7 2 2 4" xfId="31366"/>
    <cellStyle name="Normal 3 2 2 7 2 2 5" xfId="38335"/>
    <cellStyle name="Normal 3 2 2 7 2 3" xfId="15112"/>
    <cellStyle name="Normal 3 2 2 7 2 3 2" xfId="22079"/>
    <cellStyle name="Normal 3 2 2 7 2 3 3" xfId="29046"/>
    <cellStyle name="Normal 3 2 2 7 2 3 4" xfId="36015"/>
    <cellStyle name="Normal 3 2 2 7 2 4" xfId="12790"/>
    <cellStyle name="Normal 3 2 2 7 2 5" xfId="19757"/>
    <cellStyle name="Normal 3 2 2 7 2 6" xfId="26724"/>
    <cellStyle name="Normal 3 2 2 7 2 7" xfId="33692"/>
    <cellStyle name="Normal 3 2 2 7 3" xfId="8975"/>
    <cellStyle name="Normal 3 2 2 7 3 2" xfId="16024"/>
    <cellStyle name="Normal 3 2 2 7 3 3" xfId="22991"/>
    <cellStyle name="Normal 3 2 2 7 3 4" xfId="29958"/>
    <cellStyle name="Normal 3 2 2 7 3 5" xfId="36927"/>
    <cellStyle name="Normal 3 2 2 7 4" xfId="13702"/>
    <cellStyle name="Normal 3 2 2 7 4 2" xfId="20669"/>
    <cellStyle name="Normal 3 2 2 7 4 3" xfId="27636"/>
    <cellStyle name="Normal 3 2 2 7 4 4" xfId="34605"/>
    <cellStyle name="Normal 3 2 2 7 5" xfId="11380"/>
    <cellStyle name="Normal 3 2 2 7 6" xfId="18347"/>
    <cellStyle name="Normal 3 2 2 7 7" xfId="25314"/>
    <cellStyle name="Normal 3 2 2 7 8" xfId="32282"/>
    <cellStyle name="Normal 3 2 2 8" xfId="3540"/>
    <cellStyle name="Normal 3 2 2 8 2" xfId="5624"/>
    <cellStyle name="Normal 3 2 2 8 2 2" xfId="10439"/>
    <cellStyle name="Normal 3 2 2 8 2 2 2" xfId="17433"/>
    <cellStyle name="Normal 3 2 2 8 2 2 3" xfId="24400"/>
    <cellStyle name="Normal 3 2 2 8 2 2 4" xfId="31367"/>
    <cellStyle name="Normal 3 2 2 8 2 2 5" xfId="38336"/>
    <cellStyle name="Normal 3 2 2 8 2 3" xfId="15113"/>
    <cellStyle name="Normal 3 2 2 8 2 3 2" xfId="22080"/>
    <cellStyle name="Normal 3 2 2 8 2 3 3" xfId="29047"/>
    <cellStyle name="Normal 3 2 2 8 2 3 4" xfId="36016"/>
    <cellStyle name="Normal 3 2 2 8 2 4" xfId="12791"/>
    <cellStyle name="Normal 3 2 2 8 2 5" xfId="19758"/>
    <cellStyle name="Normal 3 2 2 8 2 6" xfId="26725"/>
    <cellStyle name="Normal 3 2 2 8 2 7" xfId="33693"/>
    <cellStyle name="Normal 3 2 2 8 3" xfId="9152"/>
    <cellStyle name="Normal 3 2 2 8 3 2" xfId="16191"/>
    <cellStyle name="Normal 3 2 2 8 3 3" xfId="23158"/>
    <cellStyle name="Normal 3 2 2 8 3 4" xfId="30125"/>
    <cellStyle name="Normal 3 2 2 8 3 5" xfId="37094"/>
    <cellStyle name="Normal 3 2 2 8 4" xfId="13871"/>
    <cellStyle name="Normal 3 2 2 8 4 2" xfId="20838"/>
    <cellStyle name="Normal 3 2 2 8 4 3" xfId="27805"/>
    <cellStyle name="Normal 3 2 2 8 4 4" xfId="34774"/>
    <cellStyle name="Normal 3 2 2 8 5" xfId="11549"/>
    <cellStyle name="Normal 3 2 2 8 6" xfId="18516"/>
    <cellStyle name="Normal 3 2 2 8 7" xfId="25483"/>
    <cellStyle name="Normal 3 2 2 8 8" xfId="32451"/>
    <cellStyle name="Normal 3 2 2 9" xfId="3715"/>
    <cellStyle name="Normal 3 2 2 9 2" xfId="5625"/>
    <cellStyle name="Normal 3 2 2 9 2 2" xfId="10440"/>
    <cellStyle name="Normal 3 2 2 9 2 2 2" xfId="17434"/>
    <cellStyle name="Normal 3 2 2 9 2 2 3" xfId="24401"/>
    <cellStyle name="Normal 3 2 2 9 2 2 4" xfId="31368"/>
    <cellStyle name="Normal 3 2 2 9 2 2 5" xfId="38337"/>
    <cellStyle name="Normal 3 2 2 9 2 3" xfId="15114"/>
    <cellStyle name="Normal 3 2 2 9 2 3 2" xfId="22081"/>
    <cellStyle name="Normal 3 2 2 9 2 3 3" xfId="29048"/>
    <cellStyle name="Normal 3 2 2 9 2 3 4" xfId="36017"/>
    <cellStyle name="Normal 3 2 2 9 2 4" xfId="12792"/>
    <cellStyle name="Normal 3 2 2 9 2 5" xfId="19759"/>
    <cellStyle name="Normal 3 2 2 9 2 6" xfId="26726"/>
    <cellStyle name="Normal 3 2 2 9 2 7" xfId="33694"/>
    <cellStyle name="Normal 3 2 2 9 3" xfId="9323"/>
    <cellStyle name="Normal 3 2 2 9 3 2" xfId="16362"/>
    <cellStyle name="Normal 3 2 2 9 3 3" xfId="23329"/>
    <cellStyle name="Normal 3 2 2 9 3 4" xfId="30296"/>
    <cellStyle name="Normal 3 2 2 9 3 5" xfId="37265"/>
    <cellStyle name="Normal 3 2 2 9 4" xfId="14042"/>
    <cellStyle name="Normal 3 2 2 9 4 2" xfId="21009"/>
    <cellStyle name="Normal 3 2 2 9 4 3" xfId="27976"/>
    <cellStyle name="Normal 3 2 2 9 4 4" xfId="34945"/>
    <cellStyle name="Normal 3 2 2 9 5" xfId="11720"/>
    <cellStyle name="Normal 3 2 2 9 6" xfId="18687"/>
    <cellStyle name="Normal 3 2 2 9 7" xfId="25654"/>
    <cellStyle name="Normal 3 2 2 9 8" xfId="32622"/>
    <cellStyle name="Normal 3 2 3" xfId="1769"/>
    <cellStyle name="Normal 3 2 3 2" xfId="1770"/>
    <cellStyle name="Normal 3 2 3 2 2" xfId="5627"/>
    <cellStyle name="Normal 3 2 3 2 3" xfId="8115"/>
    <cellStyle name="Normal 3 2 3 3" xfId="1771"/>
    <cellStyle name="Normal 3 2 3 4" xfId="5626"/>
    <cellStyle name="Normal 3 2 3 5" xfId="8114"/>
    <cellStyle name="Normal 3 2 4" xfId="1772"/>
    <cellStyle name="Normal 3 2 4 10" xfId="8116"/>
    <cellStyle name="Normal 3 2 4 10 2" xfId="15859"/>
    <cellStyle name="Normal 3 2 4 10 2 2" xfId="22826"/>
    <cellStyle name="Normal 3 2 4 10 2 3" xfId="29793"/>
    <cellStyle name="Normal 3 2 4 10 2 4" xfId="36762"/>
    <cellStyle name="Normal 3 2 4 10 3" xfId="11215"/>
    <cellStyle name="Normal 3 2 4 10 4" xfId="18182"/>
    <cellStyle name="Normal 3 2 4 10 5" xfId="25149"/>
    <cellStyle name="Normal 3 2 4 10 6" xfId="32117"/>
    <cellStyle name="Normal 3 2 4 11" xfId="13537"/>
    <cellStyle name="Normal 3 2 4 11 2" xfId="20504"/>
    <cellStyle name="Normal 3 2 4 11 3" xfId="27471"/>
    <cellStyle name="Normal 3 2 4 11 4" xfId="34440"/>
    <cellStyle name="Normal 3 2 4 12" xfId="11042"/>
    <cellStyle name="Normal 3 2 4 13" xfId="18008"/>
    <cellStyle name="Normal 3 2 4 14" xfId="24976"/>
    <cellStyle name="Normal 3 2 4 15" xfId="31944"/>
    <cellStyle name="Normal 3 2 4 2" xfId="1773"/>
    <cellStyle name="Normal 3 2 4 2 10" xfId="13538"/>
    <cellStyle name="Normal 3 2 4 2 10 2" xfId="20505"/>
    <cellStyle name="Normal 3 2 4 2 10 3" xfId="27472"/>
    <cellStyle name="Normal 3 2 4 2 10 4" xfId="34441"/>
    <cellStyle name="Normal 3 2 4 2 11" xfId="11043"/>
    <cellStyle name="Normal 3 2 4 2 12" xfId="18009"/>
    <cellStyle name="Normal 3 2 4 2 13" xfId="24977"/>
    <cellStyle name="Normal 3 2 4 2 14" xfId="31945"/>
    <cellStyle name="Normal 3 2 4 2 2" xfId="3348"/>
    <cellStyle name="Normal 3 2 4 2 2 2" xfId="5630"/>
    <cellStyle name="Normal 3 2 4 2 2 2 2" xfId="10443"/>
    <cellStyle name="Normal 3 2 4 2 2 2 2 2" xfId="17437"/>
    <cellStyle name="Normal 3 2 4 2 2 2 2 3" xfId="24404"/>
    <cellStyle name="Normal 3 2 4 2 2 2 2 4" xfId="31371"/>
    <cellStyle name="Normal 3 2 4 2 2 2 2 5" xfId="38340"/>
    <cellStyle name="Normal 3 2 4 2 2 2 3" xfId="15117"/>
    <cellStyle name="Normal 3 2 4 2 2 2 3 2" xfId="22084"/>
    <cellStyle name="Normal 3 2 4 2 2 2 3 3" xfId="29051"/>
    <cellStyle name="Normal 3 2 4 2 2 2 3 4" xfId="36020"/>
    <cellStyle name="Normal 3 2 4 2 2 2 4" xfId="12795"/>
    <cellStyle name="Normal 3 2 4 2 2 2 5" xfId="19762"/>
    <cellStyle name="Normal 3 2 4 2 2 2 6" xfId="26729"/>
    <cellStyle name="Normal 3 2 4 2 2 2 7" xfId="33697"/>
    <cellStyle name="Normal 3 2 4 2 2 3" xfId="8982"/>
    <cellStyle name="Normal 3 2 4 2 2 3 2" xfId="16031"/>
    <cellStyle name="Normal 3 2 4 2 2 3 3" xfId="22998"/>
    <cellStyle name="Normal 3 2 4 2 2 3 4" xfId="29965"/>
    <cellStyle name="Normal 3 2 4 2 2 3 5" xfId="36934"/>
    <cellStyle name="Normal 3 2 4 2 2 4" xfId="13709"/>
    <cellStyle name="Normal 3 2 4 2 2 4 2" xfId="20676"/>
    <cellStyle name="Normal 3 2 4 2 2 4 3" xfId="27643"/>
    <cellStyle name="Normal 3 2 4 2 2 4 4" xfId="34612"/>
    <cellStyle name="Normal 3 2 4 2 2 5" xfId="11387"/>
    <cellStyle name="Normal 3 2 4 2 2 6" xfId="18354"/>
    <cellStyle name="Normal 3 2 4 2 2 7" xfId="25321"/>
    <cellStyle name="Normal 3 2 4 2 2 8" xfId="32289"/>
    <cellStyle name="Normal 3 2 4 2 3" xfId="3547"/>
    <cellStyle name="Normal 3 2 4 2 3 2" xfId="5631"/>
    <cellStyle name="Normal 3 2 4 2 3 2 2" xfId="10444"/>
    <cellStyle name="Normal 3 2 4 2 3 2 2 2" xfId="17438"/>
    <cellStyle name="Normal 3 2 4 2 3 2 2 3" xfId="24405"/>
    <cellStyle name="Normal 3 2 4 2 3 2 2 4" xfId="31372"/>
    <cellStyle name="Normal 3 2 4 2 3 2 2 5" xfId="38341"/>
    <cellStyle name="Normal 3 2 4 2 3 2 3" xfId="15118"/>
    <cellStyle name="Normal 3 2 4 2 3 2 3 2" xfId="22085"/>
    <cellStyle name="Normal 3 2 4 2 3 2 3 3" xfId="29052"/>
    <cellStyle name="Normal 3 2 4 2 3 2 3 4" xfId="36021"/>
    <cellStyle name="Normal 3 2 4 2 3 2 4" xfId="12796"/>
    <cellStyle name="Normal 3 2 4 2 3 2 5" xfId="19763"/>
    <cellStyle name="Normal 3 2 4 2 3 2 6" xfId="26730"/>
    <cellStyle name="Normal 3 2 4 2 3 2 7" xfId="33698"/>
    <cellStyle name="Normal 3 2 4 2 3 3" xfId="9159"/>
    <cellStyle name="Normal 3 2 4 2 3 3 2" xfId="16198"/>
    <cellStyle name="Normal 3 2 4 2 3 3 3" xfId="23165"/>
    <cellStyle name="Normal 3 2 4 2 3 3 4" xfId="30132"/>
    <cellStyle name="Normal 3 2 4 2 3 3 5" xfId="37101"/>
    <cellStyle name="Normal 3 2 4 2 3 4" xfId="13878"/>
    <cellStyle name="Normal 3 2 4 2 3 4 2" xfId="20845"/>
    <cellStyle name="Normal 3 2 4 2 3 4 3" xfId="27812"/>
    <cellStyle name="Normal 3 2 4 2 3 4 4" xfId="34781"/>
    <cellStyle name="Normal 3 2 4 2 3 5" xfId="11556"/>
    <cellStyle name="Normal 3 2 4 2 3 6" xfId="18523"/>
    <cellStyle name="Normal 3 2 4 2 3 7" xfId="25490"/>
    <cellStyle name="Normal 3 2 4 2 3 8" xfId="32458"/>
    <cellStyle name="Normal 3 2 4 2 4" xfId="3722"/>
    <cellStyle name="Normal 3 2 4 2 4 2" xfId="5632"/>
    <cellStyle name="Normal 3 2 4 2 4 2 2" xfId="10445"/>
    <cellStyle name="Normal 3 2 4 2 4 2 2 2" xfId="17439"/>
    <cellStyle name="Normal 3 2 4 2 4 2 2 3" xfId="24406"/>
    <cellStyle name="Normal 3 2 4 2 4 2 2 4" xfId="31373"/>
    <cellStyle name="Normal 3 2 4 2 4 2 2 5" xfId="38342"/>
    <cellStyle name="Normal 3 2 4 2 4 2 3" xfId="15119"/>
    <cellStyle name="Normal 3 2 4 2 4 2 3 2" xfId="22086"/>
    <cellStyle name="Normal 3 2 4 2 4 2 3 3" xfId="29053"/>
    <cellStyle name="Normal 3 2 4 2 4 2 3 4" xfId="36022"/>
    <cellStyle name="Normal 3 2 4 2 4 2 4" xfId="12797"/>
    <cellStyle name="Normal 3 2 4 2 4 2 5" xfId="19764"/>
    <cellStyle name="Normal 3 2 4 2 4 2 6" xfId="26731"/>
    <cellStyle name="Normal 3 2 4 2 4 2 7" xfId="33699"/>
    <cellStyle name="Normal 3 2 4 2 4 3" xfId="9330"/>
    <cellStyle name="Normal 3 2 4 2 4 3 2" xfId="16369"/>
    <cellStyle name="Normal 3 2 4 2 4 3 3" xfId="23336"/>
    <cellStyle name="Normal 3 2 4 2 4 3 4" xfId="30303"/>
    <cellStyle name="Normal 3 2 4 2 4 3 5" xfId="37272"/>
    <cellStyle name="Normal 3 2 4 2 4 4" xfId="14049"/>
    <cellStyle name="Normal 3 2 4 2 4 4 2" xfId="21016"/>
    <cellStyle name="Normal 3 2 4 2 4 4 3" xfId="27983"/>
    <cellStyle name="Normal 3 2 4 2 4 4 4" xfId="34952"/>
    <cellStyle name="Normal 3 2 4 2 4 5" xfId="11727"/>
    <cellStyle name="Normal 3 2 4 2 4 6" xfId="18694"/>
    <cellStyle name="Normal 3 2 4 2 4 7" xfId="25661"/>
    <cellStyle name="Normal 3 2 4 2 4 8" xfId="32629"/>
    <cellStyle name="Normal 3 2 4 2 5" xfId="3999"/>
    <cellStyle name="Normal 3 2 4 2 5 2" xfId="5633"/>
    <cellStyle name="Normal 3 2 4 2 5 2 2" xfId="10446"/>
    <cellStyle name="Normal 3 2 4 2 5 2 2 2" xfId="17440"/>
    <cellStyle name="Normal 3 2 4 2 5 2 2 3" xfId="24407"/>
    <cellStyle name="Normal 3 2 4 2 5 2 2 4" xfId="31374"/>
    <cellStyle name="Normal 3 2 4 2 5 2 2 5" xfId="38343"/>
    <cellStyle name="Normal 3 2 4 2 5 2 3" xfId="15120"/>
    <cellStyle name="Normal 3 2 4 2 5 2 3 2" xfId="22087"/>
    <cellStyle name="Normal 3 2 4 2 5 2 3 3" xfId="29054"/>
    <cellStyle name="Normal 3 2 4 2 5 2 3 4" xfId="36023"/>
    <cellStyle name="Normal 3 2 4 2 5 2 4" xfId="12798"/>
    <cellStyle name="Normal 3 2 4 2 5 2 5" xfId="19765"/>
    <cellStyle name="Normal 3 2 4 2 5 2 6" xfId="26732"/>
    <cellStyle name="Normal 3 2 4 2 5 2 7" xfId="33700"/>
    <cellStyle name="Normal 3 2 4 2 5 3" xfId="9605"/>
    <cellStyle name="Normal 3 2 4 2 5 3 2" xfId="16641"/>
    <cellStyle name="Normal 3 2 4 2 5 3 3" xfId="23608"/>
    <cellStyle name="Normal 3 2 4 2 5 3 4" xfId="30575"/>
    <cellStyle name="Normal 3 2 4 2 5 3 5" xfId="37544"/>
    <cellStyle name="Normal 3 2 4 2 5 4" xfId="14321"/>
    <cellStyle name="Normal 3 2 4 2 5 4 2" xfId="21288"/>
    <cellStyle name="Normal 3 2 4 2 5 4 3" xfId="28255"/>
    <cellStyle name="Normal 3 2 4 2 5 4 4" xfId="35224"/>
    <cellStyle name="Normal 3 2 4 2 5 5" xfId="11999"/>
    <cellStyle name="Normal 3 2 4 2 5 6" xfId="18966"/>
    <cellStyle name="Normal 3 2 4 2 5 7" xfId="25933"/>
    <cellStyle name="Normal 3 2 4 2 5 8" xfId="32901"/>
    <cellStyle name="Normal 3 2 4 2 6" xfId="5629"/>
    <cellStyle name="Normal 3 2 4 2 6 2" xfId="10442"/>
    <cellStyle name="Normal 3 2 4 2 6 2 2" xfId="17436"/>
    <cellStyle name="Normal 3 2 4 2 6 2 3" xfId="24403"/>
    <cellStyle name="Normal 3 2 4 2 6 2 4" xfId="31370"/>
    <cellStyle name="Normal 3 2 4 2 6 2 5" xfId="38339"/>
    <cellStyle name="Normal 3 2 4 2 6 3" xfId="15116"/>
    <cellStyle name="Normal 3 2 4 2 6 3 2" xfId="22083"/>
    <cellStyle name="Normal 3 2 4 2 6 3 3" xfId="29050"/>
    <cellStyle name="Normal 3 2 4 2 6 3 4" xfId="36019"/>
    <cellStyle name="Normal 3 2 4 2 6 4" xfId="12794"/>
    <cellStyle name="Normal 3 2 4 2 6 5" xfId="19761"/>
    <cellStyle name="Normal 3 2 4 2 6 6" xfId="26728"/>
    <cellStyle name="Normal 3 2 4 2 6 7" xfId="33696"/>
    <cellStyle name="Normal 3 2 4 2 7" xfId="6902"/>
    <cellStyle name="Normal 3 2 4 2 7 2" xfId="10863"/>
    <cellStyle name="Normal 3 2 4 2 7 2 2" xfId="17834"/>
    <cellStyle name="Normal 3 2 4 2 7 2 3" xfId="24801"/>
    <cellStyle name="Normal 3 2 4 2 7 2 4" xfId="31768"/>
    <cellStyle name="Normal 3 2 4 2 7 2 5" xfId="38737"/>
    <cellStyle name="Normal 3 2 4 2 7 3" xfId="15514"/>
    <cellStyle name="Normal 3 2 4 2 7 3 2" xfId="22481"/>
    <cellStyle name="Normal 3 2 4 2 7 3 3" xfId="29448"/>
    <cellStyle name="Normal 3 2 4 2 7 3 4" xfId="36417"/>
    <cellStyle name="Normal 3 2 4 2 7 4" xfId="13192"/>
    <cellStyle name="Normal 3 2 4 2 7 5" xfId="20159"/>
    <cellStyle name="Normal 3 2 4 2 7 6" xfId="27126"/>
    <cellStyle name="Normal 3 2 4 2 7 7" xfId="34095"/>
    <cellStyle name="Normal 3 2 4 2 8" xfId="7203"/>
    <cellStyle name="Normal 3 2 4 2 8 2" xfId="15687"/>
    <cellStyle name="Normal 3 2 4 2 8 2 2" xfId="22654"/>
    <cellStyle name="Normal 3 2 4 2 8 2 3" xfId="29621"/>
    <cellStyle name="Normal 3 2 4 2 8 2 4" xfId="36590"/>
    <cellStyle name="Normal 3 2 4 2 8 3" xfId="13365"/>
    <cellStyle name="Normal 3 2 4 2 8 4" xfId="20332"/>
    <cellStyle name="Normal 3 2 4 2 8 5" xfId="27299"/>
    <cellStyle name="Normal 3 2 4 2 8 6" xfId="34268"/>
    <cellStyle name="Normal 3 2 4 2 9" xfId="8117"/>
    <cellStyle name="Normal 3 2 4 2 9 2" xfId="15860"/>
    <cellStyle name="Normal 3 2 4 2 9 2 2" xfId="22827"/>
    <cellStyle name="Normal 3 2 4 2 9 2 3" xfId="29794"/>
    <cellStyle name="Normal 3 2 4 2 9 2 4" xfId="36763"/>
    <cellStyle name="Normal 3 2 4 2 9 3" xfId="11216"/>
    <cellStyle name="Normal 3 2 4 2 9 4" xfId="18183"/>
    <cellStyle name="Normal 3 2 4 2 9 5" xfId="25150"/>
    <cellStyle name="Normal 3 2 4 2 9 6" xfId="32118"/>
    <cellStyle name="Normal 3 2 4 3" xfId="3347"/>
    <cellStyle name="Normal 3 2 4 3 2" xfId="5634"/>
    <cellStyle name="Normal 3 2 4 3 2 2" xfId="10447"/>
    <cellStyle name="Normal 3 2 4 3 2 2 2" xfId="17441"/>
    <cellStyle name="Normal 3 2 4 3 2 2 3" xfId="24408"/>
    <cellStyle name="Normal 3 2 4 3 2 2 4" xfId="31375"/>
    <cellStyle name="Normal 3 2 4 3 2 2 5" xfId="38344"/>
    <cellStyle name="Normal 3 2 4 3 2 3" xfId="15121"/>
    <cellStyle name="Normal 3 2 4 3 2 3 2" xfId="22088"/>
    <cellStyle name="Normal 3 2 4 3 2 3 3" xfId="29055"/>
    <cellStyle name="Normal 3 2 4 3 2 3 4" xfId="36024"/>
    <cellStyle name="Normal 3 2 4 3 2 4" xfId="12799"/>
    <cellStyle name="Normal 3 2 4 3 2 5" xfId="19766"/>
    <cellStyle name="Normal 3 2 4 3 2 6" xfId="26733"/>
    <cellStyle name="Normal 3 2 4 3 2 7" xfId="33701"/>
    <cellStyle name="Normal 3 2 4 3 3" xfId="8981"/>
    <cellStyle name="Normal 3 2 4 3 3 2" xfId="16030"/>
    <cellStyle name="Normal 3 2 4 3 3 3" xfId="22997"/>
    <cellStyle name="Normal 3 2 4 3 3 4" xfId="29964"/>
    <cellStyle name="Normal 3 2 4 3 3 5" xfId="36933"/>
    <cellStyle name="Normal 3 2 4 3 4" xfId="13708"/>
    <cellStyle name="Normal 3 2 4 3 4 2" xfId="20675"/>
    <cellStyle name="Normal 3 2 4 3 4 3" xfId="27642"/>
    <cellStyle name="Normal 3 2 4 3 4 4" xfId="34611"/>
    <cellStyle name="Normal 3 2 4 3 5" xfId="11386"/>
    <cellStyle name="Normal 3 2 4 3 6" xfId="18353"/>
    <cellStyle name="Normal 3 2 4 3 7" xfId="25320"/>
    <cellStyle name="Normal 3 2 4 3 8" xfId="32288"/>
    <cellStyle name="Normal 3 2 4 4" xfId="3546"/>
    <cellStyle name="Normal 3 2 4 4 2" xfId="5635"/>
    <cellStyle name="Normal 3 2 4 4 2 2" xfId="10448"/>
    <cellStyle name="Normal 3 2 4 4 2 2 2" xfId="17442"/>
    <cellStyle name="Normal 3 2 4 4 2 2 3" xfId="24409"/>
    <cellStyle name="Normal 3 2 4 4 2 2 4" xfId="31376"/>
    <cellStyle name="Normal 3 2 4 4 2 2 5" xfId="38345"/>
    <cellStyle name="Normal 3 2 4 4 2 3" xfId="15122"/>
    <cellStyle name="Normal 3 2 4 4 2 3 2" xfId="22089"/>
    <cellStyle name="Normal 3 2 4 4 2 3 3" xfId="29056"/>
    <cellStyle name="Normal 3 2 4 4 2 3 4" xfId="36025"/>
    <cellStyle name="Normal 3 2 4 4 2 4" xfId="12800"/>
    <cellStyle name="Normal 3 2 4 4 2 5" xfId="19767"/>
    <cellStyle name="Normal 3 2 4 4 2 6" xfId="26734"/>
    <cellStyle name="Normal 3 2 4 4 2 7" xfId="33702"/>
    <cellStyle name="Normal 3 2 4 4 3" xfId="9158"/>
    <cellStyle name="Normal 3 2 4 4 3 2" xfId="16197"/>
    <cellStyle name="Normal 3 2 4 4 3 3" xfId="23164"/>
    <cellStyle name="Normal 3 2 4 4 3 4" xfId="30131"/>
    <cellStyle name="Normal 3 2 4 4 3 5" xfId="37100"/>
    <cellStyle name="Normal 3 2 4 4 4" xfId="13877"/>
    <cellStyle name="Normal 3 2 4 4 4 2" xfId="20844"/>
    <cellStyle name="Normal 3 2 4 4 4 3" xfId="27811"/>
    <cellStyle name="Normal 3 2 4 4 4 4" xfId="34780"/>
    <cellStyle name="Normal 3 2 4 4 5" xfId="11555"/>
    <cellStyle name="Normal 3 2 4 4 6" xfId="18522"/>
    <cellStyle name="Normal 3 2 4 4 7" xfId="25489"/>
    <cellStyle name="Normal 3 2 4 4 8" xfId="32457"/>
    <cellStyle name="Normal 3 2 4 5" xfId="3721"/>
    <cellStyle name="Normal 3 2 4 5 2" xfId="5636"/>
    <cellStyle name="Normal 3 2 4 5 2 2" xfId="10449"/>
    <cellStyle name="Normal 3 2 4 5 2 2 2" xfId="17443"/>
    <cellStyle name="Normal 3 2 4 5 2 2 3" xfId="24410"/>
    <cellStyle name="Normal 3 2 4 5 2 2 4" xfId="31377"/>
    <cellStyle name="Normal 3 2 4 5 2 2 5" xfId="38346"/>
    <cellStyle name="Normal 3 2 4 5 2 3" xfId="15123"/>
    <cellStyle name="Normal 3 2 4 5 2 3 2" xfId="22090"/>
    <cellStyle name="Normal 3 2 4 5 2 3 3" xfId="29057"/>
    <cellStyle name="Normal 3 2 4 5 2 3 4" xfId="36026"/>
    <cellStyle name="Normal 3 2 4 5 2 4" xfId="12801"/>
    <cellStyle name="Normal 3 2 4 5 2 5" xfId="19768"/>
    <cellStyle name="Normal 3 2 4 5 2 6" xfId="26735"/>
    <cellStyle name="Normal 3 2 4 5 2 7" xfId="33703"/>
    <cellStyle name="Normal 3 2 4 5 3" xfId="9329"/>
    <cellStyle name="Normal 3 2 4 5 3 2" xfId="16368"/>
    <cellStyle name="Normal 3 2 4 5 3 3" xfId="23335"/>
    <cellStyle name="Normal 3 2 4 5 3 4" xfId="30302"/>
    <cellStyle name="Normal 3 2 4 5 3 5" xfId="37271"/>
    <cellStyle name="Normal 3 2 4 5 4" xfId="14048"/>
    <cellStyle name="Normal 3 2 4 5 4 2" xfId="21015"/>
    <cellStyle name="Normal 3 2 4 5 4 3" xfId="27982"/>
    <cellStyle name="Normal 3 2 4 5 4 4" xfId="34951"/>
    <cellStyle name="Normal 3 2 4 5 5" xfId="11726"/>
    <cellStyle name="Normal 3 2 4 5 6" xfId="18693"/>
    <cellStyle name="Normal 3 2 4 5 7" xfId="25660"/>
    <cellStyle name="Normal 3 2 4 5 8" xfId="32628"/>
    <cellStyle name="Normal 3 2 4 6" xfId="3998"/>
    <cellStyle name="Normal 3 2 4 6 2" xfId="5637"/>
    <cellStyle name="Normal 3 2 4 6 2 2" xfId="10450"/>
    <cellStyle name="Normal 3 2 4 6 2 2 2" xfId="17444"/>
    <cellStyle name="Normal 3 2 4 6 2 2 3" xfId="24411"/>
    <cellStyle name="Normal 3 2 4 6 2 2 4" xfId="31378"/>
    <cellStyle name="Normal 3 2 4 6 2 2 5" xfId="38347"/>
    <cellStyle name="Normal 3 2 4 6 2 3" xfId="15124"/>
    <cellStyle name="Normal 3 2 4 6 2 3 2" xfId="22091"/>
    <cellStyle name="Normal 3 2 4 6 2 3 3" xfId="29058"/>
    <cellStyle name="Normal 3 2 4 6 2 3 4" xfId="36027"/>
    <cellStyle name="Normal 3 2 4 6 2 4" xfId="12802"/>
    <cellStyle name="Normal 3 2 4 6 2 5" xfId="19769"/>
    <cellStyle name="Normal 3 2 4 6 2 6" xfId="26736"/>
    <cellStyle name="Normal 3 2 4 6 2 7" xfId="33704"/>
    <cellStyle name="Normal 3 2 4 6 3" xfId="9604"/>
    <cellStyle name="Normal 3 2 4 6 3 2" xfId="16640"/>
    <cellStyle name="Normal 3 2 4 6 3 3" xfId="23607"/>
    <cellStyle name="Normal 3 2 4 6 3 4" xfId="30574"/>
    <cellStyle name="Normal 3 2 4 6 3 5" xfId="37543"/>
    <cellStyle name="Normal 3 2 4 6 4" xfId="14320"/>
    <cellStyle name="Normal 3 2 4 6 4 2" xfId="21287"/>
    <cellStyle name="Normal 3 2 4 6 4 3" xfId="28254"/>
    <cellStyle name="Normal 3 2 4 6 4 4" xfId="35223"/>
    <cellStyle name="Normal 3 2 4 6 5" xfId="11998"/>
    <cellStyle name="Normal 3 2 4 6 6" xfId="18965"/>
    <cellStyle name="Normal 3 2 4 6 7" xfId="25932"/>
    <cellStyle name="Normal 3 2 4 6 8" xfId="32900"/>
    <cellStyle name="Normal 3 2 4 7" xfId="5628"/>
    <cellStyle name="Normal 3 2 4 7 2" xfId="10441"/>
    <cellStyle name="Normal 3 2 4 7 2 2" xfId="17435"/>
    <cellStyle name="Normal 3 2 4 7 2 3" xfId="24402"/>
    <cellStyle name="Normal 3 2 4 7 2 4" xfId="31369"/>
    <cellStyle name="Normal 3 2 4 7 2 5" xfId="38338"/>
    <cellStyle name="Normal 3 2 4 7 3" xfId="15115"/>
    <cellStyle name="Normal 3 2 4 7 3 2" xfId="22082"/>
    <cellStyle name="Normal 3 2 4 7 3 3" xfId="29049"/>
    <cellStyle name="Normal 3 2 4 7 3 4" xfId="36018"/>
    <cellStyle name="Normal 3 2 4 7 4" xfId="12793"/>
    <cellStyle name="Normal 3 2 4 7 5" xfId="19760"/>
    <cellStyle name="Normal 3 2 4 7 6" xfId="26727"/>
    <cellStyle name="Normal 3 2 4 7 7" xfId="33695"/>
    <cellStyle name="Normal 3 2 4 8" xfId="6901"/>
    <cellStyle name="Normal 3 2 4 8 2" xfId="10862"/>
    <cellStyle name="Normal 3 2 4 8 2 2" xfId="17833"/>
    <cellStyle name="Normal 3 2 4 8 2 3" xfId="24800"/>
    <cellStyle name="Normal 3 2 4 8 2 4" xfId="31767"/>
    <cellStyle name="Normal 3 2 4 8 2 5" xfId="38736"/>
    <cellStyle name="Normal 3 2 4 8 3" xfId="15513"/>
    <cellStyle name="Normal 3 2 4 8 3 2" xfId="22480"/>
    <cellStyle name="Normal 3 2 4 8 3 3" xfId="29447"/>
    <cellStyle name="Normal 3 2 4 8 3 4" xfId="36416"/>
    <cellStyle name="Normal 3 2 4 8 4" xfId="13191"/>
    <cellStyle name="Normal 3 2 4 8 5" xfId="20158"/>
    <cellStyle name="Normal 3 2 4 8 6" xfId="27125"/>
    <cellStyle name="Normal 3 2 4 8 7" xfId="34094"/>
    <cellStyle name="Normal 3 2 4 9" xfId="7202"/>
    <cellStyle name="Normal 3 2 4 9 2" xfId="15686"/>
    <cellStyle name="Normal 3 2 4 9 2 2" xfId="22653"/>
    <cellStyle name="Normal 3 2 4 9 2 3" xfId="29620"/>
    <cellStyle name="Normal 3 2 4 9 2 4" xfId="36589"/>
    <cellStyle name="Normal 3 2 4 9 3" xfId="13364"/>
    <cellStyle name="Normal 3 2 4 9 4" xfId="20331"/>
    <cellStyle name="Normal 3 2 4 9 5" xfId="27298"/>
    <cellStyle name="Normal 3 2 4 9 6" xfId="34267"/>
    <cellStyle name="Normal 3 2 5" xfId="1774"/>
    <cellStyle name="Normal 3 2 5 2" xfId="1775"/>
    <cellStyle name="Normal 3 2 5 3" xfId="1776"/>
    <cellStyle name="Normal 3 2 6" xfId="1777"/>
    <cellStyle name="Normal 3 2 7" xfId="1778"/>
    <cellStyle name="Normal 3 2 8" xfId="3340"/>
    <cellStyle name="Normal 3 2 8 2" xfId="5638"/>
    <cellStyle name="Normal 3 2 8 2 2" xfId="10451"/>
    <cellStyle name="Normal 3 2 8 2 2 2" xfId="17445"/>
    <cellStyle name="Normal 3 2 8 2 2 3" xfId="24412"/>
    <cellStyle name="Normal 3 2 8 2 2 4" xfId="31379"/>
    <cellStyle name="Normal 3 2 8 2 2 5" xfId="38348"/>
    <cellStyle name="Normal 3 2 8 2 3" xfId="15125"/>
    <cellStyle name="Normal 3 2 8 2 3 2" xfId="22092"/>
    <cellStyle name="Normal 3 2 8 2 3 3" xfId="29059"/>
    <cellStyle name="Normal 3 2 8 2 3 4" xfId="36028"/>
    <cellStyle name="Normal 3 2 8 2 4" xfId="12803"/>
    <cellStyle name="Normal 3 2 8 2 5" xfId="19770"/>
    <cellStyle name="Normal 3 2 8 2 6" xfId="26737"/>
    <cellStyle name="Normal 3 2 8 2 7" xfId="33705"/>
    <cellStyle name="Normal 3 2 8 3" xfId="8974"/>
    <cellStyle name="Normal 3 2 8 3 2" xfId="16023"/>
    <cellStyle name="Normal 3 2 8 3 3" xfId="22990"/>
    <cellStyle name="Normal 3 2 8 3 4" xfId="29957"/>
    <cellStyle name="Normal 3 2 8 3 5" xfId="36926"/>
    <cellStyle name="Normal 3 2 8 4" xfId="13701"/>
    <cellStyle name="Normal 3 2 8 4 2" xfId="20668"/>
    <cellStyle name="Normal 3 2 8 4 3" xfId="27635"/>
    <cellStyle name="Normal 3 2 8 4 4" xfId="34604"/>
    <cellStyle name="Normal 3 2 8 5" xfId="11379"/>
    <cellStyle name="Normal 3 2 8 6" xfId="18346"/>
    <cellStyle name="Normal 3 2 8 7" xfId="25313"/>
    <cellStyle name="Normal 3 2 8 8" xfId="32281"/>
    <cellStyle name="Normal 3 2 9" xfId="3539"/>
    <cellStyle name="Normal 3 2 9 2" xfId="5639"/>
    <cellStyle name="Normal 3 2 9 2 2" xfId="10452"/>
    <cellStyle name="Normal 3 2 9 2 2 2" xfId="17446"/>
    <cellStyle name="Normal 3 2 9 2 2 3" xfId="24413"/>
    <cellStyle name="Normal 3 2 9 2 2 4" xfId="31380"/>
    <cellStyle name="Normal 3 2 9 2 2 5" xfId="38349"/>
    <cellStyle name="Normal 3 2 9 2 3" xfId="15126"/>
    <cellStyle name="Normal 3 2 9 2 3 2" xfId="22093"/>
    <cellStyle name="Normal 3 2 9 2 3 3" xfId="29060"/>
    <cellStyle name="Normal 3 2 9 2 3 4" xfId="36029"/>
    <cellStyle name="Normal 3 2 9 2 4" xfId="12804"/>
    <cellStyle name="Normal 3 2 9 2 5" xfId="19771"/>
    <cellStyle name="Normal 3 2 9 2 6" xfId="26738"/>
    <cellStyle name="Normal 3 2 9 2 7" xfId="33706"/>
    <cellStyle name="Normal 3 2 9 3" xfId="9151"/>
    <cellStyle name="Normal 3 2 9 3 2" xfId="16190"/>
    <cellStyle name="Normal 3 2 9 3 3" xfId="23157"/>
    <cellStyle name="Normal 3 2 9 3 4" xfId="30124"/>
    <cellStyle name="Normal 3 2 9 3 5" xfId="37093"/>
    <cellStyle name="Normal 3 2 9 4" xfId="13870"/>
    <cellStyle name="Normal 3 2 9 4 2" xfId="20837"/>
    <cellStyle name="Normal 3 2 9 4 3" xfId="27804"/>
    <cellStyle name="Normal 3 2 9 4 4" xfId="34773"/>
    <cellStyle name="Normal 3 2 9 5" xfId="11548"/>
    <cellStyle name="Normal 3 2 9 6" xfId="18515"/>
    <cellStyle name="Normal 3 2 9 7" xfId="25482"/>
    <cellStyle name="Normal 3 2 9 8" xfId="32450"/>
    <cellStyle name="Normal 3 3" xfId="1779"/>
    <cellStyle name="Normal 3 3 10" xfId="8118"/>
    <cellStyle name="Normal 3 3 10 2" xfId="15861"/>
    <cellStyle name="Normal 3 3 10 2 2" xfId="22828"/>
    <cellStyle name="Normal 3 3 10 2 3" xfId="29795"/>
    <cellStyle name="Normal 3 3 10 2 4" xfId="36764"/>
    <cellStyle name="Normal 3 3 10 3" xfId="11217"/>
    <cellStyle name="Normal 3 3 10 4" xfId="18184"/>
    <cellStyle name="Normal 3 3 10 5" xfId="25151"/>
    <cellStyle name="Normal 3 3 10 6" xfId="32119"/>
    <cellStyle name="Normal 3 3 11" xfId="13539"/>
    <cellStyle name="Normal 3 3 11 2" xfId="20506"/>
    <cellStyle name="Normal 3 3 11 3" xfId="27473"/>
    <cellStyle name="Normal 3 3 11 4" xfId="34442"/>
    <cellStyle name="Normal 3 3 12" xfId="11044"/>
    <cellStyle name="Normal 3 3 13" xfId="18010"/>
    <cellStyle name="Normal 3 3 14" xfId="24978"/>
    <cellStyle name="Normal 3 3 15" xfId="31946"/>
    <cellStyle name="Normal 3 3 2" xfId="1780"/>
    <cellStyle name="Normal 3 3 2 2" xfId="5641"/>
    <cellStyle name="Normal 3 3 2 3" xfId="8119"/>
    <cellStyle name="Normal 3 3 3" xfId="1781"/>
    <cellStyle name="Normal 3 3 3 2" xfId="5642"/>
    <cellStyle name="Normal 3 3 3 3" xfId="8120"/>
    <cellStyle name="Normal 3 3 4" xfId="1782"/>
    <cellStyle name="Normal 3 3 4 10" xfId="8121"/>
    <cellStyle name="Normal 3 3 4 10 2" xfId="15862"/>
    <cellStyle name="Normal 3 3 4 10 2 2" xfId="22829"/>
    <cellStyle name="Normal 3 3 4 10 2 3" xfId="29796"/>
    <cellStyle name="Normal 3 3 4 10 2 4" xfId="36765"/>
    <cellStyle name="Normal 3 3 4 10 3" xfId="11218"/>
    <cellStyle name="Normal 3 3 4 10 4" xfId="18185"/>
    <cellStyle name="Normal 3 3 4 10 5" xfId="25152"/>
    <cellStyle name="Normal 3 3 4 10 6" xfId="32120"/>
    <cellStyle name="Normal 3 3 4 11" xfId="13540"/>
    <cellStyle name="Normal 3 3 4 11 2" xfId="20507"/>
    <cellStyle name="Normal 3 3 4 11 3" xfId="27474"/>
    <cellStyle name="Normal 3 3 4 11 4" xfId="34443"/>
    <cellStyle name="Normal 3 3 4 12" xfId="11045"/>
    <cellStyle name="Normal 3 3 4 13" xfId="18011"/>
    <cellStyle name="Normal 3 3 4 14" xfId="24979"/>
    <cellStyle name="Normal 3 3 4 15" xfId="31947"/>
    <cellStyle name="Normal 3 3 4 2" xfId="1783"/>
    <cellStyle name="Normal 3 3 4 2 10" xfId="13541"/>
    <cellStyle name="Normal 3 3 4 2 10 2" xfId="20508"/>
    <cellStyle name="Normal 3 3 4 2 10 3" xfId="27475"/>
    <cellStyle name="Normal 3 3 4 2 10 4" xfId="34444"/>
    <cellStyle name="Normal 3 3 4 2 11" xfId="11046"/>
    <cellStyle name="Normal 3 3 4 2 12" xfId="18012"/>
    <cellStyle name="Normal 3 3 4 2 13" xfId="24980"/>
    <cellStyle name="Normal 3 3 4 2 14" xfId="31948"/>
    <cellStyle name="Normal 3 3 4 2 2" xfId="3350"/>
    <cellStyle name="Normal 3 3 4 2 2 2" xfId="5645"/>
    <cellStyle name="Normal 3 3 4 2 2 2 2" xfId="10455"/>
    <cellStyle name="Normal 3 3 4 2 2 2 2 2" xfId="17449"/>
    <cellStyle name="Normal 3 3 4 2 2 2 2 3" xfId="24416"/>
    <cellStyle name="Normal 3 3 4 2 2 2 2 4" xfId="31383"/>
    <cellStyle name="Normal 3 3 4 2 2 2 2 5" xfId="38352"/>
    <cellStyle name="Normal 3 3 4 2 2 2 3" xfId="15129"/>
    <cellStyle name="Normal 3 3 4 2 2 2 3 2" xfId="22096"/>
    <cellStyle name="Normal 3 3 4 2 2 2 3 3" xfId="29063"/>
    <cellStyle name="Normal 3 3 4 2 2 2 3 4" xfId="36032"/>
    <cellStyle name="Normal 3 3 4 2 2 2 4" xfId="12807"/>
    <cellStyle name="Normal 3 3 4 2 2 2 5" xfId="19774"/>
    <cellStyle name="Normal 3 3 4 2 2 2 6" xfId="26741"/>
    <cellStyle name="Normal 3 3 4 2 2 2 7" xfId="33709"/>
    <cellStyle name="Normal 3 3 4 2 2 3" xfId="8984"/>
    <cellStyle name="Normal 3 3 4 2 2 3 2" xfId="16033"/>
    <cellStyle name="Normal 3 3 4 2 2 3 3" xfId="23000"/>
    <cellStyle name="Normal 3 3 4 2 2 3 4" xfId="29967"/>
    <cellStyle name="Normal 3 3 4 2 2 3 5" xfId="36936"/>
    <cellStyle name="Normal 3 3 4 2 2 4" xfId="13711"/>
    <cellStyle name="Normal 3 3 4 2 2 4 2" xfId="20678"/>
    <cellStyle name="Normal 3 3 4 2 2 4 3" xfId="27645"/>
    <cellStyle name="Normal 3 3 4 2 2 4 4" xfId="34614"/>
    <cellStyle name="Normal 3 3 4 2 2 5" xfId="11389"/>
    <cellStyle name="Normal 3 3 4 2 2 6" xfId="18356"/>
    <cellStyle name="Normal 3 3 4 2 2 7" xfId="25323"/>
    <cellStyle name="Normal 3 3 4 2 2 8" xfId="32291"/>
    <cellStyle name="Normal 3 3 4 2 3" xfId="3549"/>
    <cellStyle name="Normal 3 3 4 2 3 2" xfId="5646"/>
    <cellStyle name="Normal 3 3 4 2 3 2 2" xfId="10456"/>
    <cellStyle name="Normal 3 3 4 2 3 2 2 2" xfId="17450"/>
    <cellStyle name="Normal 3 3 4 2 3 2 2 3" xfId="24417"/>
    <cellStyle name="Normal 3 3 4 2 3 2 2 4" xfId="31384"/>
    <cellStyle name="Normal 3 3 4 2 3 2 2 5" xfId="38353"/>
    <cellStyle name="Normal 3 3 4 2 3 2 3" xfId="15130"/>
    <cellStyle name="Normal 3 3 4 2 3 2 3 2" xfId="22097"/>
    <cellStyle name="Normal 3 3 4 2 3 2 3 3" xfId="29064"/>
    <cellStyle name="Normal 3 3 4 2 3 2 3 4" xfId="36033"/>
    <cellStyle name="Normal 3 3 4 2 3 2 4" xfId="12808"/>
    <cellStyle name="Normal 3 3 4 2 3 2 5" xfId="19775"/>
    <cellStyle name="Normal 3 3 4 2 3 2 6" xfId="26742"/>
    <cellStyle name="Normal 3 3 4 2 3 2 7" xfId="33710"/>
    <cellStyle name="Normal 3 3 4 2 3 3" xfId="9161"/>
    <cellStyle name="Normal 3 3 4 2 3 3 2" xfId="16200"/>
    <cellStyle name="Normal 3 3 4 2 3 3 3" xfId="23167"/>
    <cellStyle name="Normal 3 3 4 2 3 3 4" xfId="30134"/>
    <cellStyle name="Normal 3 3 4 2 3 3 5" xfId="37103"/>
    <cellStyle name="Normal 3 3 4 2 3 4" xfId="13880"/>
    <cellStyle name="Normal 3 3 4 2 3 4 2" xfId="20847"/>
    <cellStyle name="Normal 3 3 4 2 3 4 3" xfId="27814"/>
    <cellStyle name="Normal 3 3 4 2 3 4 4" xfId="34783"/>
    <cellStyle name="Normal 3 3 4 2 3 5" xfId="11558"/>
    <cellStyle name="Normal 3 3 4 2 3 6" xfId="18525"/>
    <cellStyle name="Normal 3 3 4 2 3 7" xfId="25492"/>
    <cellStyle name="Normal 3 3 4 2 3 8" xfId="32460"/>
    <cellStyle name="Normal 3 3 4 2 4" xfId="3724"/>
    <cellStyle name="Normal 3 3 4 2 4 2" xfId="5647"/>
    <cellStyle name="Normal 3 3 4 2 4 2 2" xfId="10457"/>
    <cellStyle name="Normal 3 3 4 2 4 2 2 2" xfId="17451"/>
    <cellStyle name="Normal 3 3 4 2 4 2 2 3" xfId="24418"/>
    <cellStyle name="Normal 3 3 4 2 4 2 2 4" xfId="31385"/>
    <cellStyle name="Normal 3 3 4 2 4 2 2 5" xfId="38354"/>
    <cellStyle name="Normal 3 3 4 2 4 2 3" xfId="15131"/>
    <cellStyle name="Normal 3 3 4 2 4 2 3 2" xfId="22098"/>
    <cellStyle name="Normal 3 3 4 2 4 2 3 3" xfId="29065"/>
    <cellStyle name="Normal 3 3 4 2 4 2 3 4" xfId="36034"/>
    <cellStyle name="Normal 3 3 4 2 4 2 4" xfId="12809"/>
    <cellStyle name="Normal 3 3 4 2 4 2 5" xfId="19776"/>
    <cellStyle name="Normal 3 3 4 2 4 2 6" xfId="26743"/>
    <cellStyle name="Normal 3 3 4 2 4 2 7" xfId="33711"/>
    <cellStyle name="Normal 3 3 4 2 4 3" xfId="9332"/>
    <cellStyle name="Normal 3 3 4 2 4 3 2" xfId="16371"/>
    <cellStyle name="Normal 3 3 4 2 4 3 3" xfId="23338"/>
    <cellStyle name="Normal 3 3 4 2 4 3 4" xfId="30305"/>
    <cellStyle name="Normal 3 3 4 2 4 3 5" xfId="37274"/>
    <cellStyle name="Normal 3 3 4 2 4 4" xfId="14051"/>
    <cellStyle name="Normal 3 3 4 2 4 4 2" xfId="21018"/>
    <cellStyle name="Normal 3 3 4 2 4 4 3" xfId="27985"/>
    <cellStyle name="Normal 3 3 4 2 4 4 4" xfId="34954"/>
    <cellStyle name="Normal 3 3 4 2 4 5" xfId="11729"/>
    <cellStyle name="Normal 3 3 4 2 4 6" xfId="18696"/>
    <cellStyle name="Normal 3 3 4 2 4 7" xfId="25663"/>
    <cellStyle name="Normal 3 3 4 2 4 8" xfId="32631"/>
    <cellStyle name="Normal 3 3 4 2 5" xfId="4001"/>
    <cellStyle name="Normal 3 3 4 2 5 2" xfId="5648"/>
    <cellStyle name="Normal 3 3 4 2 5 2 2" xfId="10458"/>
    <cellStyle name="Normal 3 3 4 2 5 2 2 2" xfId="17452"/>
    <cellStyle name="Normal 3 3 4 2 5 2 2 3" xfId="24419"/>
    <cellStyle name="Normal 3 3 4 2 5 2 2 4" xfId="31386"/>
    <cellStyle name="Normal 3 3 4 2 5 2 2 5" xfId="38355"/>
    <cellStyle name="Normal 3 3 4 2 5 2 3" xfId="15132"/>
    <cellStyle name="Normal 3 3 4 2 5 2 3 2" xfId="22099"/>
    <cellStyle name="Normal 3 3 4 2 5 2 3 3" xfId="29066"/>
    <cellStyle name="Normal 3 3 4 2 5 2 3 4" xfId="36035"/>
    <cellStyle name="Normal 3 3 4 2 5 2 4" xfId="12810"/>
    <cellStyle name="Normal 3 3 4 2 5 2 5" xfId="19777"/>
    <cellStyle name="Normal 3 3 4 2 5 2 6" xfId="26744"/>
    <cellStyle name="Normal 3 3 4 2 5 2 7" xfId="33712"/>
    <cellStyle name="Normal 3 3 4 2 5 3" xfId="9607"/>
    <cellStyle name="Normal 3 3 4 2 5 3 2" xfId="16643"/>
    <cellStyle name="Normal 3 3 4 2 5 3 3" xfId="23610"/>
    <cellStyle name="Normal 3 3 4 2 5 3 4" xfId="30577"/>
    <cellStyle name="Normal 3 3 4 2 5 3 5" xfId="37546"/>
    <cellStyle name="Normal 3 3 4 2 5 4" xfId="14323"/>
    <cellStyle name="Normal 3 3 4 2 5 4 2" xfId="21290"/>
    <cellStyle name="Normal 3 3 4 2 5 4 3" xfId="28257"/>
    <cellStyle name="Normal 3 3 4 2 5 4 4" xfId="35226"/>
    <cellStyle name="Normal 3 3 4 2 5 5" xfId="12001"/>
    <cellStyle name="Normal 3 3 4 2 5 6" xfId="18968"/>
    <cellStyle name="Normal 3 3 4 2 5 7" xfId="25935"/>
    <cellStyle name="Normal 3 3 4 2 5 8" xfId="32903"/>
    <cellStyle name="Normal 3 3 4 2 6" xfId="5644"/>
    <cellStyle name="Normal 3 3 4 2 6 2" xfId="10454"/>
    <cellStyle name="Normal 3 3 4 2 6 2 2" xfId="17448"/>
    <cellStyle name="Normal 3 3 4 2 6 2 3" xfId="24415"/>
    <cellStyle name="Normal 3 3 4 2 6 2 4" xfId="31382"/>
    <cellStyle name="Normal 3 3 4 2 6 2 5" xfId="38351"/>
    <cellStyle name="Normal 3 3 4 2 6 3" xfId="15128"/>
    <cellStyle name="Normal 3 3 4 2 6 3 2" xfId="22095"/>
    <cellStyle name="Normal 3 3 4 2 6 3 3" xfId="29062"/>
    <cellStyle name="Normal 3 3 4 2 6 3 4" xfId="36031"/>
    <cellStyle name="Normal 3 3 4 2 6 4" xfId="12806"/>
    <cellStyle name="Normal 3 3 4 2 6 5" xfId="19773"/>
    <cellStyle name="Normal 3 3 4 2 6 6" xfId="26740"/>
    <cellStyle name="Normal 3 3 4 2 6 7" xfId="33708"/>
    <cellStyle name="Normal 3 3 4 2 7" xfId="6905"/>
    <cellStyle name="Normal 3 3 4 2 7 2" xfId="10866"/>
    <cellStyle name="Normal 3 3 4 2 7 2 2" xfId="17837"/>
    <cellStyle name="Normal 3 3 4 2 7 2 3" xfId="24804"/>
    <cellStyle name="Normal 3 3 4 2 7 2 4" xfId="31771"/>
    <cellStyle name="Normal 3 3 4 2 7 2 5" xfId="38740"/>
    <cellStyle name="Normal 3 3 4 2 7 3" xfId="15517"/>
    <cellStyle name="Normal 3 3 4 2 7 3 2" xfId="22484"/>
    <cellStyle name="Normal 3 3 4 2 7 3 3" xfId="29451"/>
    <cellStyle name="Normal 3 3 4 2 7 3 4" xfId="36420"/>
    <cellStyle name="Normal 3 3 4 2 7 4" xfId="13195"/>
    <cellStyle name="Normal 3 3 4 2 7 5" xfId="20162"/>
    <cellStyle name="Normal 3 3 4 2 7 6" xfId="27129"/>
    <cellStyle name="Normal 3 3 4 2 7 7" xfId="34098"/>
    <cellStyle name="Normal 3 3 4 2 8" xfId="7206"/>
    <cellStyle name="Normal 3 3 4 2 8 2" xfId="15690"/>
    <cellStyle name="Normal 3 3 4 2 8 2 2" xfId="22657"/>
    <cellStyle name="Normal 3 3 4 2 8 2 3" xfId="29624"/>
    <cellStyle name="Normal 3 3 4 2 8 2 4" xfId="36593"/>
    <cellStyle name="Normal 3 3 4 2 8 3" xfId="13368"/>
    <cellStyle name="Normal 3 3 4 2 8 4" xfId="20335"/>
    <cellStyle name="Normal 3 3 4 2 8 5" xfId="27302"/>
    <cellStyle name="Normal 3 3 4 2 8 6" xfId="34271"/>
    <cellStyle name="Normal 3 3 4 2 9" xfId="8122"/>
    <cellStyle name="Normal 3 3 4 2 9 2" xfId="15863"/>
    <cellStyle name="Normal 3 3 4 2 9 2 2" xfId="22830"/>
    <cellStyle name="Normal 3 3 4 2 9 2 3" xfId="29797"/>
    <cellStyle name="Normal 3 3 4 2 9 2 4" xfId="36766"/>
    <cellStyle name="Normal 3 3 4 2 9 3" xfId="11219"/>
    <cellStyle name="Normal 3 3 4 2 9 4" xfId="18186"/>
    <cellStyle name="Normal 3 3 4 2 9 5" xfId="25153"/>
    <cellStyle name="Normal 3 3 4 2 9 6" xfId="32121"/>
    <cellStyle name="Normal 3 3 4 3" xfId="3349"/>
    <cellStyle name="Normal 3 3 4 3 2" xfId="5649"/>
    <cellStyle name="Normal 3 3 4 3 2 2" xfId="10459"/>
    <cellStyle name="Normal 3 3 4 3 2 2 2" xfId="17453"/>
    <cellStyle name="Normal 3 3 4 3 2 2 3" xfId="24420"/>
    <cellStyle name="Normal 3 3 4 3 2 2 4" xfId="31387"/>
    <cellStyle name="Normal 3 3 4 3 2 2 5" xfId="38356"/>
    <cellStyle name="Normal 3 3 4 3 2 3" xfId="15133"/>
    <cellStyle name="Normal 3 3 4 3 2 3 2" xfId="22100"/>
    <cellStyle name="Normal 3 3 4 3 2 3 3" xfId="29067"/>
    <cellStyle name="Normal 3 3 4 3 2 3 4" xfId="36036"/>
    <cellStyle name="Normal 3 3 4 3 2 4" xfId="12811"/>
    <cellStyle name="Normal 3 3 4 3 2 5" xfId="19778"/>
    <cellStyle name="Normal 3 3 4 3 2 6" xfId="26745"/>
    <cellStyle name="Normal 3 3 4 3 2 7" xfId="33713"/>
    <cellStyle name="Normal 3 3 4 3 3" xfId="8983"/>
    <cellStyle name="Normal 3 3 4 3 3 2" xfId="16032"/>
    <cellStyle name="Normal 3 3 4 3 3 3" xfId="22999"/>
    <cellStyle name="Normal 3 3 4 3 3 4" xfId="29966"/>
    <cellStyle name="Normal 3 3 4 3 3 5" xfId="36935"/>
    <cellStyle name="Normal 3 3 4 3 4" xfId="13710"/>
    <cellStyle name="Normal 3 3 4 3 4 2" xfId="20677"/>
    <cellStyle name="Normal 3 3 4 3 4 3" xfId="27644"/>
    <cellStyle name="Normal 3 3 4 3 4 4" xfId="34613"/>
    <cellStyle name="Normal 3 3 4 3 5" xfId="11388"/>
    <cellStyle name="Normal 3 3 4 3 6" xfId="18355"/>
    <cellStyle name="Normal 3 3 4 3 7" xfId="25322"/>
    <cellStyle name="Normal 3 3 4 3 8" xfId="32290"/>
    <cellStyle name="Normal 3 3 4 4" xfId="3548"/>
    <cellStyle name="Normal 3 3 4 4 2" xfId="5650"/>
    <cellStyle name="Normal 3 3 4 4 2 2" xfId="10460"/>
    <cellStyle name="Normal 3 3 4 4 2 2 2" xfId="17454"/>
    <cellStyle name="Normal 3 3 4 4 2 2 3" xfId="24421"/>
    <cellStyle name="Normal 3 3 4 4 2 2 4" xfId="31388"/>
    <cellStyle name="Normal 3 3 4 4 2 2 5" xfId="38357"/>
    <cellStyle name="Normal 3 3 4 4 2 3" xfId="15134"/>
    <cellStyle name="Normal 3 3 4 4 2 3 2" xfId="22101"/>
    <cellStyle name="Normal 3 3 4 4 2 3 3" xfId="29068"/>
    <cellStyle name="Normal 3 3 4 4 2 3 4" xfId="36037"/>
    <cellStyle name="Normal 3 3 4 4 2 4" xfId="12812"/>
    <cellStyle name="Normal 3 3 4 4 2 5" xfId="19779"/>
    <cellStyle name="Normal 3 3 4 4 2 6" xfId="26746"/>
    <cellStyle name="Normal 3 3 4 4 2 7" xfId="33714"/>
    <cellStyle name="Normal 3 3 4 4 3" xfId="9160"/>
    <cellStyle name="Normal 3 3 4 4 3 2" xfId="16199"/>
    <cellStyle name="Normal 3 3 4 4 3 3" xfId="23166"/>
    <cellStyle name="Normal 3 3 4 4 3 4" xfId="30133"/>
    <cellStyle name="Normal 3 3 4 4 3 5" xfId="37102"/>
    <cellStyle name="Normal 3 3 4 4 4" xfId="13879"/>
    <cellStyle name="Normal 3 3 4 4 4 2" xfId="20846"/>
    <cellStyle name="Normal 3 3 4 4 4 3" xfId="27813"/>
    <cellStyle name="Normal 3 3 4 4 4 4" xfId="34782"/>
    <cellStyle name="Normal 3 3 4 4 5" xfId="11557"/>
    <cellStyle name="Normal 3 3 4 4 6" xfId="18524"/>
    <cellStyle name="Normal 3 3 4 4 7" xfId="25491"/>
    <cellStyle name="Normal 3 3 4 4 8" xfId="32459"/>
    <cellStyle name="Normal 3 3 4 5" xfId="3723"/>
    <cellStyle name="Normal 3 3 4 5 2" xfId="5651"/>
    <cellStyle name="Normal 3 3 4 5 2 2" xfId="10461"/>
    <cellStyle name="Normal 3 3 4 5 2 2 2" xfId="17455"/>
    <cellStyle name="Normal 3 3 4 5 2 2 3" xfId="24422"/>
    <cellStyle name="Normal 3 3 4 5 2 2 4" xfId="31389"/>
    <cellStyle name="Normal 3 3 4 5 2 2 5" xfId="38358"/>
    <cellStyle name="Normal 3 3 4 5 2 3" xfId="15135"/>
    <cellStyle name="Normal 3 3 4 5 2 3 2" xfId="22102"/>
    <cellStyle name="Normal 3 3 4 5 2 3 3" xfId="29069"/>
    <cellStyle name="Normal 3 3 4 5 2 3 4" xfId="36038"/>
    <cellStyle name="Normal 3 3 4 5 2 4" xfId="12813"/>
    <cellStyle name="Normal 3 3 4 5 2 5" xfId="19780"/>
    <cellStyle name="Normal 3 3 4 5 2 6" xfId="26747"/>
    <cellStyle name="Normal 3 3 4 5 2 7" xfId="33715"/>
    <cellStyle name="Normal 3 3 4 5 3" xfId="9331"/>
    <cellStyle name="Normal 3 3 4 5 3 2" xfId="16370"/>
    <cellStyle name="Normal 3 3 4 5 3 3" xfId="23337"/>
    <cellStyle name="Normal 3 3 4 5 3 4" xfId="30304"/>
    <cellStyle name="Normal 3 3 4 5 3 5" xfId="37273"/>
    <cellStyle name="Normal 3 3 4 5 4" xfId="14050"/>
    <cellStyle name="Normal 3 3 4 5 4 2" xfId="21017"/>
    <cellStyle name="Normal 3 3 4 5 4 3" xfId="27984"/>
    <cellStyle name="Normal 3 3 4 5 4 4" xfId="34953"/>
    <cellStyle name="Normal 3 3 4 5 5" xfId="11728"/>
    <cellStyle name="Normal 3 3 4 5 6" xfId="18695"/>
    <cellStyle name="Normal 3 3 4 5 7" xfId="25662"/>
    <cellStyle name="Normal 3 3 4 5 8" xfId="32630"/>
    <cellStyle name="Normal 3 3 4 6" xfId="4000"/>
    <cellStyle name="Normal 3 3 4 6 2" xfId="5652"/>
    <cellStyle name="Normal 3 3 4 6 2 2" xfId="10462"/>
    <cellStyle name="Normal 3 3 4 6 2 2 2" xfId="17456"/>
    <cellStyle name="Normal 3 3 4 6 2 2 3" xfId="24423"/>
    <cellStyle name="Normal 3 3 4 6 2 2 4" xfId="31390"/>
    <cellStyle name="Normal 3 3 4 6 2 2 5" xfId="38359"/>
    <cellStyle name="Normal 3 3 4 6 2 3" xfId="15136"/>
    <cellStyle name="Normal 3 3 4 6 2 3 2" xfId="22103"/>
    <cellStyle name="Normal 3 3 4 6 2 3 3" xfId="29070"/>
    <cellStyle name="Normal 3 3 4 6 2 3 4" xfId="36039"/>
    <cellStyle name="Normal 3 3 4 6 2 4" xfId="12814"/>
    <cellStyle name="Normal 3 3 4 6 2 5" xfId="19781"/>
    <cellStyle name="Normal 3 3 4 6 2 6" xfId="26748"/>
    <cellStyle name="Normal 3 3 4 6 2 7" xfId="33716"/>
    <cellStyle name="Normal 3 3 4 6 3" xfId="9606"/>
    <cellStyle name="Normal 3 3 4 6 3 2" xfId="16642"/>
    <cellStyle name="Normal 3 3 4 6 3 3" xfId="23609"/>
    <cellStyle name="Normal 3 3 4 6 3 4" xfId="30576"/>
    <cellStyle name="Normal 3 3 4 6 3 5" xfId="37545"/>
    <cellStyle name="Normal 3 3 4 6 4" xfId="14322"/>
    <cellStyle name="Normal 3 3 4 6 4 2" xfId="21289"/>
    <cellStyle name="Normal 3 3 4 6 4 3" xfId="28256"/>
    <cellStyle name="Normal 3 3 4 6 4 4" xfId="35225"/>
    <cellStyle name="Normal 3 3 4 6 5" xfId="12000"/>
    <cellStyle name="Normal 3 3 4 6 6" xfId="18967"/>
    <cellStyle name="Normal 3 3 4 6 7" xfId="25934"/>
    <cellStyle name="Normal 3 3 4 6 8" xfId="32902"/>
    <cellStyle name="Normal 3 3 4 7" xfId="5643"/>
    <cellStyle name="Normal 3 3 4 7 2" xfId="10453"/>
    <cellStyle name="Normal 3 3 4 7 2 2" xfId="17447"/>
    <cellStyle name="Normal 3 3 4 7 2 3" xfId="24414"/>
    <cellStyle name="Normal 3 3 4 7 2 4" xfId="31381"/>
    <cellStyle name="Normal 3 3 4 7 2 5" xfId="38350"/>
    <cellStyle name="Normal 3 3 4 7 3" xfId="15127"/>
    <cellStyle name="Normal 3 3 4 7 3 2" xfId="22094"/>
    <cellStyle name="Normal 3 3 4 7 3 3" xfId="29061"/>
    <cellStyle name="Normal 3 3 4 7 3 4" xfId="36030"/>
    <cellStyle name="Normal 3 3 4 7 4" xfId="12805"/>
    <cellStyle name="Normal 3 3 4 7 5" xfId="19772"/>
    <cellStyle name="Normal 3 3 4 7 6" xfId="26739"/>
    <cellStyle name="Normal 3 3 4 7 7" xfId="33707"/>
    <cellStyle name="Normal 3 3 4 8" xfId="6904"/>
    <cellStyle name="Normal 3 3 4 8 2" xfId="10865"/>
    <cellStyle name="Normal 3 3 4 8 2 2" xfId="17836"/>
    <cellStyle name="Normal 3 3 4 8 2 3" xfId="24803"/>
    <cellStyle name="Normal 3 3 4 8 2 4" xfId="31770"/>
    <cellStyle name="Normal 3 3 4 8 2 5" xfId="38739"/>
    <cellStyle name="Normal 3 3 4 8 3" xfId="15516"/>
    <cellStyle name="Normal 3 3 4 8 3 2" xfId="22483"/>
    <cellStyle name="Normal 3 3 4 8 3 3" xfId="29450"/>
    <cellStyle name="Normal 3 3 4 8 3 4" xfId="36419"/>
    <cellStyle name="Normal 3 3 4 8 4" xfId="13194"/>
    <cellStyle name="Normal 3 3 4 8 5" xfId="20161"/>
    <cellStyle name="Normal 3 3 4 8 6" xfId="27128"/>
    <cellStyle name="Normal 3 3 4 8 7" xfId="34097"/>
    <cellStyle name="Normal 3 3 4 9" xfId="7205"/>
    <cellStyle name="Normal 3 3 4 9 2" xfId="15689"/>
    <cellStyle name="Normal 3 3 4 9 2 2" xfId="22656"/>
    <cellStyle name="Normal 3 3 4 9 2 3" xfId="29623"/>
    <cellStyle name="Normal 3 3 4 9 2 4" xfId="36592"/>
    <cellStyle name="Normal 3 3 4 9 3" xfId="13367"/>
    <cellStyle name="Normal 3 3 4 9 4" xfId="20334"/>
    <cellStyle name="Normal 3 3 4 9 5" xfId="27301"/>
    <cellStyle name="Normal 3 3 4 9 6" xfId="34270"/>
    <cellStyle name="Normal 3 3 5" xfId="1784"/>
    <cellStyle name="Normal 3 3 5 10" xfId="8123"/>
    <cellStyle name="Normal 3 3 5 10 2" xfId="15864"/>
    <cellStyle name="Normal 3 3 5 10 2 2" xfId="22831"/>
    <cellStyle name="Normal 3 3 5 10 2 3" xfId="29798"/>
    <cellStyle name="Normal 3 3 5 10 2 4" xfId="36767"/>
    <cellStyle name="Normal 3 3 5 10 3" xfId="11220"/>
    <cellStyle name="Normal 3 3 5 10 4" xfId="18187"/>
    <cellStyle name="Normal 3 3 5 10 5" xfId="25154"/>
    <cellStyle name="Normal 3 3 5 10 6" xfId="32122"/>
    <cellStyle name="Normal 3 3 5 11" xfId="13542"/>
    <cellStyle name="Normal 3 3 5 11 2" xfId="20509"/>
    <cellStyle name="Normal 3 3 5 11 3" xfId="27476"/>
    <cellStyle name="Normal 3 3 5 11 4" xfId="34445"/>
    <cellStyle name="Normal 3 3 5 12" xfId="11047"/>
    <cellStyle name="Normal 3 3 5 13" xfId="18013"/>
    <cellStyle name="Normal 3 3 5 14" xfId="24981"/>
    <cellStyle name="Normal 3 3 5 15" xfId="31949"/>
    <cellStyle name="Normal 3 3 5 2" xfId="1785"/>
    <cellStyle name="Normal 3 3 5 2 10" xfId="13543"/>
    <cellStyle name="Normal 3 3 5 2 10 2" xfId="20510"/>
    <cellStyle name="Normal 3 3 5 2 10 3" xfId="27477"/>
    <cellStyle name="Normal 3 3 5 2 10 4" xfId="34446"/>
    <cellStyle name="Normal 3 3 5 2 11" xfId="11048"/>
    <cellStyle name="Normal 3 3 5 2 12" xfId="18014"/>
    <cellStyle name="Normal 3 3 5 2 13" xfId="24982"/>
    <cellStyle name="Normal 3 3 5 2 14" xfId="31950"/>
    <cellStyle name="Normal 3 3 5 2 2" xfId="3352"/>
    <cellStyle name="Normal 3 3 5 2 2 2" xfId="5655"/>
    <cellStyle name="Normal 3 3 5 2 2 2 2" xfId="10465"/>
    <cellStyle name="Normal 3 3 5 2 2 2 2 2" xfId="17459"/>
    <cellStyle name="Normal 3 3 5 2 2 2 2 3" xfId="24426"/>
    <cellStyle name="Normal 3 3 5 2 2 2 2 4" xfId="31393"/>
    <cellStyle name="Normal 3 3 5 2 2 2 2 5" xfId="38362"/>
    <cellStyle name="Normal 3 3 5 2 2 2 3" xfId="15139"/>
    <cellStyle name="Normal 3 3 5 2 2 2 3 2" xfId="22106"/>
    <cellStyle name="Normal 3 3 5 2 2 2 3 3" xfId="29073"/>
    <cellStyle name="Normal 3 3 5 2 2 2 3 4" xfId="36042"/>
    <cellStyle name="Normal 3 3 5 2 2 2 4" xfId="12817"/>
    <cellStyle name="Normal 3 3 5 2 2 2 5" xfId="19784"/>
    <cellStyle name="Normal 3 3 5 2 2 2 6" xfId="26751"/>
    <cellStyle name="Normal 3 3 5 2 2 2 7" xfId="33719"/>
    <cellStyle name="Normal 3 3 5 2 2 3" xfId="8986"/>
    <cellStyle name="Normal 3 3 5 2 2 3 2" xfId="16035"/>
    <cellStyle name="Normal 3 3 5 2 2 3 3" xfId="23002"/>
    <cellStyle name="Normal 3 3 5 2 2 3 4" xfId="29969"/>
    <cellStyle name="Normal 3 3 5 2 2 3 5" xfId="36938"/>
    <cellStyle name="Normal 3 3 5 2 2 4" xfId="13713"/>
    <cellStyle name="Normal 3 3 5 2 2 4 2" xfId="20680"/>
    <cellStyle name="Normal 3 3 5 2 2 4 3" xfId="27647"/>
    <cellStyle name="Normal 3 3 5 2 2 4 4" xfId="34616"/>
    <cellStyle name="Normal 3 3 5 2 2 5" xfId="11391"/>
    <cellStyle name="Normal 3 3 5 2 2 6" xfId="18358"/>
    <cellStyle name="Normal 3 3 5 2 2 7" xfId="25325"/>
    <cellStyle name="Normal 3 3 5 2 2 8" xfId="32293"/>
    <cellStyle name="Normal 3 3 5 2 3" xfId="3551"/>
    <cellStyle name="Normal 3 3 5 2 3 2" xfId="5656"/>
    <cellStyle name="Normal 3 3 5 2 3 2 2" xfId="10466"/>
    <cellStyle name="Normal 3 3 5 2 3 2 2 2" xfId="17460"/>
    <cellStyle name="Normal 3 3 5 2 3 2 2 3" xfId="24427"/>
    <cellStyle name="Normal 3 3 5 2 3 2 2 4" xfId="31394"/>
    <cellStyle name="Normal 3 3 5 2 3 2 2 5" xfId="38363"/>
    <cellStyle name="Normal 3 3 5 2 3 2 3" xfId="15140"/>
    <cellStyle name="Normal 3 3 5 2 3 2 3 2" xfId="22107"/>
    <cellStyle name="Normal 3 3 5 2 3 2 3 3" xfId="29074"/>
    <cellStyle name="Normal 3 3 5 2 3 2 3 4" xfId="36043"/>
    <cellStyle name="Normal 3 3 5 2 3 2 4" xfId="12818"/>
    <cellStyle name="Normal 3 3 5 2 3 2 5" xfId="19785"/>
    <cellStyle name="Normal 3 3 5 2 3 2 6" xfId="26752"/>
    <cellStyle name="Normal 3 3 5 2 3 2 7" xfId="33720"/>
    <cellStyle name="Normal 3 3 5 2 3 3" xfId="9163"/>
    <cellStyle name="Normal 3 3 5 2 3 3 2" xfId="16202"/>
    <cellStyle name="Normal 3 3 5 2 3 3 3" xfId="23169"/>
    <cellStyle name="Normal 3 3 5 2 3 3 4" xfId="30136"/>
    <cellStyle name="Normal 3 3 5 2 3 3 5" xfId="37105"/>
    <cellStyle name="Normal 3 3 5 2 3 4" xfId="13882"/>
    <cellStyle name="Normal 3 3 5 2 3 4 2" xfId="20849"/>
    <cellStyle name="Normal 3 3 5 2 3 4 3" xfId="27816"/>
    <cellStyle name="Normal 3 3 5 2 3 4 4" xfId="34785"/>
    <cellStyle name="Normal 3 3 5 2 3 5" xfId="11560"/>
    <cellStyle name="Normal 3 3 5 2 3 6" xfId="18527"/>
    <cellStyle name="Normal 3 3 5 2 3 7" xfId="25494"/>
    <cellStyle name="Normal 3 3 5 2 3 8" xfId="32462"/>
    <cellStyle name="Normal 3 3 5 2 4" xfId="3726"/>
    <cellStyle name="Normal 3 3 5 2 4 2" xfId="5657"/>
    <cellStyle name="Normal 3 3 5 2 4 2 2" xfId="10467"/>
    <cellStyle name="Normal 3 3 5 2 4 2 2 2" xfId="17461"/>
    <cellStyle name="Normal 3 3 5 2 4 2 2 3" xfId="24428"/>
    <cellStyle name="Normal 3 3 5 2 4 2 2 4" xfId="31395"/>
    <cellStyle name="Normal 3 3 5 2 4 2 2 5" xfId="38364"/>
    <cellStyle name="Normal 3 3 5 2 4 2 3" xfId="15141"/>
    <cellStyle name="Normal 3 3 5 2 4 2 3 2" xfId="22108"/>
    <cellStyle name="Normal 3 3 5 2 4 2 3 3" xfId="29075"/>
    <cellStyle name="Normal 3 3 5 2 4 2 3 4" xfId="36044"/>
    <cellStyle name="Normal 3 3 5 2 4 2 4" xfId="12819"/>
    <cellStyle name="Normal 3 3 5 2 4 2 5" xfId="19786"/>
    <cellStyle name="Normal 3 3 5 2 4 2 6" xfId="26753"/>
    <cellStyle name="Normal 3 3 5 2 4 2 7" xfId="33721"/>
    <cellStyle name="Normal 3 3 5 2 4 3" xfId="9334"/>
    <cellStyle name="Normal 3 3 5 2 4 3 2" xfId="16373"/>
    <cellStyle name="Normal 3 3 5 2 4 3 3" xfId="23340"/>
    <cellStyle name="Normal 3 3 5 2 4 3 4" xfId="30307"/>
    <cellStyle name="Normal 3 3 5 2 4 3 5" xfId="37276"/>
    <cellStyle name="Normal 3 3 5 2 4 4" xfId="14053"/>
    <cellStyle name="Normal 3 3 5 2 4 4 2" xfId="21020"/>
    <cellStyle name="Normal 3 3 5 2 4 4 3" xfId="27987"/>
    <cellStyle name="Normal 3 3 5 2 4 4 4" xfId="34956"/>
    <cellStyle name="Normal 3 3 5 2 4 5" xfId="11731"/>
    <cellStyle name="Normal 3 3 5 2 4 6" xfId="18698"/>
    <cellStyle name="Normal 3 3 5 2 4 7" xfId="25665"/>
    <cellStyle name="Normal 3 3 5 2 4 8" xfId="32633"/>
    <cellStyle name="Normal 3 3 5 2 5" xfId="4003"/>
    <cellStyle name="Normal 3 3 5 2 5 2" xfId="5658"/>
    <cellStyle name="Normal 3 3 5 2 5 2 2" xfId="10468"/>
    <cellStyle name="Normal 3 3 5 2 5 2 2 2" xfId="17462"/>
    <cellStyle name="Normal 3 3 5 2 5 2 2 3" xfId="24429"/>
    <cellStyle name="Normal 3 3 5 2 5 2 2 4" xfId="31396"/>
    <cellStyle name="Normal 3 3 5 2 5 2 2 5" xfId="38365"/>
    <cellStyle name="Normal 3 3 5 2 5 2 3" xfId="15142"/>
    <cellStyle name="Normal 3 3 5 2 5 2 3 2" xfId="22109"/>
    <cellStyle name="Normal 3 3 5 2 5 2 3 3" xfId="29076"/>
    <cellStyle name="Normal 3 3 5 2 5 2 3 4" xfId="36045"/>
    <cellStyle name="Normal 3 3 5 2 5 2 4" xfId="12820"/>
    <cellStyle name="Normal 3 3 5 2 5 2 5" xfId="19787"/>
    <cellStyle name="Normal 3 3 5 2 5 2 6" xfId="26754"/>
    <cellStyle name="Normal 3 3 5 2 5 2 7" xfId="33722"/>
    <cellStyle name="Normal 3 3 5 2 5 3" xfId="9609"/>
    <cellStyle name="Normal 3 3 5 2 5 3 2" xfId="16645"/>
    <cellStyle name="Normal 3 3 5 2 5 3 3" xfId="23612"/>
    <cellStyle name="Normal 3 3 5 2 5 3 4" xfId="30579"/>
    <cellStyle name="Normal 3 3 5 2 5 3 5" xfId="37548"/>
    <cellStyle name="Normal 3 3 5 2 5 4" xfId="14325"/>
    <cellStyle name="Normal 3 3 5 2 5 4 2" xfId="21292"/>
    <cellStyle name="Normal 3 3 5 2 5 4 3" xfId="28259"/>
    <cellStyle name="Normal 3 3 5 2 5 4 4" xfId="35228"/>
    <cellStyle name="Normal 3 3 5 2 5 5" xfId="12003"/>
    <cellStyle name="Normal 3 3 5 2 5 6" xfId="18970"/>
    <cellStyle name="Normal 3 3 5 2 5 7" xfId="25937"/>
    <cellStyle name="Normal 3 3 5 2 5 8" xfId="32905"/>
    <cellStyle name="Normal 3 3 5 2 6" xfId="5654"/>
    <cellStyle name="Normal 3 3 5 2 6 2" xfId="10464"/>
    <cellStyle name="Normal 3 3 5 2 6 2 2" xfId="17458"/>
    <cellStyle name="Normal 3 3 5 2 6 2 3" xfId="24425"/>
    <cellStyle name="Normal 3 3 5 2 6 2 4" xfId="31392"/>
    <cellStyle name="Normal 3 3 5 2 6 2 5" xfId="38361"/>
    <cellStyle name="Normal 3 3 5 2 6 3" xfId="15138"/>
    <cellStyle name="Normal 3 3 5 2 6 3 2" xfId="22105"/>
    <cellStyle name="Normal 3 3 5 2 6 3 3" xfId="29072"/>
    <cellStyle name="Normal 3 3 5 2 6 3 4" xfId="36041"/>
    <cellStyle name="Normal 3 3 5 2 6 4" xfId="12816"/>
    <cellStyle name="Normal 3 3 5 2 6 5" xfId="19783"/>
    <cellStyle name="Normal 3 3 5 2 6 6" xfId="26750"/>
    <cellStyle name="Normal 3 3 5 2 6 7" xfId="33718"/>
    <cellStyle name="Normal 3 3 5 2 7" xfId="6907"/>
    <cellStyle name="Normal 3 3 5 2 7 2" xfId="10868"/>
    <cellStyle name="Normal 3 3 5 2 7 2 2" xfId="17839"/>
    <cellStyle name="Normal 3 3 5 2 7 2 3" xfId="24806"/>
    <cellStyle name="Normal 3 3 5 2 7 2 4" xfId="31773"/>
    <cellStyle name="Normal 3 3 5 2 7 2 5" xfId="38742"/>
    <cellStyle name="Normal 3 3 5 2 7 3" xfId="15519"/>
    <cellStyle name="Normal 3 3 5 2 7 3 2" xfId="22486"/>
    <cellStyle name="Normal 3 3 5 2 7 3 3" xfId="29453"/>
    <cellStyle name="Normal 3 3 5 2 7 3 4" xfId="36422"/>
    <cellStyle name="Normal 3 3 5 2 7 4" xfId="13197"/>
    <cellStyle name="Normal 3 3 5 2 7 5" xfId="20164"/>
    <cellStyle name="Normal 3 3 5 2 7 6" xfId="27131"/>
    <cellStyle name="Normal 3 3 5 2 7 7" xfId="34100"/>
    <cellStyle name="Normal 3 3 5 2 8" xfId="7208"/>
    <cellStyle name="Normal 3 3 5 2 8 2" xfId="15692"/>
    <cellStyle name="Normal 3 3 5 2 8 2 2" xfId="22659"/>
    <cellStyle name="Normal 3 3 5 2 8 2 3" xfId="29626"/>
    <cellStyle name="Normal 3 3 5 2 8 2 4" xfId="36595"/>
    <cellStyle name="Normal 3 3 5 2 8 3" xfId="13370"/>
    <cellStyle name="Normal 3 3 5 2 8 4" xfId="20337"/>
    <cellStyle name="Normal 3 3 5 2 8 5" xfId="27304"/>
    <cellStyle name="Normal 3 3 5 2 8 6" xfId="34273"/>
    <cellStyle name="Normal 3 3 5 2 9" xfId="8124"/>
    <cellStyle name="Normal 3 3 5 2 9 2" xfId="15865"/>
    <cellStyle name="Normal 3 3 5 2 9 2 2" xfId="22832"/>
    <cellStyle name="Normal 3 3 5 2 9 2 3" xfId="29799"/>
    <cellStyle name="Normal 3 3 5 2 9 2 4" xfId="36768"/>
    <cellStyle name="Normal 3 3 5 2 9 3" xfId="11221"/>
    <cellStyle name="Normal 3 3 5 2 9 4" xfId="18188"/>
    <cellStyle name="Normal 3 3 5 2 9 5" xfId="25155"/>
    <cellStyle name="Normal 3 3 5 2 9 6" xfId="32123"/>
    <cellStyle name="Normal 3 3 5 3" xfId="3351"/>
    <cellStyle name="Normal 3 3 5 3 2" xfId="5659"/>
    <cellStyle name="Normal 3 3 5 3 2 2" xfId="10469"/>
    <cellStyle name="Normal 3 3 5 3 2 2 2" xfId="17463"/>
    <cellStyle name="Normal 3 3 5 3 2 2 3" xfId="24430"/>
    <cellStyle name="Normal 3 3 5 3 2 2 4" xfId="31397"/>
    <cellStyle name="Normal 3 3 5 3 2 2 5" xfId="38366"/>
    <cellStyle name="Normal 3 3 5 3 2 3" xfId="15143"/>
    <cellStyle name="Normal 3 3 5 3 2 3 2" xfId="22110"/>
    <cellStyle name="Normal 3 3 5 3 2 3 3" xfId="29077"/>
    <cellStyle name="Normal 3 3 5 3 2 3 4" xfId="36046"/>
    <cellStyle name="Normal 3 3 5 3 2 4" xfId="12821"/>
    <cellStyle name="Normal 3 3 5 3 2 5" xfId="19788"/>
    <cellStyle name="Normal 3 3 5 3 2 6" xfId="26755"/>
    <cellStyle name="Normal 3 3 5 3 2 7" xfId="33723"/>
    <cellStyle name="Normal 3 3 5 3 3" xfId="8985"/>
    <cellStyle name="Normal 3 3 5 3 3 2" xfId="16034"/>
    <cellStyle name="Normal 3 3 5 3 3 3" xfId="23001"/>
    <cellStyle name="Normal 3 3 5 3 3 4" xfId="29968"/>
    <cellStyle name="Normal 3 3 5 3 3 5" xfId="36937"/>
    <cellStyle name="Normal 3 3 5 3 4" xfId="13712"/>
    <cellStyle name="Normal 3 3 5 3 4 2" xfId="20679"/>
    <cellStyle name="Normal 3 3 5 3 4 3" xfId="27646"/>
    <cellStyle name="Normal 3 3 5 3 4 4" xfId="34615"/>
    <cellStyle name="Normal 3 3 5 3 5" xfId="11390"/>
    <cellStyle name="Normal 3 3 5 3 6" xfId="18357"/>
    <cellStyle name="Normal 3 3 5 3 7" xfId="25324"/>
    <cellStyle name="Normal 3 3 5 3 8" xfId="32292"/>
    <cellStyle name="Normal 3 3 5 4" xfId="3550"/>
    <cellStyle name="Normal 3 3 5 4 2" xfId="5660"/>
    <cellStyle name="Normal 3 3 5 4 2 2" xfId="10470"/>
    <cellStyle name="Normal 3 3 5 4 2 2 2" xfId="17464"/>
    <cellStyle name="Normal 3 3 5 4 2 2 3" xfId="24431"/>
    <cellStyle name="Normal 3 3 5 4 2 2 4" xfId="31398"/>
    <cellStyle name="Normal 3 3 5 4 2 2 5" xfId="38367"/>
    <cellStyle name="Normal 3 3 5 4 2 3" xfId="15144"/>
    <cellStyle name="Normal 3 3 5 4 2 3 2" xfId="22111"/>
    <cellStyle name="Normal 3 3 5 4 2 3 3" xfId="29078"/>
    <cellStyle name="Normal 3 3 5 4 2 3 4" xfId="36047"/>
    <cellStyle name="Normal 3 3 5 4 2 4" xfId="12822"/>
    <cellStyle name="Normal 3 3 5 4 2 5" xfId="19789"/>
    <cellStyle name="Normal 3 3 5 4 2 6" xfId="26756"/>
    <cellStyle name="Normal 3 3 5 4 2 7" xfId="33724"/>
    <cellStyle name="Normal 3 3 5 4 3" xfId="9162"/>
    <cellStyle name="Normal 3 3 5 4 3 2" xfId="16201"/>
    <cellStyle name="Normal 3 3 5 4 3 3" xfId="23168"/>
    <cellStyle name="Normal 3 3 5 4 3 4" xfId="30135"/>
    <cellStyle name="Normal 3 3 5 4 3 5" xfId="37104"/>
    <cellStyle name="Normal 3 3 5 4 4" xfId="13881"/>
    <cellStyle name="Normal 3 3 5 4 4 2" xfId="20848"/>
    <cellStyle name="Normal 3 3 5 4 4 3" xfId="27815"/>
    <cellStyle name="Normal 3 3 5 4 4 4" xfId="34784"/>
    <cellStyle name="Normal 3 3 5 4 5" xfId="11559"/>
    <cellStyle name="Normal 3 3 5 4 6" xfId="18526"/>
    <cellStyle name="Normal 3 3 5 4 7" xfId="25493"/>
    <cellStyle name="Normal 3 3 5 4 8" xfId="32461"/>
    <cellStyle name="Normal 3 3 5 5" xfId="3725"/>
    <cellStyle name="Normal 3 3 5 5 2" xfId="5661"/>
    <cellStyle name="Normal 3 3 5 5 2 2" xfId="10471"/>
    <cellStyle name="Normal 3 3 5 5 2 2 2" xfId="17465"/>
    <cellStyle name="Normal 3 3 5 5 2 2 3" xfId="24432"/>
    <cellStyle name="Normal 3 3 5 5 2 2 4" xfId="31399"/>
    <cellStyle name="Normal 3 3 5 5 2 2 5" xfId="38368"/>
    <cellStyle name="Normal 3 3 5 5 2 3" xfId="15145"/>
    <cellStyle name="Normal 3 3 5 5 2 3 2" xfId="22112"/>
    <cellStyle name="Normal 3 3 5 5 2 3 3" xfId="29079"/>
    <cellStyle name="Normal 3 3 5 5 2 3 4" xfId="36048"/>
    <cellStyle name="Normal 3 3 5 5 2 4" xfId="12823"/>
    <cellStyle name="Normal 3 3 5 5 2 5" xfId="19790"/>
    <cellStyle name="Normal 3 3 5 5 2 6" xfId="26757"/>
    <cellStyle name="Normal 3 3 5 5 2 7" xfId="33725"/>
    <cellStyle name="Normal 3 3 5 5 3" xfId="9333"/>
    <cellStyle name="Normal 3 3 5 5 3 2" xfId="16372"/>
    <cellStyle name="Normal 3 3 5 5 3 3" xfId="23339"/>
    <cellStyle name="Normal 3 3 5 5 3 4" xfId="30306"/>
    <cellStyle name="Normal 3 3 5 5 3 5" xfId="37275"/>
    <cellStyle name="Normal 3 3 5 5 4" xfId="14052"/>
    <cellStyle name="Normal 3 3 5 5 4 2" xfId="21019"/>
    <cellStyle name="Normal 3 3 5 5 4 3" xfId="27986"/>
    <cellStyle name="Normal 3 3 5 5 4 4" xfId="34955"/>
    <cellStyle name="Normal 3 3 5 5 5" xfId="11730"/>
    <cellStyle name="Normal 3 3 5 5 6" xfId="18697"/>
    <cellStyle name="Normal 3 3 5 5 7" xfId="25664"/>
    <cellStyle name="Normal 3 3 5 5 8" xfId="32632"/>
    <cellStyle name="Normal 3 3 5 6" xfId="4002"/>
    <cellStyle name="Normal 3 3 5 6 2" xfId="5662"/>
    <cellStyle name="Normal 3 3 5 6 2 2" xfId="10472"/>
    <cellStyle name="Normal 3 3 5 6 2 2 2" xfId="17466"/>
    <cellStyle name="Normal 3 3 5 6 2 2 3" xfId="24433"/>
    <cellStyle name="Normal 3 3 5 6 2 2 4" xfId="31400"/>
    <cellStyle name="Normal 3 3 5 6 2 2 5" xfId="38369"/>
    <cellStyle name="Normal 3 3 5 6 2 3" xfId="15146"/>
    <cellStyle name="Normal 3 3 5 6 2 3 2" xfId="22113"/>
    <cellStyle name="Normal 3 3 5 6 2 3 3" xfId="29080"/>
    <cellStyle name="Normal 3 3 5 6 2 3 4" xfId="36049"/>
    <cellStyle name="Normal 3 3 5 6 2 4" xfId="12824"/>
    <cellStyle name="Normal 3 3 5 6 2 5" xfId="19791"/>
    <cellStyle name="Normal 3 3 5 6 2 6" xfId="26758"/>
    <cellStyle name="Normal 3 3 5 6 2 7" xfId="33726"/>
    <cellStyle name="Normal 3 3 5 6 3" xfId="9608"/>
    <cellStyle name="Normal 3 3 5 6 3 2" xfId="16644"/>
    <cellStyle name="Normal 3 3 5 6 3 3" xfId="23611"/>
    <cellStyle name="Normal 3 3 5 6 3 4" xfId="30578"/>
    <cellStyle name="Normal 3 3 5 6 3 5" xfId="37547"/>
    <cellStyle name="Normal 3 3 5 6 4" xfId="14324"/>
    <cellStyle name="Normal 3 3 5 6 4 2" xfId="21291"/>
    <cellStyle name="Normal 3 3 5 6 4 3" xfId="28258"/>
    <cellStyle name="Normal 3 3 5 6 4 4" xfId="35227"/>
    <cellStyle name="Normal 3 3 5 6 5" xfId="12002"/>
    <cellStyle name="Normal 3 3 5 6 6" xfId="18969"/>
    <cellStyle name="Normal 3 3 5 6 7" xfId="25936"/>
    <cellStyle name="Normal 3 3 5 6 8" xfId="32904"/>
    <cellStyle name="Normal 3 3 5 7" xfId="5653"/>
    <cellStyle name="Normal 3 3 5 7 2" xfId="10463"/>
    <cellStyle name="Normal 3 3 5 7 2 2" xfId="17457"/>
    <cellStyle name="Normal 3 3 5 7 2 3" xfId="24424"/>
    <cellStyle name="Normal 3 3 5 7 2 4" xfId="31391"/>
    <cellStyle name="Normal 3 3 5 7 2 5" xfId="38360"/>
    <cellStyle name="Normal 3 3 5 7 3" xfId="15137"/>
    <cellStyle name="Normal 3 3 5 7 3 2" xfId="22104"/>
    <cellStyle name="Normal 3 3 5 7 3 3" xfId="29071"/>
    <cellStyle name="Normal 3 3 5 7 3 4" xfId="36040"/>
    <cellStyle name="Normal 3 3 5 7 4" xfId="12815"/>
    <cellStyle name="Normal 3 3 5 7 5" xfId="19782"/>
    <cellStyle name="Normal 3 3 5 7 6" xfId="26749"/>
    <cellStyle name="Normal 3 3 5 7 7" xfId="33717"/>
    <cellStyle name="Normal 3 3 5 8" xfId="6906"/>
    <cellStyle name="Normal 3 3 5 8 2" xfId="10867"/>
    <cellStyle name="Normal 3 3 5 8 2 2" xfId="17838"/>
    <cellStyle name="Normal 3 3 5 8 2 3" xfId="24805"/>
    <cellStyle name="Normal 3 3 5 8 2 4" xfId="31772"/>
    <cellStyle name="Normal 3 3 5 8 2 5" xfId="38741"/>
    <cellStyle name="Normal 3 3 5 8 3" xfId="15518"/>
    <cellStyle name="Normal 3 3 5 8 3 2" xfId="22485"/>
    <cellStyle name="Normal 3 3 5 8 3 3" xfId="29452"/>
    <cellStyle name="Normal 3 3 5 8 3 4" xfId="36421"/>
    <cellStyle name="Normal 3 3 5 8 4" xfId="13196"/>
    <cellStyle name="Normal 3 3 5 8 5" xfId="20163"/>
    <cellStyle name="Normal 3 3 5 8 6" xfId="27130"/>
    <cellStyle name="Normal 3 3 5 8 7" xfId="34099"/>
    <cellStyle name="Normal 3 3 5 9" xfId="7207"/>
    <cellStyle name="Normal 3 3 5 9 2" xfId="15691"/>
    <cellStyle name="Normal 3 3 5 9 2 2" xfId="22658"/>
    <cellStyle name="Normal 3 3 5 9 2 3" xfId="29625"/>
    <cellStyle name="Normal 3 3 5 9 2 4" xfId="36594"/>
    <cellStyle name="Normal 3 3 5 9 3" xfId="13369"/>
    <cellStyle name="Normal 3 3 5 9 4" xfId="20336"/>
    <cellStyle name="Normal 3 3 5 9 5" xfId="27303"/>
    <cellStyle name="Normal 3 3 5 9 6" xfId="34272"/>
    <cellStyle name="Normal 3 3 6" xfId="1786"/>
    <cellStyle name="Normal 3 3 6 10" xfId="13544"/>
    <cellStyle name="Normal 3 3 6 10 2" xfId="20511"/>
    <cellStyle name="Normal 3 3 6 10 3" xfId="27478"/>
    <cellStyle name="Normal 3 3 6 10 4" xfId="34447"/>
    <cellStyle name="Normal 3 3 6 11" xfId="11049"/>
    <cellStyle name="Normal 3 3 6 12" xfId="18015"/>
    <cellStyle name="Normal 3 3 6 13" xfId="24983"/>
    <cellStyle name="Normal 3 3 6 14" xfId="31951"/>
    <cellStyle name="Normal 3 3 6 2" xfId="3353"/>
    <cellStyle name="Normal 3 3 6 2 2" xfId="5664"/>
    <cellStyle name="Normal 3 3 6 2 2 2" xfId="10474"/>
    <cellStyle name="Normal 3 3 6 2 2 2 2" xfId="17468"/>
    <cellStyle name="Normal 3 3 6 2 2 2 3" xfId="24435"/>
    <cellStyle name="Normal 3 3 6 2 2 2 4" xfId="31402"/>
    <cellStyle name="Normal 3 3 6 2 2 2 5" xfId="38371"/>
    <cellStyle name="Normal 3 3 6 2 2 3" xfId="15148"/>
    <cellStyle name="Normal 3 3 6 2 2 3 2" xfId="22115"/>
    <cellStyle name="Normal 3 3 6 2 2 3 3" xfId="29082"/>
    <cellStyle name="Normal 3 3 6 2 2 3 4" xfId="36051"/>
    <cellStyle name="Normal 3 3 6 2 2 4" xfId="12826"/>
    <cellStyle name="Normal 3 3 6 2 2 5" xfId="19793"/>
    <cellStyle name="Normal 3 3 6 2 2 6" xfId="26760"/>
    <cellStyle name="Normal 3 3 6 2 2 7" xfId="33728"/>
    <cellStyle name="Normal 3 3 6 2 3" xfId="8987"/>
    <cellStyle name="Normal 3 3 6 2 3 2" xfId="16036"/>
    <cellStyle name="Normal 3 3 6 2 3 3" xfId="23003"/>
    <cellStyle name="Normal 3 3 6 2 3 4" xfId="29970"/>
    <cellStyle name="Normal 3 3 6 2 3 5" xfId="36939"/>
    <cellStyle name="Normal 3 3 6 2 4" xfId="13714"/>
    <cellStyle name="Normal 3 3 6 2 4 2" xfId="20681"/>
    <cellStyle name="Normal 3 3 6 2 4 3" xfId="27648"/>
    <cellStyle name="Normal 3 3 6 2 4 4" xfId="34617"/>
    <cellStyle name="Normal 3 3 6 2 5" xfId="11392"/>
    <cellStyle name="Normal 3 3 6 2 6" xfId="18359"/>
    <cellStyle name="Normal 3 3 6 2 7" xfId="25326"/>
    <cellStyle name="Normal 3 3 6 2 8" xfId="32294"/>
    <cellStyle name="Normal 3 3 6 3" xfId="3552"/>
    <cellStyle name="Normal 3 3 6 3 2" xfId="5665"/>
    <cellStyle name="Normal 3 3 6 3 2 2" xfId="10475"/>
    <cellStyle name="Normal 3 3 6 3 2 2 2" xfId="17469"/>
    <cellStyle name="Normal 3 3 6 3 2 2 3" xfId="24436"/>
    <cellStyle name="Normal 3 3 6 3 2 2 4" xfId="31403"/>
    <cellStyle name="Normal 3 3 6 3 2 2 5" xfId="38372"/>
    <cellStyle name="Normal 3 3 6 3 2 3" xfId="15149"/>
    <cellStyle name="Normal 3 3 6 3 2 3 2" xfId="22116"/>
    <cellStyle name="Normal 3 3 6 3 2 3 3" xfId="29083"/>
    <cellStyle name="Normal 3 3 6 3 2 3 4" xfId="36052"/>
    <cellStyle name="Normal 3 3 6 3 2 4" xfId="12827"/>
    <cellStyle name="Normal 3 3 6 3 2 5" xfId="19794"/>
    <cellStyle name="Normal 3 3 6 3 2 6" xfId="26761"/>
    <cellStyle name="Normal 3 3 6 3 2 7" xfId="33729"/>
    <cellStyle name="Normal 3 3 6 3 3" xfId="9164"/>
    <cellStyle name="Normal 3 3 6 3 3 2" xfId="16203"/>
    <cellStyle name="Normal 3 3 6 3 3 3" xfId="23170"/>
    <cellStyle name="Normal 3 3 6 3 3 4" xfId="30137"/>
    <cellStyle name="Normal 3 3 6 3 3 5" xfId="37106"/>
    <cellStyle name="Normal 3 3 6 3 4" xfId="13883"/>
    <cellStyle name="Normal 3 3 6 3 4 2" xfId="20850"/>
    <cellStyle name="Normal 3 3 6 3 4 3" xfId="27817"/>
    <cellStyle name="Normal 3 3 6 3 4 4" xfId="34786"/>
    <cellStyle name="Normal 3 3 6 3 5" xfId="11561"/>
    <cellStyle name="Normal 3 3 6 3 6" xfId="18528"/>
    <cellStyle name="Normal 3 3 6 3 7" xfId="25495"/>
    <cellStyle name="Normal 3 3 6 3 8" xfId="32463"/>
    <cellStyle name="Normal 3 3 6 4" xfId="3727"/>
    <cellStyle name="Normal 3 3 6 4 2" xfId="5666"/>
    <cellStyle name="Normal 3 3 6 4 2 2" xfId="10476"/>
    <cellStyle name="Normal 3 3 6 4 2 2 2" xfId="17470"/>
    <cellStyle name="Normal 3 3 6 4 2 2 3" xfId="24437"/>
    <cellStyle name="Normal 3 3 6 4 2 2 4" xfId="31404"/>
    <cellStyle name="Normal 3 3 6 4 2 2 5" xfId="38373"/>
    <cellStyle name="Normal 3 3 6 4 2 3" xfId="15150"/>
    <cellStyle name="Normal 3 3 6 4 2 3 2" xfId="22117"/>
    <cellStyle name="Normal 3 3 6 4 2 3 3" xfId="29084"/>
    <cellStyle name="Normal 3 3 6 4 2 3 4" xfId="36053"/>
    <cellStyle name="Normal 3 3 6 4 2 4" xfId="12828"/>
    <cellStyle name="Normal 3 3 6 4 2 5" xfId="19795"/>
    <cellStyle name="Normal 3 3 6 4 2 6" xfId="26762"/>
    <cellStyle name="Normal 3 3 6 4 2 7" xfId="33730"/>
    <cellStyle name="Normal 3 3 6 4 3" xfId="9335"/>
    <cellStyle name="Normal 3 3 6 4 3 2" xfId="16374"/>
    <cellStyle name="Normal 3 3 6 4 3 3" xfId="23341"/>
    <cellStyle name="Normal 3 3 6 4 3 4" xfId="30308"/>
    <cellStyle name="Normal 3 3 6 4 3 5" xfId="37277"/>
    <cellStyle name="Normal 3 3 6 4 4" xfId="14054"/>
    <cellStyle name="Normal 3 3 6 4 4 2" xfId="21021"/>
    <cellStyle name="Normal 3 3 6 4 4 3" xfId="27988"/>
    <cellStyle name="Normal 3 3 6 4 4 4" xfId="34957"/>
    <cellStyle name="Normal 3 3 6 4 5" xfId="11732"/>
    <cellStyle name="Normal 3 3 6 4 6" xfId="18699"/>
    <cellStyle name="Normal 3 3 6 4 7" xfId="25666"/>
    <cellStyle name="Normal 3 3 6 4 8" xfId="32634"/>
    <cellStyle name="Normal 3 3 6 5" xfId="4004"/>
    <cellStyle name="Normal 3 3 6 5 2" xfId="5667"/>
    <cellStyle name="Normal 3 3 6 5 2 2" xfId="10477"/>
    <cellStyle name="Normal 3 3 6 5 2 2 2" xfId="17471"/>
    <cellStyle name="Normal 3 3 6 5 2 2 3" xfId="24438"/>
    <cellStyle name="Normal 3 3 6 5 2 2 4" xfId="31405"/>
    <cellStyle name="Normal 3 3 6 5 2 2 5" xfId="38374"/>
    <cellStyle name="Normal 3 3 6 5 2 3" xfId="15151"/>
    <cellStyle name="Normal 3 3 6 5 2 3 2" xfId="22118"/>
    <cellStyle name="Normal 3 3 6 5 2 3 3" xfId="29085"/>
    <cellStyle name="Normal 3 3 6 5 2 3 4" xfId="36054"/>
    <cellStyle name="Normal 3 3 6 5 2 4" xfId="12829"/>
    <cellStyle name="Normal 3 3 6 5 2 5" xfId="19796"/>
    <cellStyle name="Normal 3 3 6 5 2 6" xfId="26763"/>
    <cellStyle name="Normal 3 3 6 5 2 7" xfId="33731"/>
    <cellStyle name="Normal 3 3 6 5 3" xfId="9610"/>
    <cellStyle name="Normal 3 3 6 5 3 2" xfId="16646"/>
    <cellStyle name="Normal 3 3 6 5 3 3" xfId="23613"/>
    <cellStyle name="Normal 3 3 6 5 3 4" xfId="30580"/>
    <cellStyle name="Normal 3 3 6 5 3 5" xfId="37549"/>
    <cellStyle name="Normal 3 3 6 5 4" xfId="14326"/>
    <cellStyle name="Normal 3 3 6 5 4 2" xfId="21293"/>
    <cellStyle name="Normal 3 3 6 5 4 3" xfId="28260"/>
    <cellStyle name="Normal 3 3 6 5 4 4" xfId="35229"/>
    <cellStyle name="Normal 3 3 6 5 5" xfId="12004"/>
    <cellStyle name="Normal 3 3 6 5 6" xfId="18971"/>
    <cellStyle name="Normal 3 3 6 5 7" xfId="25938"/>
    <cellStyle name="Normal 3 3 6 5 8" xfId="32906"/>
    <cellStyle name="Normal 3 3 6 6" xfId="5663"/>
    <cellStyle name="Normal 3 3 6 6 2" xfId="10473"/>
    <cellStyle name="Normal 3 3 6 6 2 2" xfId="17467"/>
    <cellStyle name="Normal 3 3 6 6 2 3" xfId="24434"/>
    <cellStyle name="Normal 3 3 6 6 2 4" xfId="31401"/>
    <cellStyle name="Normal 3 3 6 6 2 5" xfId="38370"/>
    <cellStyle name="Normal 3 3 6 6 3" xfId="15147"/>
    <cellStyle name="Normal 3 3 6 6 3 2" xfId="22114"/>
    <cellStyle name="Normal 3 3 6 6 3 3" xfId="29081"/>
    <cellStyle name="Normal 3 3 6 6 3 4" xfId="36050"/>
    <cellStyle name="Normal 3 3 6 6 4" xfId="12825"/>
    <cellStyle name="Normal 3 3 6 6 5" xfId="19792"/>
    <cellStyle name="Normal 3 3 6 6 6" xfId="26759"/>
    <cellStyle name="Normal 3 3 6 6 7" xfId="33727"/>
    <cellStyle name="Normal 3 3 6 7" xfId="6908"/>
    <cellStyle name="Normal 3 3 6 7 2" xfId="10869"/>
    <cellStyle name="Normal 3 3 6 7 2 2" xfId="17840"/>
    <cellStyle name="Normal 3 3 6 7 2 3" xfId="24807"/>
    <cellStyle name="Normal 3 3 6 7 2 4" xfId="31774"/>
    <cellStyle name="Normal 3 3 6 7 2 5" xfId="38743"/>
    <cellStyle name="Normal 3 3 6 7 3" xfId="15520"/>
    <cellStyle name="Normal 3 3 6 7 3 2" xfId="22487"/>
    <cellStyle name="Normal 3 3 6 7 3 3" xfId="29454"/>
    <cellStyle name="Normal 3 3 6 7 3 4" xfId="36423"/>
    <cellStyle name="Normal 3 3 6 7 4" xfId="13198"/>
    <cellStyle name="Normal 3 3 6 7 5" xfId="20165"/>
    <cellStyle name="Normal 3 3 6 7 6" xfId="27132"/>
    <cellStyle name="Normal 3 3 6 7 7" xfId="34101"/>
    <cellStyle name="Normal 3 3 6 8" xfId="7209"/>
    <cellStyle name="Normal 3 3 6 8 2" xfId="15693"/>
    <cellStyle name="Normal 3 3 6 8 2 2" xfId="22660"/>
    <cellStyle name="Normal 3 3 6 8 2 3" xfId="29627"/>
    <cellStyle name="Normal 3 3 6 8 2 4" xfId="36596"/>
    <cellStyle name="Normal 3 3 6 8 3" xfId="13371"/>
    <cellStyle name="Normal 3 3 6 8 4" xfId="20338"/>
    <cellStyle name="Normal 3 3 6 8 5" xfId="27305"/>
    <cellStyle name="Normal 3 3 6 8 6" xfId="34274"/>
    <cellStyle name="Normal 3 3 6 9" xfId="8125"/>
    <cellStyle name="Normal 3 3 6 9 2" xfId="15866"/>
    <cellStyle name="Normal 3 3 6 9 2 2" xfId="22833"/>
    <cellStyle name="Normal 3 3 6 9 2 3" xfId="29800"/>
    <cellStyle name="Normal 3 3 6 9 2 4" xfId="36769"/>
    <cellStyle name="Normal 3 3 6 9 3" xfId="11222"/>
    <cellStyle name="Normal 3 3 6 9 4" xfId="18189"/>
    <cellStyle name="Normal 3 3 6 9 5" xfId="25156"/>
    <cellStyle name="Normal 3 3 6 9 6" xfId="32124"/>
    <cellStyle name="Normal 3 3 7" xfId="5640"/>
    <cellStyle name="Normal 3 3 8" xfId="6903"/>
    <cellStyle name="Normal 3 3 8 2" xfId="10864"/>
    <cellStyle name="Normal 3 3 8 2 2" xfId="17835"/>
    <cellStyle name="Normal 3 3 8 2 3" xfId="24802"/>
    <cellStyle name="Normal 3 3 8 2 4" xfId="31769"/>
    <cellStyle name="Normal 3 3 8 2 5" xfId="38738"/>
    <cellStyle name="Normal 3 3 8 3" xfId="15515"/>
    <cellStyle name="Normal 3 3 8 3 2" xfId="22482"/>
    <cellStyle name="Normal 3 3 8 3 3" xfId="29449"/>
    <cellStyle name="Normal 3 3 8 3 4" xfId="36418"/>
    <cellStyle name="Normal 3 3 8 4" xfId="13193"/>
    <cellStyle name="Normal 3 3 8 5" xfId="20160"/>
    <cellStyle name="Normal 3 3 8 6" xfId="27127"/>
    <cellStyle name="Normal 3 3 8 7" xfId="34096"/>
    <cellStyle name="Normal 3 3 9" xfId="7204"/>
    <cellStyle name="Normal 3 3 9 2" xfId="15688"/>
    <cellStyle name="Normal 3 3 9 2 2" xfId="22655"/>
    <cellStyle name="Normal 3 3 9 2 3" xfId="29622"/>
    <cellStyle name="Normal 3 3 9 2 4" xfId="36591"/>
    <cellStyle name="Normal 3 3 9 3" xfId="13366"/>
    <cellStyle name="Normal 3 3 9 4" xfId="20333"/>
    <cellStyle name="Normal 3 3 9 5" xfId="27300"/>
    <cellStyle name="Normal 3 3 9 6" xfId="34269"/>
    <cellStyle name="Normal 3 4" xfId="1787"/>
    <cellStyle name="Normal 3 4 10" xfId="5668"/>
    <cellStyle name="Normal 3 4 10 2" xfId="10478"/>
    <cellStyle name="Normal 3 4 10 2 2" xfId="17472"/>
    <cellStyle name="Normal 3 4 10 2 3" xfId="24439"/>
    <cellStyle name="Normal 3 4 10 2 4" xfId="31406"/>
    <cellStyle name="Normal 3 4 10 2 5" xfId="38375"/>
    <cellStyle name="Normal 3 4 10 3" xfId="15152"/>
    <cellStyle name="Normal 3 4 10 3 2" xfId="22119"/>
    <cellStyle name="Normal 3 4 10 3 3" xfId="29086"/>
    <cellStyle name="Normal 3 4 10 3 4" xfId="36055"/>
    <cellStyle name="Normal 3 4 10 4" xfId="12830"/>
    <cellStyle name="Normal 3 4 10 5" xfId="19797"/>
    <cellStyle name="Normal 3 4 10 6" xfId="26764"/>
    <cellStyle name="Normal 3 4 10 7" xfId="33732"/>
    <cellStyle name="Normal 3 4 11" xfId="6909"/>
    <cellStyle name="Normal 3 4 11 2" xfId="10870"/>
    <cellStyle name="Normal 3 4 11 2 2" xfId="17841"/>
    <cellStyle name="Normal 3 4 11 2 3" xfId="24808"/>
    <cellStyle name="Normal 3 4 11 2 4" xfId="31775"/>
    <cellStyle name="Normal 3 4 11 2 5" xfId="38744"/>
    <cellStyle name="Normal 3 4 11 3" xfId="15521"/>
    <cellStyle name="Normal 3 4 11 3 2" xfId="22488"/>
    <cellStyle name="Normal 3 4 11 3 3" xfId="29455"/>
    <cellStyle name="Normal 3 4 11 3 4" xfId="36424"/>
    <cellStyle name="Normal 3 4 11 4" xfId="13199"/>
    <cellStyle name="Normal 3 4 11 5" xfId="20166"/>
    <cellStyle name="Normal 3 4 11 6" xfId="27133"/>
    <cellStyle name="Normal 3 4 11 7" xfId="34102"/>
    <cellStyle name="Normal 3 4 12" xfId="7210"/>
    <cellStyle name="Normal 3 4 12 2" xfId="15694"/>
    <cellStyle name="Normal 3 4 12 2 2" xfId="22661"/>
    <cellStyle name="Normal 3 4 12 2 3" xfId="29628"/>
    <cellStyle name="Normal 3 4 12 2 4" xfId="36597"/>
    <cellStyle name="Normal 3 4 12 3" xfId="13372"/>
    <cellStyle name="Normal 3 4 12 4" xfId="20339"/>
    <cellStyle name="Normal 3 4 12 5" xfId="27306"/>
    <cellStyle name="Normal 3 4 12 6" xfId="34275"/>
    <cellStyle name="Normal 3 4 13" xfId="8126"/>
    <cellStyle name="Normal 3 4 13 2" xfId="15867"/>
    <cellStyle name="Normal 3 4 13 2 2" xfId="22834"/>
    <cellStyle name="Normal 3 4 13 2 3" xfId="29801"/>
    <cellStyle name="Normal 3 4 13 2 4" xfId="36770"/>
    <cellStyle name="Normal 3 4 13 3" xfId="11223"/>
    <cellStyle name="Normal 3 4 13 4" xfId="18190"/>
    <cellStyle name="Normal 3 4 13 5" xfId="25157"/>
    <cellStyle name="Normal 3 4 13 6" xfId="32125"/>
    <cellStyle name="Normal 3 4 14" xfId="13545"/>
    <cellStyle name="Normal 3 4 14 2" xfId="20512"/>
    <cellStyle name="Normal 3 4 14 3" xfId="27479"/>
    <cellStyle name="Normal 3 4 14 4" xfId="34448"/>
    <cellStyle name="Normal 3 4 15" xfId="11050"/>
    <cellStyle name="Normal 3 4 16" xfId="18016"/>
    <cellStyle name="Normal 3 4 17" xfId="24984"/>
    <cellStyle name="Normal 3 4 18" xfId="31952"/>
    <cellStyle name="Normal 3 4 2" xfId="1788"/>
    <cellStyle name="Normal 3 4 2 2" xfId="5669"/>
    <cellStyle name="Normal 3 4 2 3" xfId="8127"/>
    <cellStyle name="Normal 3 4 3" xfId="1789"/>
    <cellStyle name="Normal 3 4 3 10" xfId="8128"/>
    <cellStyle name="Normal 3 4 3 10 2" xfId="15868"/>
    <cellStyle name="Normal 3 4 3 10 2 2" xfId="22835"/>
    <cellStyle name="Normal 3 4 3 10 2 3" xfId="29802"/>
    <cellStyle name="Normal 3 4 3 10 2 4" xfId="36771"/>
    <cellStyle name="Normal 3 4 3 10 3" xfId="11224"/>
    <cellStyle name="Normal 3 4 3 10 4" xfId="18191"/>
    <cellStyle name="Normal 3 4 3 10 5" xfId="25158"/>
    <cellStyle name="Normal 3 4 3 10 6" xfId="32126"/>
    <cellStyle name="Normal 3 4 3 11" xfId="13546"/>
    <cellStyle name="Normal 3 4 3 11 2" xfId="20513"/>
    <cellStyle name="Normal 3 4 3 11 3" xfId="27480"/>
    <cellStyle name="Normal 3 4 3 11 4" xfId="34449"/>
    <cellStyle name="Normal 3 4 3 12" xfId="11051"/>
    <cellStyle name="Normal 3 4 3 13" xfId="18017"/>
    <cellStyle name="Normal 3 4 3 14" xfId="24985"/>
    <cellStyle name="Normal 3 4 3 15" xfId="31953"/>
    <cellStyle name="Normal 3 4 3 2" xfId="1790"/>
    <cellStyle name="Normal 3 4 3 2 10" xfId="13547"/>
    <cellStyle name="Normal 3 4 3 2 10 2" xfId="20514"/>
    <cellStyle name="Normal 3 4 3 2 10 3" xfId="27481"/>
    <cellStyle name="Normal 3 4 3 2 10 4" xfId="34450"/>
    <cellStyle name="Normal 3 4 3 2 11" xfId="11052"/>
    <cellStyle name="Normal 3 4 3 2 12" xfId="18018"/>
    <cellStyle name="Normal 3 4 3 2 13" xfId="24986"/>
    <cellStyle name="Normal 3 4 3 2 14" xfId="31954"/>
    <cellStyle name="Normal 3 4 3 2 2" xfId="3356"/>
    <cellStyle name="Normal 3 4 3 2 2 2" xfId="5672"/>
    <cellStyle name="Normal 3 4 3 2 2 2 2" xfId="10481"/>
    <cellStyle name="Normal 3 4 3 2 2 2 2 2" xfId="17475"/>
    <cellStyle name="Normal 3 4 3 2 2 2 2 3" xfId="24442"/>
    <cellStyle name="Normal 3 4 3 2 2 2 2 4" xfId="31409"/>
    <cellStyle name="Normal 3 4 3 2 2 2 2 5" xfId="38378"/>
    <cellStyle name="Normal 3 4 3 2 2 2 3" xfId="15155"/>
    <cellStyle name="Normal 3 4 3 2 2 2 3 2" xfId="22122"/>
    <cellStyle name="Normal 3 4 3 2 2 2 3 3" xfId="29089"/>
    <cellStyle name="Normal 3 4 3 2 2 2 3 4" xfId="36058"/>
    <cellStyle name="Normal 3 4 3 2 2 2 4" xfId="12833"/>
    <cellStyle name="Normal 3 4 3 2 2 2 5" xfId="19800"/>
    <cellStyle name="Normal 3 4 3 2 2 2 6" xfId="26767"/>
    <cellStyle name="Normal 3 4 3 2 2 2 7" xfId="33735"/>
    <cellStyle name="Normal 3 4 3 2 2 3" xfId="8990"/>
    <cellStyle name="Normal 3 4 3 2 2 3 2" xfId="16039"/>
    <cellStyle name="Normal 3 4 3 2 2 3 3" xfId="23006"/>
    <cellStyle name="Normal 3 4 3 2 2 3 4" xfId="29973"/>
    <cellStyle name="Normal 3 4 3 2 2 3 5" xfId="36942"/>
    <cellStyle name="Normal 3 4 3 2 2 4" xfId="13717"/>
    <cellStyle name="Normal 3 4 3 2 2 4 2" xfId="20684"/>
    <cellStyle name="Normal 3 4 3 2 2 4 3" xfId="27651"/>
    <cellStyle name="Normal 3 4 3 2 2 4 4" xfId="34620"/>
    <cellStyle name="Normal 3 4 3 2 2 5" xfId="11395"/>
    <cellStyle name="Normal 3 4 3 2 2 6" xfId="18362"/>
    <cellStyle name="Normal 3 4 3 2 2 7" xfId="25329"/>
    <cellStyle name="Normal 3 4 3 2 2 8" xfId="32297"/>
    <cellStyle name="Normal 3 4 3 2 3" xfId="3555"/>
    <cellStyle name="Normal 3 4 3 2 3 2" xfId="5673"/>
    <cellStyle name="Normal 3 4 3 2 3 2 2" xfId="10482"/>
    <cellStyle name="Normal 3 4 3 2 3 2 2 2" xfId="17476"/>
    <cellStyle name="Normal 3 4 3 2 3 2 2 3" xfId="24443"/>
    <cellStyle name="Normal 3 4 3 2 3 2 2 4" xfId="31410"/>
    <cellStyle name="Normal 3 4 3 2 3 2 2 5" xfId="38379"/>
    <cellStyle name="Normal 3 4 3 2 3 2 3" xfId="15156"/>
    <cellStyle name="Normal 3 4 3 2 3 2 3 2" xfId="22123"/>
    <cellStyle name="Normal 3 4 3 2 3 2 3 3" xfId="29090"/>
    <cellStyle name="Normal 3 4 3 2 3 2 3 4" xfId="36059"/>
    <cellStyle name="Normal 3 4 3 2 3 2 4" xfId="12834"/>
    <cellStyle name="Normal 3 4 3 2 3 2 5" xfId="19801"/>
    <cellStyle name="Normal 3 4 3 2 3 2 6" xfId="26768"/>
    <cellStyle name="Normal 3 4 3 2 3 2 7" xfId="33736"/>
    <cellStyle name="Normal 3 4 3 2 3 3" xfId="9167"/>
    <cellStyle name="Normal 3 4 3 2 3 3 2" xfId="16206"/>
    <cellStyle name="Normal 3 4 3 2 3 3 3" xfId="23173"/>
    <cellStyle name="Normal 3 4 3 2 3 3 4" xfId="30140"/>
    <cellStyle name="Normal 3 4 3 2 3 3 5" xfId="37109"/>
    <cellStyle name="Normal 3 4 3 2 3 4" xfId="13886"/>
    <cellStyle name="Normal 3 4 3 2 3 4 2" xfId="20853"/>
    <cellStyle name="Normal 3 4 3 2 3 4 3" xfId="27820"/>
    <cellStyle name="Normal 3 4 3 2 3 4 4" xfId="34789"/>
    <cellStyle name="Normal 3 4 3 2 3 5" xfId="11564"/>
    <cellStyle name="Normal 3 4 3 2 3 6" xfId="18531"/>
    <cellStyle name="Normal 3 4 3 2 3 7" xfId="25498"/>
    <cellStyle name="Normal 3 4 3 2 3 8" xfId="32466"/>
    <cellStyle name="Normal 3 4 3 2 4" xfId="3730"/>
    <cellStyle name="Normal 3 4 3 2 4 2" xfId="5674"/>
    <cellStyle name="Normal 3 4 3 2 4 2 2" xfId="10483"/>
    <cellStyle name="Normal 3 4 3 2 4 2 2 2" xfId="17477"/>
    <cellStyle name="Normal 3 4 3 2 4 2 2 3" xfId="24444"/>
    <cellStyle name="Normal 3 4 3 2 4 2 2 4" xfId="31411"/>
    <cellStyle name="Normal 3 4 3 2 4 2 2 5" xfId="38380"/>
    <cellStyle name="Normal 3 4 3 2 4 2 3" xfId="15157"/>
    <cellStyle name="Normal 3 4 3 2 4 2 3 2" xfId="22124"/>
    <cellStyle name="Normal 3 4 3 2 4 2 3 3" xfId="29091"/>
    <cellStyle name="Normal 3 4 3 2 4 2 3 4" xfId="36060"/>
    <cellStyle name="Normal 3 4 3 2 4 2 4" xfId="12835"/>
    <cellStyle name="Normal 3 4 3 2 4 2 5" xfId="19802"/>
    <cellStyle name="Normal 3 4 3 2 4 2 6" xfId="26769"/>
    <cellStyle name="Normal 3 4 3 2 4 2 7" xfId="33737"/>
    <cellStyle name="Normal 3 4 3 2 4 3" xfId="9338"/>
    <cellStyle name="Normal 3 4 3 2 4 3 2" xfId="16377"/>
    <cellStyle name="Normal 3 4 3 2 4 3 3" xfId="23344"/>
    <cellStyle name="Normal 3 4 3 2 4 3 4" xfId="30311"/>
    <cellStyle name="Normal 3 4 3 2 4 3 5" xfId="37280"/>
    <cellStyle name="Normal 3 4 3 2 4 4" xfId="14057"/>
    <cellStyle name="Normal 3 4 3 2 4 4 2" xfId="21024"/>
    <cellStyle name="Normal 3 4 3 2 4 4 3" xfId="27991"/>
    <cellStyle name="Normal 3 4 3 2 4 4 4" xfId="34960"/>
    <cellStyle name="Normal 3 4 3 2 4 5" xfId="11735"/>
    <cellStyle name="Normal 3 4 3 2 4 6" xfId="18702"/>
    <cellStyle name="Normal 3 4 3 2 4 7" xfId="25669"/>
    <cellStyle name="Normal 3 4 3 2 4 8" xfId="32637"/>
    <cellStyle name="Normal 3 4 3 2 5" xfId="4008"/>
    <cellStyle name="Normal 3 4 3 2 5 2" xfId="5675"/>
    <cellStyle name="Normal 3 4 3 2 5 2 2" xfId="10484"/>
    <cellStyle name="Normal 3 4 3 2 5 2 2 2" xfId="17478"/>
    <cellStyle name="Normal 3 4 3 2 5 2 2 3" xfId="24445"/>
    <cellStyle name="Normal 3 4 3 2 5 2 2 4" xfId="31412"/>
    <cellStyle name="Normal 3 4 3 2 5 2 2 5" xfId="38381"/>
    <cellStyle name="Normal 3 4 3 2 5 2 3" xfId="15158"/>
    <cellStyle name="Normal 3 4 3 2 5 2 3 2" xfId="22125"/>
    <cellStyle name="Normal 3 4 3 2 5 2 3 3" xfId="29092"/>
    <cellStyle name="Normal 3 4 3 2 5 2 3 4" xfId="36061"/>
    <cellStyle name="Normal 3 4 3 2 5 2 4" xfId="12836"/>
    <cellStyle name="Normal 3 4 3 2 5 2 5" xfId="19803"/>
    <cellStyle name="Normal 3 4 3 2 5 2 6" xfId="26770"/>
    <cellStyle name="Normal 3 4 3 2 5 2 7" xfId="33738"/>
    <cellStyle name="Normal 3 4 3 2 5 3" xfId="9614"/>
    <cellStyle name="Normal 3 4 3 2 5 3 2" xfId="16650"/>
    <cellStyle name="Normal 3 4 3 2 5 3 3" xfId="23617"/>
    <cellStyle name="Normal 3 4 3 2 5 3 4" xfId="30584"/>
    <cellStyle name="Normal 3 4 3 2 5 3 5" xfId="37553"/>
    <cellStyle name="Normal 3 4 3 2 5 4" xfId="14330"/>
    <cellStyle name="Normal 3 4 3 2 5 4 2" xfId="21297"/>
    <cellStyle name="Normal 3 4 3 2 5 4 3" xfId="28264"/>
    <cellStyle name="Normal 3 4 3 2 5 4 4" xfId="35233"/>
    <cellStyle name="Normal 3 4 3 2 5 5" xfId="12008"/>
    <cellStyle name="Normal 3 4 3 2 5 6" xfId="18975"/>
    <cellStyle name="Normal 3 4 3 2 5 7" xfId="25942"/>
    <cellStyle name="Normal 3 4 3 2 5 8" xfId="32910"/>
    <cellStyle name="Normal 3 4 3 2 6" xfId="5671"/>
    <cellStyle name="Normal 3 4 3 2 6 2" xfId="10480"/>
    <cellStyle name="Normal 3 4 3 2 6 2 2" xfId="17474"/>
    <cellStyle name="Normal 3 4 3 2 6 2 3" xfId="24441"/>
    <cellStyle name="Normal 3 4 3 2 6 2 4" xfId="31408"/>
    <cellStyle name="Normal 3 4 3 2 6 2 5" xfId="38377"/>
    <cellStyle name="Normal 3 4 3 2 6 3" xfId="15154"/>
    <cellStyle name="Normal 3 4 3 2 6 3 2" xfId="22121"/>
    <cellStyle name="Normal 3 4 3 2 6 3 3" xfId="29088"/>
    <cellStyle name="Normal 3 4 3 2 6 3 4" xfId="36057"/>
    <cellStyle name="Normal 3 4 3 2 6 4" xfId="12832"/>
    <cellStyle name="Normal 3 4 3 2 6 5" xfId="19799"/>
    <cellStyle name="Normal 3 4 3 2 6 6" xfId="26766"/>
    <cellStyle name="Normal 3 4 3 2 6 7" xfId="33734"/>
    <cellStyle name="Normal 3 4 3 2 7" xfId="6911"/>
    <cellStyle name="Normal 3 4 3 2 7 2" xfId="10872"/>
    <cellStyle name="Normal 3 4 3 2 7 2 2" xfId="17843"/>
    <cellStyle name="Normal 3 4 3 2 7 2 3" xfId="24810"/>
    <cellStyle name="Normal 3 4 3 2 7 2 4" xfId="31777"/>
    <cellStyle name="Normal 3 4 3 2 7 2 5" xfId="38746"/>
    <cellStyle name="Normal 3 4 3 2 7 3" xfId="15523"/>
    <cellStyle name="Normal 3 4 3 2 7 3 2" xfId="22490"/>
    <cellStyle name="Normal 3 4 3 2 7 3 3" xfId="29457"/>
    <cellStyle name="Normal 3 4 3 2 7 3 4" xfId="36426"/>
    <cellStyle name="Normal 3 4 3 2 7 4" xfId="13201"/>
    <cellStyle name="Normal 3 4 3 2 7 5" xfId="20168"/>
    <cellStyle name="Normal 3 4 3 2 7 6" xfId="27135"/>
    <cellStyle name="Normal 3 4 3 2 7 7" xfId="34104"/>
    <cellStyle name="Normal 3 4 3 2 8" xfId="7212"/>
    <cellStyle name="Normal 3 4 3 2 8 2" xfId="15696"/>
    <cellStyle name="Normal 3 4 3 2 8 2 2" xfId="22663"/>
    <cellStyle name="Normal 3 4 3 2 8 2 3" xfId="29630"/>
    <cellStyle name="Normal 3 4 3 2 8 2 4" xfId="36599"/>
    <cellStyle name="Normal 3 4 3 2 8 3" xfId="13374"/>
    <cellStyle name="Normal 3 4 3 2 8 4" xfId="20341"/>
    <cellStyle name="Normal 3 4 3 2 8 5" xfId="27308"/>
    <cellStyle name="Normal 3 4 3 2 8 6" xfId="34277"/>
    <cellStyle name="Normal 3 4 3 2 9" xfId="8129"/>
    <cellStyle name="Normal 3 4 3 2 9 2" xfId="15869"/>
    <cellStyle name="Normal 3 4 3 2 9 2 2" xfId="22836"/>
    <cellStyle name="Normal 3 4 3 2 9 2 3" xfId="29803"/>
    <cellStyle name="Normal 3 4 3 2 9 2 4" xfId="36772"/>
    <cellStyle name="Normal 3 4 3 2 9 3" xfId="11225"/>
    <cellStyle name="Normal 3 4 3 2 9 4" xfId="18192"/>
    <cellStyle name="Normal 3 4 3 2 9 5" xfId="25159"/>
    <cellStyle name="Normal 3 4 3 2 9 6" xfId="32127"/>
    <cellStyle name="Normal 3 4 3 3" xfId="3355"/>
    <cellStyle name="Normal 3 4 3 3 2" xfId="5676"/>
    <cellStyle name="Normal 3 4 3 3 2 2" xfId="10485"/>
    <cellStyle name="Normal 3 4 3 3 2 2 2" xfId="17479"/>
    <cellStyle name="Normal 3 4 3 3 2 2 3" xfId="24446"/>
    <cellStyle name="Normal 3 4 3 3 2 2 4" xfId="31413"/>
    <cellStyle name="Normal 3 4 3 3 2 2 5" xfId="38382"/>
    <cellStyle name="Normal 3 4 3 3 2 3" xfId="15159"/>
    <cellStyle name="Normal 3 4 3 3 2 3 2" xfId="22126"/>
    <cellStyle name="Normal 3 4 3 3 2 3 3" xfId="29093"/>
    <cellStyle name="Normal 3 4 3 3 2 3 4" xfId="36062"/>
    <cellStyle name="Normal 3 4 3 3 2 4" xfId="12837"/>
    <cellStyle name="Normal 3 4 3 3 2 5" xfId="19804"/>
    <cellStyle name="Normal 3 4 3 3 2 6" xfId="26771"/>
    <cellStyle name="Normal 3 4 3 3 2 7" xfId="33739"/>
    <cellStyle name="Normal 3 4 3 3 3" xfId="8989"/>
    <cellStyle name="Normal 3 4 3 3 3 2" xfId="16038"/>
    <cellStyle name="Normal 3 4 3 3 3 3" xfId="23005"/>
    <cellStyle name="Normal 3 4 3 3 3 4" xfId="29972"/>
    <cellStyle name="Normal 3 4 3 3 3 5" xfId="36941"/>
    <cellStyle name="Normal 3 4 3 3 4" xfId="13716"/>
    <cellStyle name="Normal 3 4 3 3 4 2" xfId="20683"/>
    <cellStyle name="Normal 3 4 3 3 4 3" xfId="27650"/>
    <cellStyle name="Normal 3 4 3 3 4 4" xfId="34619"/>
    <cellStyle name="Normal 3 4 3 3 5" xfId="11394"/>
    <cellStyle name="Normal 3 4 3 3 6" xfId="18361"/>
    <cellStyle name="Normal 3 4 3 3 7" xfId="25328"/>
    <cellStyle name="Normal 3 4 3 3 8" xfId="32296"/>
    <cellStyle name="Normal 3 4 3 4" xfId="3554"/>
    <cellStyle name="Normal 3 4 3 4 2" xfId="5677"/>
    <cellStyle name="Normal 3 4 3 4 2 2" xfId="10486"/>
    <cellStyle name="Normal 3 4 3 4 2 2 2" xfId="17480"/>
    <cellStyle name="Normal 3 4 3 4 2 2 3" xfId="24447"/>
    <cellStyle name="Normal 3 4 3 4 2 2 4" xfId="31414"/>
    <cellStyle name="Normal 3 4 3 4 2 2 5" xfId="38383"/>
    <cellStyle name="Normal 3 4 3 4 2 3" xfId="15160"/>
    <cellStyle name="Normal 3 4 3 4 2 3 2" xfId="22127"/>
    <cellStyle name="Normal 3 4 3 4 2 3 3" xfId="29094"/>
    <cellStyle name="Normal 3 4 3 4 2 3 4" xfId="36063"/>
    <cellStyle name="Normal 3 4 3 4 2 4" xfId="12838"/>
    <cellStyle name="Normal 3 4 3 4 2 5" xfId="19805"/>
    <cellStyle name="Normal 3 4 3 4 2 6" xfId="26772"/>
    <cellStyle name="Normal 3 4 3 4 2 7" xfId="33740"/>
    <cellStyle name="Normal 3 4 3 4 3" xfId="9166"/>
    <cellStyle name="Normal 3 4 3 4 3 2" xfId="16205"/>
    <cellStyle name="Normal 3 4 3 4 3 3" xfId="23172"/>
    <cellStyle name="Normal 3 4 3 4 3 4" xfId="30139"/>
    <cellStyle name="Normal 3 4 3 4 3 5" xfId="37108"/>
    <cellStyle name="Normal 3 4 3 4 4" xfId="13885"/>
    <cellStyle name="Normal 3 4 3 4 4 2" xfId="20852"/>
    <cellStyle name="Normal 3 4 3 4 4 3" xfId="27819"/>
    <cellStyle name="Normal 3 4 3 4 4 4" xfId="34788"/>
    <cellStyle name="Normal 3 4 3 4 5" xfId="11563"/>
    <cellStyle name="Normal 3 4 3 4 6" xfId="18530"/>
    <cellStyle name="Normal 3 4 3 4 7" xfId="25497"/>
    <cellStyle name="Normal 3 4 3 4 8" xfId="32465"/>
    <cellStyle name="Normal 3 4 3 5" xfId="3729"/>
    <cellStyle name="Normal 3 4 3 5 2" xfId="5678"/>
    <cellStyle name="Normal 3 4 3 5 2 2" xfId="10487"/>
    <cellStyle name="Normal 3 4 3 5 2 2 2" xfId="17481"/>
    <cellStyle name="Normal 3 4 3 5 2 2 3" xfId="24448"/>
    <cellStyle name="Normal 3 4 3 5 2 2 4" xfId="31415"/>
    <cellStyle name="Normal 3 4 3 5 2 2 5" xfId="38384"/>
    <cellStyle name="Normal 3 4 3 5 2 3" xfId="15161"/>
    <cellStyle name="Normal 3 4 3 5 2 3 2" xfId="22128"/>
    <cellStyle name="Normal 3 4 3 5 2 3 3" xfId="29095"/>
    <cellStyle name="Normal 3 4 3 5 2 3 4" xfId="36064"/>
    <cellStyle name="Normal 3 4 3 5 2 4" xfId="12839"/>
    <cellStyle name="Normal 3 4 3 5 2 5" xfId="19806"/>
    <cellStyle name="Normal 3 4 3 5 2 6" xfId="26773"/>
    <cellStyle name="Normal 3 4 3 5 2 7" xfId="33741"/>
    <cellStyle name="Normal 3 4 3 5 3" xfId="9337"/>
    <cellStyle name="Normal 3 4 3 5 3 2" xfId="16376"/>
    <cellStyle name="Normal 3 4 3 5 3 3" xfId="23343"/>
    <cellStyle name="Normal 3 4 3 5 3 4" xfId="30310"/>
    <cellStyle name="Normal 3 4 3 5 3 5" xfId="37279"/>
    <cellStyle name="Normal 3 4 3 5 4" xfId="14056"/>
    <cellStyle name="Normal 3 4 3 5 4 2" xfId="21023"/>
    <cellStyle name="Normal 3 4 3 5 4 3" xfId="27990"/>
    <cellStyle name="Normal 3 4 3 5 4 4" xfId="34959"/>
    <cellStyle name="Normal 3 4 3 5 5" xfId="11734"/>
    <cellStyle name="Normal 3 4 3 5 6" xfId="18701"/>
    <cellStyle name="Normal 3 4 3 5 7" xfId="25668"/>
    <cellStyle name="Normal 3 4 3 5 8" xfId="32636"/>
    <cellStyle name="Normal 3 4 3 6" xfId="4007"/>
    <cellStyle name="Normal 3 4 3 6 2" xfId="5679"/>
    <cellStyle name="Normal 3 4 3 6 2 2" xfId="10488"/>
    <cellStyle name="Normal 3 4 3 6 2 2 2" xfId="17482"/>
    <cellStyle name="Normal 3 4 3 6 2 2 3" xfId="24449"/>
    <cellStyle name="Normal 3 4 3 6 2 2 4" xfId="31416"/>
    <cellStyle name="Normal 3 4 3 6 2 2 5" xfId="38385"/>
    <cellStyle name="Normal 3 4 3 6 2 3" xfId="15162"/>
    <cellStyle name="Normal 3 4 3 6 2 3 2" xfId="22129"/>
    <cellStyle name="Normal 3 4 3 6 2 3 3" xfId="29096"/>
    <cellStyle name="Normal 3 4 3 6 2 3 4" xfId="36065"/>
    <cellStyle name="Normal 3 4 3 6 2 4" xfId="12840"/>
    <cellStyle name="Normal 3 4 3 6 2 5" xfId="19807"/>
    <cellStyle name="Normal 3 4 3 6 2 6" xfId="26774"/>
    <cellStyle name="Normal 3 4 3 6 2 7" xfId="33742"/>
    <cellStyle name="Normal 3 4 3 6 3" xfId="9613"/>
    <cellStyle name="Normal 3 4 3 6 3 2" xfId="16649"/>
    <cellStyle name="Normal 3 4 3 6 3 3" xfId="23616"/>
    <cellStyle name="Normal 3 4 3 6 3 4" xfId="30583"/>
    <cellStyle name="Normal 3 4 3 6 3 5" xfId="37552"/>
    <cellStyle name="Normal 3 4 3 6 4" xfId="14329"/>
    <cellStyle name="Normal 3 4 3 6 4 2" xfId="21296"/>
    <cellStyle name="Normal 3 4 3 6 4 3" xfId="28263"/>
    <cellStyle name="Normal 3 4 3 6 4 4" xfId="35232"/>
    <cellStyle name="Normal 3 4 3 6 5" xfId="12007"/>
    <cellStyle name="Normal 3 4 3 6 6" xfId="18974"/>
    <cellStyle name="Normal 3 4 3 6 7" xfId="25941"/>
    <cellStyle name="Normal 3 4 3 6 8" xfId="32909"/>
    <cellStyle name="Normal 3 4 3 7" xfId="5670"/>
    <cellStyle name="Normal 3 4 3 7 2" xfId="10479"/>
    <cellStyle name="Normal 3 4 3 7 2 2" xfId="17473"/>
    <cellStyle name="Normal 3 4 3 7 2 3" xfId="24440"/>
    <cellStyle name="Normal 3 4 3 7 2 4" xfId="31407"/>
    <cellStyle name="Normal 3 4 3 7 2 5" xfId="38376"/>
    <cellStyle name="Normal 3 4 3 7 3" xfId="15153"/>
    <cellStyle name="Normal 3 4 3 7 3 2" xfId="22120"/>
    <cellStyle name="Normal 3 4 3 7 3 3" xfId="29087"/>
    <cellStyle name="Normal 3 4 3 7 3 4" xfId="36056"/>
    <cellStyle name="Normal 3 4 3 7 4" xfId="12831"/>
    <cellStyle name="Normal 3 4 3 7 5" xfId="19798"/>
    <cellStyle name="Normal 3 4 3 7 6" xfId="26765"/>
    <cellStyle name="Normal 3 4 3 7 7" xfId="33733"/>
    <cellStyle name="Normal 3 4 3 8" xfId="6910"/>
    <cellStyle name="Normal 3 4 3 8 2" xfId="10871"/>
    <cellStyle name="Normal 3 4 3 8 2 2" xfId="17842"/>
    <cellStyle name="Normal 3 4 3 8 2 3" xfId="24809"/>
    <cellStyle name="Normal 3 4 3 8 2 4" xfId="31776"/>
    <cellStyle name="Normal 3 4 3 8 2 5" xfId="38745"/>
    <cellStyle name="Normal 3 4 3 8 3" xfId="15522"/>
    <cellStyle name="Normal 3 4 3 8 3 2" xfId="22489"/>
    <cellStyle name="Normal 3 4 3 8 3 3" xfId="29456"/>
    <cellStyle name="Normal 3 4 3 8 3 4" xfId="36425"/>
    <cellStyle name="Normal 3 4 3 8 4" xfId="13200"/>
    <cellStyle name="Normal 3 4 3 8 5" xfId="20167"/>
    <cellStyle name="Normal 3 4 3 8 6" xfId="27134"/>
    <cellStyle name="Normal 3 4 3 8 7" xfId="34103"/>
    <cellStyle name="Normal 3 4 3 9" xfId="7211"/>
    <cellStyle name="Normal 3 4 3 9 2" xfId="15695"/>
    <cellStyle name="Normal 3 4 3 9 2 2" xfId="22662"/>
    <cellStyle name="Normal 3 4 3 9 2 3" xfId="29629"/>
    <cellStyle name="Normal 3 4 3 9 2 4" xfId="36598"/>
    <cellStyle name="Normal 3 4 3 9 3" xfId="13373"/>
    <cellStyle name="Normal 3 4 3 9 4" xfId="20340"/>
    <cellStyle name="Normal 3 4 3 9 5" xfId="27307"/>
    <cellStyle name="Normal 3 4 3 9 6" xfId="34276"/>
    <cellStyle name="Normal 3 4 4" xfId="1791"/>
    <cellStyle name="Normal 3 4 4 2" xfId="1792"/>
    <cellStyle name="Normal 3 4 4 2 2" xfId="5681"/>
    <cellStyle name="Normal 3 4 4 2 3" xfId="8131"/>
    <cellStyle name="Normal 3 4 4 3" xfId="1793"/>
    <cellStyle name="Normal 3 4 4 3 2" xfId="5682"/>
    <cellStyle name="Normal 3 4 4 3 3" xfId="8132"/>
    <cellStyle name="Normal 3 4 4 4" xfId="5680"/>
    <cellStyle name="Normal 3 4 4 5" xfId="8130"/>
    <cellStyle name="Normal 3 4 5" xfId="1794"/>
    <cellStyle name="Normal 3 4 5 10" xfId="13548"/>
    <cellStyle name="Normal 3 4 5 10 2" xfId="20515"/>
    <cellStyle name="Normal 3 4 5 10 3" xfId="27482"/>
    <cellStyle name="Normal 3 4 5 10 4" xfId="34451"/>
    <cellStyle name="Normal 3 4 5 11" xfId="11053"/>
    <cellStyle name="Normal 3 4 5 12" xfId="18019"/>
    <cellStyle name="Normal 3 4 5 13" xfId="24987"/>
    <cellStyle name="Normal 3 4 5 14" xfId="31955"/>
    <cellStyle name="Normal 3 4 5 2" xfId="3357"/>
    <cellStyle name="Normal 3 4 5 2 2" xfId="5684"/>
    <cellStyle name="Normal 3 4 5 2 2 2" xfId="10490"/>
    <cellStyle name="Normal 3 4 5 2 2 2 2" xfId="17484"/>
    <cellStyle name="Normal 3 4 5 2 2 2 3" xfId="24451"/>
    <cellStyle name="Normal 3 4 5 2 2 2 4" xfId="31418"/>
    <cellStyle name="Normal 3 4 5 2 2 2 5" xfId="38387"/>
    <cellStyle name="Normal 3 4 5 2 2 3" xfId="15164"/>
    <cellStyle name="Normal 3 4 5 2 2 3 2" xfId="22131"/>
    <cellStyle name="Normal 3 4 5 2 2 3 3" xfId="29098"/>
    <cellStyle name="Normal 3 4 5 2 2 3 4" xfId="36067"/>
    <cellStyle name="Normal 3 4 5 2 2 4" xfId="12842"/>
    <cellStyle name="Normal 3 4 5 2 2 5" xfId="19809"/>
    <cellStyle name="Normal 3 4 5 2 2 6" xfId="26776"/>
    <cellStyle name="Normal 3 4 5 2 2 7" xfId="33744"/>
    <cellStyle name="Normal 3 4 5 2 3" xfId="8991"/>
    <cellStyle name="Normal 3 4 5 2 3 2" xfId="16040"/>
    <cellStyle name="Normal 3 4 5 2 3 3" xfId="23007"/>
    <cellStyle name="Normal 3 4 5 2 3 4" xfId="29974"/>
    <cellStyle name="Normal 3 4 5 2 3 5" xfId="36943"/>
    <cellStyle name="Normal 3 4 5 2 4" xfId="13718"/>
    <cellStyle name="Normal 3 4 5 2 4 2" xfId="20685"/>
    <cellStyle name="Normal 3 4 5 2 4 3" xfId="27652"/>
    <cellStyle name="Normal 3 4 5 2 4 4" xfId="34621"/>
    <cellStyle name="Normal 3 4 5 2 5" xfId="11396"/>
    <cellStyle name="Normal 3 4 5 2 6" xfId="18363"/>
    <cellStyle name="Normal 3 4 5 2 7" xfId="25330"/>
    <cellStyle name="Normal 3 4 5 2 8" xfId="32298"/>
    <cellStyle name="Normal 3 4 5 3" xfId="3556"/>
    <cellStyle name="Normal 3 4 5 3 2" xfId="5685"/>
    <cellStyle name="Normal 3 4 5 3 2 2" xfId="10491"/>
    <cellStyle name="Normal 3 4 5 3 2 2 2" xfId="17485"/>
    <cellStyle name="Normal 3 4 5 3 2 2 3" xfId="24452"/>
    <cellStyle name="Normal 3 4 5 3 2 2 4" xfId="31419"/>
    <cellStyle name="Normal 3 4 5 3 2 2 5" xfId="38388"/>
    <cellStyle name="Normal 3 4 5 3 2 3" xfId="15165"/>
    <cellStyle name="Normal 3 4 5 3 2 3 2" xfId="22132"/>
    <cellStyle name="Normal 3 4 5 3 2 3 3" xfId="29099"/>
    <cellStyle name="Normal 3 4 5 3 2 3 4" xfId="36068"/>
    <cellStyle name="Normal 3 4 5 3 2 4" xfId="12843"/>
    <cellStyle name="Normal 3 4 5 3 2 5" xfId="19810"/>
    <cellStyle name="Normal 3 4 5 3 2 6" xfId="26777"/>
    <cellStyle name="Normal 3 4 5 3 2 7" xfId="33745"/>
    <cellStyle name="Normal 3 4 5 3 3" xfId="9168"/>
    <cellStyle name="Normal 3 4 5 3 3 2" xfId="16207"/>
    <cellStyle name="Normal 3 4 5 3 3 3" xfId="23174"/>
    <cellStyle name="Normal 3 4 5 3 3 4" xfId="30141"/>
    <cellStyle name="Normal 3 4 5 3 3 5" xfId="37110"/>
    <cellStyle name="Normal 3 4 5 3 4" xfId="13887"/>
    <cellStyle name="Normal 3 4 5 3 4 2" xfId="20854"/>
    <cellStyle name="Normal 3 4 5 3 4 3" xfId="27821"/>
    <cellStyle name="Normal 3 4 5 3 4 4" xfId="34790"/>
    <cellStyle name="Normal 3 4 5 3 5" xfId="11565"/>
    <cellStyle name="Normal 3 4 5 3 6" xfId="18532"/>
    <cellStyle name="Normal 3 4 5 3 7" xfId="25499"/>
    <cellStyle name="Normal 3 4 5 3 8" xfId="32467"/>
    <cellStyle name="Normal 3 4 5 4" xfId="3731"/>
    <cellStyle name="Normal 3 4 5 4 2" xfId="5686"/>
    <cellStyle name="Normal 3 4 5 4 2 2" xfId="10492"/>
    <cellStyle name="Normal 3 4 5 4 2 2 2" xfId="17486"/>
    <cellStyle name="Normal 3 4 5 4 2 2 3" xfId="24453"/>
    <cellStyle name="Normal 3 4 5 4 2 2 4" xfId="31420"/>
    <cellStyle name="Normal 3 4 5 4 2 2 5" xfId="38389"/>
    <cellStyle name="Normal 3 4 5 4 2 3" xfId="15166"/>
    <cellStyle name="Normal 3 4 5 4 2 3 2" xfId="22133"/>
    <cellStyle name="Normal 3 4 5 4 2 3 3" xfId="29100"/>
    <cellStyle name="Normal 3 4 5 4 2 3 4" xfId="36069"/>
    <cellStyle name="Normal 3 4 5 4 2 4" xfId="12844"/>
    <cellStyle name="Normal 3 4 5 4 2 5" xfId="19811"/>
    <cellStyle name="Normal 3 4 5 4 2 6" xfId="26778"/>
    <cellStyle name="Normal 3 4 5 4 2 7" xfId="33746"/>
    <cellStyle name="Normal 3 4 5 4 3" xfId="9339"/>
    <cellStyle name="Normal 3 4 5 4 3 2" xfId="16378"/>
    <cellStyle name="Normal 3 4 5 4 3 3" xfId="23345"/>
    <cellStyle name="Normal 3 4 5 4 3 4" xfId="30312"/>
    <cellStyle name="Normal 3 4 5 4 3 5" xfId="37281"/>
    <cellStyle name="Normal 3 4 5 4 4" xfId="14058"/>
    <cellStyle name="Normal 3 4 5 4 4 2" xfId="21025"/>
    <cellStyle name="Normal 3 4 5 4 4 3" xfId="27992"/>
    <cellStyle name="Normal 3 4 5 4 4 4" xfId="34961"/>
    <cellStyle name="Normal 3 4 5 4 5" xfId="11736"/>
    <cellStyle name="Normal 3 4 5 4 6" xfId="18703"/>
    <cellStyle name="Normal 3 4 5 4 7" xfId="25670"/>
    <cellStyle name="Normal 3 4 5 4 8" xfId="32638"/>
    <cellStyle name="Normal 3 4 5 5" xfId="4009"/>
    <cellStyle name="Normal 3 4 5 5 2" xfId="5687"/>
    <cellStyle name="Normal 3 4 5 5 2 2" xfId="10493"/>
    <cellStyle name="Normal 3 4 5 5 2 2 2" xfId="17487"/>
    <cellStyle name="Normal 3 4 5 5 2 2 3" xfId="24454"/>
    <cellStyle name="Normal 3 4 5 5 2 2 4" xfId="31421"/>
    <cellStyle name="Normal 3 4 5 5 2 2 5" xfId="38390"/>
    <cellStyle name="Normal 3 4 5 5 2 3" xfId="15167"/>
    <cellStyle name="Normal 3 4 5 5 2 3 2" xfId="22134"/>
    <cellStyle name="Normal 3 4 5 5 2 3 3" xfId="29101"/>
    <cellStyle name="Normal 3 4 5 5 2 3 4" xfId="36070"/>
    <cellStyle name="Normal 3 4 5 5 2 4" xfId="12845"/>
    <cellStyle name="Normal 3 4 5 5 2 5" xfId="19812"/>
    <cellStyle name="Normal 3 4 5 5 2 6" xfId="26779"/>
    <cellStyle name="Normal 3 4 5 5 2 7" xfId="33747"/>
    <cellStyle name="Normal 3 4 5 5 3" xfId="9615"/>
    <cellStyle name="Normal 3 4 5 5 3 2" xfId="16651"/>
    <cellStyle name="Normal 3 4 5 5 3 3" xfId="23618"/>
    <cellStyle name="Normal 3 4 5 5 3 4" xfId="30585"/>
    <cellStyle name="Normal 3 4 5 5 3 5" xfId="37554"/>
    <cellStyle name="Normal 3 4 5 5 4" xfId="14331"/>
    <cellStyle name="Normal 3 4 5 5 4 2" xfId="21298"/>
    <cellStyle name="Normal 3 4 5 5 4 3" xfId="28265"/>
    <cellStyle name="Normal 3 4 5 5 4 4" xfId="35234"/>
    <cellStyle name="Normal 3 4 5 5 5" xfId="12009"/>
    <cellStyle name="Normal 3 4 5 5 6" xfId="18976"/>
    <cellStyle name="Normal 3 4 5 5 7" xfId="25943"/>
    <cellStyle name="Normal 3 4 5 5 8" xfId="32911"/>
    <cellStyle name="Normal 3 4 5 6" xfId="5683"/>
    <cellStyle name="Normal 3 4 5 6 2" xfId="10489"/>
    <cellStyle name="Normal 3 4 5 6 2 2" xfId="17483"/>
    <cellStyle name="Normal 3 4 5 6 2 3" xfId="24450"/>
    <cellStyle name="Normal 3 4 5 6 2 4" xfId="31417"/>
    <cellStyle name="Normal 3 4 5 6 2 5" xfId="38386"/>
    <cellStyle name="Normal 3 4 5 6 3" xfId="15163"/>
    <cellStyle name="Normal 3 4 5 6 3 2" xfId="22130"/>
    <cellStyle name="Normal 3 4 5 6 3 3" xfId="29097"/>
    <cellStyle name="Normal 3 4 5 6 3 4" xfId="36066"/>
    <cellStyle name="Normal 3 4 5 6 4" xfId="12841"/>
    <cellStyle name="Normal 3 4 5 6 5" xfId="19808"/>
    <cellStyle name="Normal 3 4 5 6 6" xfId="26775"/>
    <cellStyle name="Normal 3 4 5 6 7" xfId="33743"/>
    <cellStyle name="Normal 3 4 5 7" xfId="6912"/>
    <cellStyle name="Normal 3 4 5 7 2" xfId="10873"/>
    <cellStyle name="Normal 3 4 5 7 2 2" xfId="17844"/>
    <cellStyle name="Normal 3 4 5 7 2 3" xfId="24811"/>
    <cellStyle name="Normal 3 4 5 7 2 4" xfId="31778"/>
    <cellStyle name="Normal 3 4 5 7 2 5" xfId="38747"/>
    <cellStyle name="Normal 3 4 5 7 3" xfId="15524"/>
    <cellStyle name="Normal 3 4 5 7 3 2" xfId="22491"/>
    <cellStyle name="Normal 3 4 5 7 3 3" xfId="29458"/>
    <cellStyle name="Normal 3 4 5 7 3 4" xfId="36427"/>
    <cellStyle name="Normal 3 4 5 7 4" xfId="13202"/>
    <cellStyle name="Normal 3 4 5 7 5" xfId="20169"/>
    <cellStyle name="Normal 3 4 5 7 6" xfId="27136"/>
    <cellStyle name="Normal 3 4 5 7 7" xfId="34105"/>
    <cellStyle name="Normal 3 4 5 8" xfId="7213"/>
    <cellStyle name="Normal 3 4 5 8 2" xfId="15697"/>
    <cellStyle name="Normal 3 4 5 8 2 2" xfId="22664"/>
    <cellStyle name="Normal 3 4 5 8 2 3" xfId="29631"/>
    <cellStyle name="Normal 3 4 5 8 2 4" xfId="36600"/>
    <cellStyle name="Normal 3 4 5 8 3" xfId="13375"/>
    <cellStyle name="Normal 3 4 5 8 4" xfId="20342"/>
    <cellStyle name="Normal 3 4 5 8 5" xfId="27309"/>
    <cellStyle name="Normal 3 4 5 8 6" xfId="34278"/>
    <cellStyle name="Normal 3 4 5 9" xfId="8133"/>
    <cellStyle name="Normal 3 4 5 9 2" xfId="15870"/>
    <cellStyle name="Normal 3 4 5 9 2 2" xfId="22837"/>
    <cellStyle name="Normal 3 4 5 9 2 3" xfId="29804"/>
    <cellStyle name="Normal 3 4 5 9 2 4" xfId="36773"/>
    <cellStyle name="Normal 3 4 5 9 3" xfId="11226"/>
    <cellStyle name="Normal 3 4 5 9 4" xfId="18193"/>
    <cellStyle name="Normal 3 4 5 9 5" xfId="25160"/>
    <cellStyle name="Normal 3 4 5 9 6" xfId="32128"/>
    <cellStyle name="Normal 3 4 6" xfId="3354"/>
    <cellStyle name="Normal 3 4 6 2" xfId="3793"/>
    <cellStyle name="Normal 3 4 6 2 2" xfId="5689"/>
    <cellStyle name="Normal 3 4 6 3" xfId="5688"/>
    <cellStyle name="Normal 3 4 6 3 2" xfId="10494"/>
    <cellStyle name="Normal 3 4 6 3 2 2" xfId="17488"/>
    <cellStyle name="Normal 3 4 6 3 2 3" xfId="24455"/>
    <cellStyle name="Normal 3 4 6 3 2 4" xfId="31422"/>
    <cellStyle name="Normal 3 4 6 3 2 5" xfId="38391"/>
    <cellStyle name="Normal 3 4 6 3 3" xfId="15168"/>
    <cellStyle name="Normal 3 4 6 3 3 2" xfId="22135"/>
    <cellStyle name="Normal 3 4 6 3 3 3" xfId="29102"/>
    <cellStyle name="Normal 3 4 6 3 3 4" xfId="36071"/>
    <cellStyle name="Normal 3 4 6 3 4" xfId="12846"/>
    <cellStyle name="Normal 3 4 6 3 5" xfId="19813"/>
    <cellStyle name="Normal 3 4 6 3 6" xfId="26780"/>
    <cellStyle name="Normal 3 4 6 3 7" xfId="33748"/>
    <cellStyle name="Normal 3 4 6 4" xfId="8988"/>
    <cellStyle name="Normal 3 4 6 4 2" xfId="16037"/>
    <cellStyle name="Normal 3 4 6 4 3" xfId="23004"/>
    <cellStyle name="Normal 3 4 6 4 4" xfId="29971"/>
    <cellStyle name="Normal 3 4 6 4 5" xfId="36940"/>
    <cellStyle name="Normal 3 4 6 5" xfId="13715"/>
    <cellStyle name="Normal 3 4 6 5 2" xfId="20682"/>
    <cellStyle name="Normal 3 4 6 5 3" xfId="27649"/>
    <cellStyle name="Normal 3 4 6 5 4" xfId="34618"/>
    <cellStyle name="Normal 3 4 6 6" xfId="11393"/>
    <cellStyle name="Normal 3 4 6 7" xfId="18360"/>
    <cellStyle name="Normal 3 4 6 8" xfId="25327"/>
    <cellStyle name="Normal 3 4 6 9" xfId="32295"/>
    <cellStyle name="Normal 3 4 7" xfId="3553"/>
    <cellStyle name="Normal 3 4 7 2" xfId="5690"/>
    <cellStyle name="Normal 3 4 7 2 2" xfId="10495"/>
    <cellStyle name="Normal 3 4 7 2 2 2" xfId="17489"/>
    <cellStyle name="Normal 3 4 7 2 2 3" xfId="24456"/>
    <cellStyle name="Normal 3 4 7 2 2 4" xfId="31423"/>
    <cellStyle name="Normal 3 4 7 2 2 5" xfId="38392"/>
    <cellStyle name="Normal 3 4 7 2 3" xfId="15169"/>
    <cellStyle name="Normal 3 4 7 2 3 2" xfId="22136"/>
    <cellStyle name="Normal 3 4 7 2 3 3" xfId="29103"/>
    <cellStyle name="Normal 3 4 7 2 3 4" xfId="36072"/>
    <cellStyle name="Normal 3 4 7 2 4" xfId="12847"/>
    <cellStyle name="Normal 3 4 7 2 5" xfId="19814"/>
    <cellStyle name="Normal 3 4 7 2 6" xfId="26781"/>
    <cellStyle name="Normal 3 4 7 2 7" xfId="33749"/>
    <cellStyle name="Normal 3 4 7 3" xfId="9165"/>
    <cellStyle name="Normal 3 4 7 3 2" xfId="16204"/>
    <cellStyle name="Normal 3 4 7 3 3" xfId="23171"/>
    <cellStyle name="Normal 3 4 7 3 4" xfId="30138"/>
    <cellStyle name="Normal 3 4 7 3 5" xfId="37107"/>
    <cellStyle name="Normal 3 4 7 4" xfId="13884"/>
    <cellStyle name="Normal 3 4 7 4 2" xfId="20851"/>
    <cellStyle name="Normal 3 4 7 4 3" xfId="27818"/>
    <cellStyle name="Normal 3 4 7 4 4" xfId="34787"/>
    <cellStyle name="Normal 3 4 7 5" xfId="11562"/>
    <cellStyle name="Normal 3 4 7 6" xfId="18529"/>
    <cellStyle name="Normal 3 4 7 7" xfId="25496"/>
    <cellStyle name="Normal 3 4 7 8" xfId="32464"/>
    <cellStyle name="Normal 3 4 8" xfId="3728"/>
    <cellStyle name="Normal 3 4 8 2" xfId="5691"/>
    <cellStyle name="Normal 3 4 8 2 2" xfId="10496"/>
    <cellStyle name="Normal 3 4 8 2 2 2" xfId="17490"/>
    <cellStyle name="Normal 3 4 8 2 2 3" xfId="24457"/>
    <cellStyle name="Normal 3 4 8 2 2 4" xfId="31424"/>
    <cellStyle name="Normal 3 4 8 2 2 5" xfId="38393"/>
    <cellStyle name="Normal 3 4 8 2 3" xfId="15170"/>
    <cellStyle name="Normal 3 4 8 2 3 2" xfId="22137"/>
    <cellStyle name="Normal 3 4 8 2 3 3" xfId="29104"/>
    <cellStyle name="Normal 3 4 8 2 3 4" xfId="36073"/>
    <cellStyle name="Normal 3 4 8 2 4" xfId="12848"/>
    <cellStyle name="Normal 3 4 8 2 5" xfId="19815"/>
    <cellStyle name="Normal 3 4 8 2 6" xfId="26782"/>
    <cellStyle name="Normal 3 4 8 2 7" xfId="33750"/>
    <cellStyle name="Normal 3 4 8 3" xfId="9336"/>
    <cellStyle name="Normal 3 4 8 3 2" xfId="16375"/>
    <cellStyle name="Normal 3 4 8 3 3" xfId="23342"/>
    <cellStyle name="Normal 3 4 8 3 4" xfId="30309"/>
    <cellStyle name="Normal 3 4 8 3 5" xfId="37278"/>
    <cellStyle name="Normal 3 4 8 4" xfId="14055"/>
    <cellStyle name="Normal 3 4 8 4 2" xfId="21022"/>
    <cellStyle name="Normal 3 4 8 4 3" xfId="27989"/>
    <cellStyle name="Normal 3 4 8 4 4" xfId="34958"/>
    <cellStyle name="Normal 3 4 8 5" xfId="11733"/>
    <cellStyle name="Normal 3 4 8 6" xfId="18700"/>
    <cellStyle name="Normal 3 4 8 7" xfId="25667"/>
    <cellStyle name="Normal 3 4 8 8" xfId="32635"/>
    <cellStyle name="Normal 3 4 9" xfId="4005"/>
    <cellStyle name="Normal 3 4 9 2" xfId="5692"/>
    <cellStyle name="Normal 3 4 9 2 2" xfId="10497"/>
    <cellStyle name="Normal 3 4 9 2 2 2" xfId="17491"/>
    <cellStyle name="Normal 3 4 9 2 2 3" xfId="24458"/>
    <cellStyle name="Normal 3 4 9 2 2 4" xfId="31425"/>
    <cellStyle name="Normal 3 4 9 2 2 5" xfId="38394"/>
    <cellStyle name="Normal 3 4 9 2 3" xfId="15171"/>
    <cellStyle name="Normal 3 4 9 2 3 2" xfId="22138"/>
    <cellStyle name="Normal 3 4 9 2 3 3" xfId="29105"/>
    <cellStyle name="Normal 3 4 9 2 3 4" xfId="36074"/>
    <cellStyle name="Normal 3 4 9 2 4" xfId="12849"/>
    <cellStyle name="Normal 3 4 9 2 5" xfId="19816"/>
    <cellStyle name="Normal 3 4 9 2 6" xfId="26783"/>
    <cellStyle name="Normal 3 4 9 2 7" xfId="33751"/>
    <cellStyle name="Normal 3 4 9 3" xfId="9611"/>
    <cellStyle name="Normal 3 4 9 3 2" xfId="16647"/>
    <cellStyle name="Normal 3 4 9 3 3" xfId="23614"/>
    <cellStyle name="Normal 3 4 9 3 4" xfId="30581"/>
    <cellStyle name="Normal 3 4 9 3 5" xfId="37550"/>
    <cellStyle name="Normal 3 4 9 4" xfId="14327"/>
    <cellStyle name="Normal 3 4 9 4 2" xfId="21294"/>
    <cellStyle name="Normal 3 4 9 4 3" xfId="28261"/>
    <cellStyle name="Normal 3 4 9 4 4" xfId="35230"/>
    <cellStyle name="Normal 3 4 9 5" xfId="12005"/>
    <cellStyle name="Normal 3 4 9 6" xfId="18972"/>
    <cellStyle name="Normal 3 4 9 7" xfId="25939"/>
    <cellStyle name="Normal 3 4 9 8" xfId="32907"/>
    <cellStyle name="Normal 3 5" xfId="1795"/>
    <cellStyle name="Normal 3 5 2" xfId="5693"/>
    <cellStyle name="Normal 3 5 3" xfId="8134"/>
    <cellStyle name="Normal 3 6" xfId="1796"/>
    <cellStyle name="Normal 3 6 2" xfId="6913"/>
    <cellStyle name="Normal 3 7" xfId="3339"/>
    <cellStyle name="Normal 3 7 2" xfId="5694"/>
    <cellStyle name="Normal 3 7 2 2" xfId="10498"/>
    <cellStyle name="Normal 3 7 2 2 2" xfId="17492"/>
    <cellStyle name="Normal 3 7 2 2 3" xfId="24459"/>
    <cellStyle name="Normal 3 7 2 2 4" xfId="31426"/>
    <cellStyle name="Normal 3 7 2 2 5" xfId="38395"/>
    <cellStyle name="Normal 3 7 2 3" xfId="15172"/>
    <cellStyle name="Normal 3 7 2 3 2" xfId="22139"/>
    <cellStyle name="Normal 3 7 2 3 3" xfId="29106"/>
    <cellStyle name="Normal 3 7 2 3 4" xfId="36075"/>
    <cellStyle name="Normal 3 7 2 4" xfId="12850"/>
    <cellStyle name="Normal 3 7 2 5" xfId="19817"/>
    <cellStyle name="Normal 3 7 2 6" xfId="26784"/>
    <cellStyle name="Normal 3 7 2 7" xfId="33752"/>
    <cellStyle name="Normal 3 7 3" xfId="8973"/>
    <cellStyle name="Normal 3 7 3 2" xfId="16022"/>
    <cellStyle name="Normal 3 7 3 3" xfId="22989"/>
    <cellStyle name="Normal 3 7 3 4" xfId="29956"/>
    <cellStyle name="Normal 3 7 3 5" xfId="36925"/>
    <cellStyle name="Normal 3 7 4" xfId="13700"/>
    <cellStyle name="Normal 3 7 4 2" xfId="20667"/>
    <cellStyle name="Normal 3 7 4 3" xfId="27634"/>
    <cellStyle name="Normal 3 7 4 4" xfId="34603"/>
    <cellStyle name="Normal 3 7 5" xfId="11378"/>
    <cellStyle name="Normal 3 7 6" xfId="18345"/>
    <cellStyle name="Normal 3 7 7" xfId="25312"/>
    <cellStyle name="Normal 3 7 8" xfId="32280"/>
    <cellStyle name="Normal 3 8" xfId="3538"/>
    <cellStyle name="Normal 3 8 2" xfId="5695"/>
    <cellStyle name="Normal 3 8 2 2" xfId="10499"/>
    <cellStyle name="Normal 3 8 2 2 2" xfId="17493"/>
    <cellStyle name="Normal 3 8 2 2 3" xfId="24460"/>
    <cellStyle name="Normal 3 8 2 2 4" xfId="31427"/>
    <cellStyle name="Normal 3 8 2 2 5" xfId="38396"/>
    <cellStyle name="Normal 3 8 2 3" xfId="15173"/>
    <cellStyle name="Normal 3 8 2 3 2" xfId="22140"/>
    <cellStyle name="Normal 3 8 2 3 3" xfId="29107"/>
    <cellStyle name="Normal 3 8 2 3 4" xfId="36076"/>
    <cellStyle name="Normal 3 8 2 4" xfId="12851"/>
    <cellStyle name="Normal 3 8 2 5" xfId="19818"/>
    <cellStyle name="Normal 3 8 2 6" xfId="26785"/>
    <cellStyle name="Normal 3 8 2 7" xfId="33753"/>
    <cellStyle name="Normal 3 8 3" xfId="9150"/>
    <cellStyle name="Normal 3 8 3 2" xfId="16189"/>
    <cellStyle name="Normal 3 8 3 3" xfId="23156"/>
    <cellStyle name="Normal 3 8 3 4" xfId="30123"/>
    <cellStyle name="Normal 3 8 3 5" xfId="37092"/>
    <cellStyle name="Normal 3 8 4" xfId="13869"/>
    <cellStyle name="Normal 3 8 4 2" xfId="20836"/>
    <cellStyle name="Normal 3 8 4 3" xfId="27803"/>
    <cellStyle name="Normal 3 8 4 4" xfId="34772"/>
    <cellStyle name="Normal 3 8 5" xfId="11547"/>
    <cellStyle name="Normal 3 8 6" xfId="18514"/>
    <cellStyle name="Normal 3 8 7" xfId="25481"/>
    <cellStyle name="Normal 3 8 8" xfId="32449"/>
    <cellStyle name="Normal 3 9" xfId="3713"/>
    <cellStyle name="Normal 3 9 2" xfId="5696"/>
    <cellStyle name="Normal 3 9 2 2" xfId="10500"/>
    <cellStyle name="Normal 3 9 2 2 2" xfId="17494"/>
    <cellStyle name="Normal 3 9 2 2 3" xfId="24461"/>
    <cellStyle name="Normal 3 9 2 2 4" xfId="31428"/>
    <cellStyle name="Normal 3 9 2 2 5" xfId="38397"/>
    <cellStyle name="Normal 3 9 2 3" xfId="15174"/>
    <cellStyle name="Normal 3 9 2 3 2" xfId="22141"/>
    <cellStyle name="Normal 3 9 2 3 3" xfId="29108"/>
    <cellStyle name="Normal 3 9 2 3 4" xfId="36077"/>
    <cellStyle name="Normal 3 9 2 4" xfId="12852"/>
    <cellStyle name="Normal 3 9 2 5" xfId="19819"/>
    <cellStyle name="Normal 3 9 2 6" xfId="26786"/>
    <cellStyle name="Normal 3 9 2 7" xfId="33754"/>
    <cellStyle name="Normal 3 9 3" xfId="9321"/>
    <cellStyle name="Normal 3 9 3 2" xfId="16360"/>
    <cellStyle name="Normal 3 9 3 3" xfId="23327"/>
    <cellStyle name="Normal 3 9 3 4" xfId="30294"/>
    <cellStyle name="Normal 3 9 3 5" xfId="37263"/>
    <cellStyle name="Normal 3 9 4" xfId="14040"/>
    <cellStyle name="Normal 3 9 4 2" xfId="21007"/>
    <cellStyle name="Normal 3 9 4 3" xfId="27974"/>
    <cellStyle name="Normal 3 9 4 4" xfId="34943"/>
    <cellStyle name="Normal 3 9 5" xfId="11718"/>
    <cellStyle name="Normal 3 9 6" xfId="18685"/>
    <cellStyle name="Normal 3 9 7" xfId="25652"/>
    <cellStyle name="Normal 3 9 8" xfId="32620"/>
    <cellStyle name="Normal 3_Sheet1" xfId="1797"/>
    <cellStyle name="Normal 30" xfId="1798"/>
    <cellStyle name="Normal 30 2" xfId="1799"/>
    <cellStyle name="Normal 30 3" xfId="1800"/>
    <cellStyle name="Normal 30 4" xfId="6914"/>
    <cellStyle name="Normal 30 4 2" xfId="10874"/>
    <cellStyle name="Normal 31" xfId="1801"/>
    <cellStyle name="Normal 31 2" xfId="1802"/>
    <cellStyle name="Normal 31 3" xfId="1803"/>
    <cellStyle name="Normal 31 4" xfId="6915"/>
    <cellStyle name="Normal 31 4 2" xfId="10875"/>
    <cellStyle name="Normal 32" xfId="1804"/>
    <cellStyle name="Normal 32 10" xfId="7214"/>
    <cellStyle name="Normal 32 10 2" xfId="15698"/>
    <cellStyle name="Normal 32 10 2 2" xfId="22665"/>
    <cellStyle name="Normal 32 10 2 3" xfId="29632"/>
    <cellStyle name="Normal 32 10 2 4" xfId="36601"/>
    <cellStyle name="Normal 32 10 3" xfId="13376"/>
    <cellStyle name="Normal 32 10 4" xfId="20343"/>
    <cellStyle name="Normal 32 10 5" xfId="27310"/>
    <cellStyle name="Normal 32 10 6" xfId="34279"/>
    <cellStyle name="Normal 32 11" xfId="8135"/>
    <cellStyle name="Normal 32 11 2" xfId="15871"/>
    <cellStyle name="Normal 32 11 2 2" xfId="22838"/>
    <cellStyle name="Normal 32 11 2 3" xfId="29805"/>
    <cellStyle name="Normal 32 11 2 4" xfId="36774"/>
    <cellStyle name="Normal 32 11 3" xfId="11227"/>
    <cellStyle name="Normal 32 11 4" xfId="18194"/>
    <cellStyle name="Normal 32 11 5" xfId="25161"/>
    <cellStyle name="Normal 32 11 6" xfId="32129"/>
    <cellStyle name="Normal 32 12" xfId="13549"/>
    <cellStyle name="Normal 32 12 2" xfId="20516"/>
    <cellStyle name="Normal 32 12 3" xfId="27483"/>
    <cellStyle name="Normal 32 12 4" xfId="34452"/>
    <cellStyle name="Normal 32 13" xfId="11054"/>
    <cellStyle name="Normal 32 14" xfId="18020"/>
    <cellStyle name="Normal 32 15" xfId="24988"/>
    <cellStyle name="Normal 32 16" xfId="31956"/>
    <cellStyle name="Normal 32 2" xfId="1805"/>
    <cellStyle name="Normal 32 2 10" xfId="8136"/>
    <cellStyle name="Normal 32 2 10 2" xfId="15872"/>
    <cellStyle name="Normal 32 2 10 2 2" xfId="22839"/>
    <cellStyle name="Normal 32 2 10 2 3" xfId="29806"/>
    <cellStyle name="Normal 32 2 10 2 4" xfId="36775"/>
    <cellStyle name="Normal 32 2 10 3" xfId="11228"/>
    <cellStyle name="Normal 32 2 10 4" xfId="18195"/>
    <cellStyle name="Normal 32 2 10 5" xfId="25162"/>
    <cellStyle name="Normal 32 2 10 6" xfId="32130"/>
    <cellStyle name="Normal 32 2 11" xfId="13550"/>
    <cellStyle name="Normal 32 2 11 2" xfId="20517"/>
    <cellStyle name="Normal 32 2 11 3" xfId="27484"/>
    <cellStyle name="Normal 32 2 11 4" xfId="34453"/>
    <cellStyle name="Normal 32 2 12" xfId="11055"/>
    <cellStyle name="Normal 32 2 13" xfId="18021"/>
    <cellStyle name="Normal 32 2 14" xfId="24989"/>
    <cellStyle name="Normal 32 2 15" xfId="31957"/>
    <cellStyle name="Normal 32 2 2" xfId="1806"/>
    <cellStyle name="Normal 32 2 2 10" xfId="13551"/>
    <cellStyle name="Normal 32 2 2 10 2" xfId="20518"/>
    <cellStyle name="Normal 32 2 2 10 3" xfId="27485"/>
    <cellStyle name="Normal 32 2 2 10 4" xfId="34454"/>
    <cellStyle name="Normal 32 2 2 11" xfId="11056"/>
    <cellStyle name="Normal 32 2 2 12" xfId="18022"/>
    <cellStyle name="Normal 32 2 2 13" xfId="24990"/>
    <cellStyle name="Normal 32 2 2 14" xfId="31958"/>
    <cellStyle name="Normal 32 2 2 2" xfId="3360"/>
    <cellStyle name="Normal 32 2 2 2 2" xfId="5700"/>
    <cellStyle name="Normal 32 2 2 2 2 2" xfId="10504"/>
    <cellStyle name="Normal 32 2 2 2 2 2 2" xfId="17498"/>
    <cellStyle name="Normal 32 2 2 2 2 2 3" xfId="24465"/>
    <cellStyle name="Normal 32 2 2 2 2 2 4" xfId="31432"/>
    <cellStyle name="Normal 32 2 2 2 2 2 5" xfId="38401"/>
    <cellStyle name="Normal 32 2 2 2 2 3" xfId="15178"/>
    <cellStyle name="Normal 32 2 2 2 2 3 2" xfId="22145"/>
    <cellStyle name="Normal 32 2 2 2 2 3 3" xfId="29112"/>
    <cellStyle name="Normal 32 2 2 2 2 3 4" xfId="36081"/>
    <cellStyle name="Normal 32 2 2 2 2 4" xfId="12856"/>
    <cellStyle name="Normal 32 2 2 2 2 5" xfId="19823"/>
    <cellStyle name="Normal 32 2 2 2 2 6" xfId="26790"/>
    <cellStyle name="Normal 32 2 2 2 2 7" xfId="33758"/>
    <cellStyle name="Normal 32 2 2 2 3" xfId="8994"/>
    <cellStyle name="Normal 32 2 2 2 3 2" xfId="16043"/>
    <cellStyle name="Normal 32 2 2 2 3 3" xfId="23010"/>
    <cellStyle name="Normal 32 2 2 2 3 4" xfId="29977"/>
    <cellStyle name="Normal 32 2 2 2 3 5" xfId="36946"/>
    <cellStyle name="Normal 32 2 2 2 4" xfId="13721"/>
    <cellStyle name="Normal 32 2 2 2 4 2" xfId="20688"/>
    <cellStyle name="Normal 32 2 2 2 4 3" xfId="27655"/>
    <cellStyle name="Normal 32 2 2 2 4 4" xfId="34624"/>
    <cellStyle name="Normal 32 2 2 2 5" xfId="11399"/>
    <cellStyle name="Normal 32 2 2 2 6" xfId="18366"/>
    <cellStyle name="Normal 32 2 2 2 7" xfId="25333"/>
    <cellStyle name="Normal 32 2 2 2 8" xfId="32301"/>
    <cellStyle name="Normal 32 2 2 3" xfId="3559"/>
    <cellStyle name="Normal 32 2 2 3 2" xfId="5701"/>
    <cellStyle name="Normal 32 2 2 3 2 2" xfId="10505"/>
    <cellStyle name="Normal 32 2 2 3 2 2 2" xfId="17499"/>
    <cellStyle name="Normal 32 2 2 3 2 2 3" xfId="24466"/>
    <cellStyle name="Normal 32 2 2 3 2 2 4" xfId="31433"/>
    <cellStyle name="Normal 32 2 2 3 2 2 5" xfId="38402"/>
    <cellStyle name="Normal 32 2 2 3 2 3" xfId="15179"/>
    <cellStyle name="Normal 32 2 2 3 2 3 2" xfId="22146"/>
    <cellStyle name="Normal 32 2 2 3 2 3 3" xfId="29113"/>
    <cellStyle name="Normal 32 2 2 3 2 3 4" xfId="36082"/>
    <cellStyle name="Normal 32 2 2 3 2 4" xfId="12857"/>
    <cellStyle name="Normal 32 2 2 3 2 5" xfId="19824"/>
    <cellStyle name="Normal 32 2 2 3 2 6" xfId="26791"/>
    <cellStyle name="Normal 32 2 2 3 2 7" xfId="33759"/>
    <cellStyle name="Normal 32 2 2 3 3" xfId="9171"/>
    <cellStyle name="Normal 32 2 2 3 3 2" xfId="16210"/>
    <cellStyle name="Normal 32 2 2 3 3 3" xfId="23177"/>
    <cellStyle name="Normal 32 2 2 3 3 4" xfId="30144"/>
    <cellStyle name="Normal 32 2 2 3 3 5" xfId="37113"/>
    <cellStyle name="Normal 32 2 2 3 4" xfId="13890"/>
    <cellStyle name="Normal 32 2 2 3 4 2" xfId="20857"/>
    <cellStyle name="Normal 32 2 2 3 4 3" xfId="27824"/>
    <cellStyle name="Normal 32 2 2 3 4 4" xfId="34793"/>
    <cellStyle name="Normal 32 2 2 3 5" xfId="11568"/>
    <cellStyle name="Normal 32 2 2 3 6" xfId="18535"/>
    <cellStyle name="Normal 32 2 2 3 7" xfId="25502"/>
    <cellStyle name="Normal 32 2 2 3 8" xfId="32470"/>
    <cellStyle name="Normal 32 2 2 4" xfId="3734"/>
    <cellStyle name="Normal 32 2 2 4 2" xfId="5702"/>
    <cellStyle name="Normal 32 2 2 4 2 2" xfId="10506"/>
    <cellStyle name="Normal 32 2 2 4 2 2 2" xfId="17500"/>
    <cellStyle name="Normal 32 2 2 4 2 2 3" xfId="24467"/>
    <cellStyle name="Normal 32 2 2 4 2 2 4" xfId="31434"/>
    <cellStyle name="Normal 32 2 2 4 2 2 5" xfId="38403"/>
    <cellStyle name="Normal 32 2 2 4 2 3" xfId="15180"/>
    <cellStyle name="Normal 32 2 2 4 2 3 2" xfId="22147"/>
    <cellStyle name="Normal 32 2 2 4 2 3 3" xfId="29114"/>
    <cellStyle name="Normal 32 2 2 4 2 3 4" xfId="36083"/>
    <cellStyle name="Normal 32 2 2 4 2 4" xfId="12858"/>
    <cellStyle name="Normal 32 2 2 4 2 5" xfId="19825"/>
    <cellStyle name="Normal 32 2 2 4 2 6" xfId="26792"/>
    <cellStyle name="Normal 32 2 2 4 2 7" xfId="33760"/>
    <cellStyle name="Normal 32 2 2 4 3" xfId="9342"/>
    <cellStyle name="Normal 32 2 2 4 3 2" xfId="16381"/>
    <cellStyle name="Normal 32 2 2 4 3 3" xfId="23348"/>
    <cellStyle name="Normal 32 2 2 4 3 4" xfId="30315"/>
    <cellStyle name="Normal 32 2 2 4 3 5" xfId="37284"/>
    <cellStyle name="Normal 32 2 2 4 4" xfId="14061"/>
    <cellStyle name="Normal 32 2 2 4 4 2" xfId="21028"/>
    <cellStyle name="Normal 32 2 2 4 4 3" xfId="27995"/>
    <cellStyle name="Normal 32 2 2 4 4 4" xfId="34964"/>
    <cellStyle name="Normal 32 2 2 4 5" xfId="11739"/>
    <cellStyle name="Normal 32 2 2 4 6" xfId="18706"/>
    <cellStyle name="Normal 32 2 2 4 7" xfId="25673"/>
    <cellStyle name="Normal 32 2 2 4 8" xfId="32641"/>
    <cellStyle name="Normal 32 2 2 5" xfId="4012"/>
    <cellStyle name="Normal 32 2 2 5 2" xfId="5703"/>
    <cellStyle name="Normal 32 2 2 5 2 2" xfId="10507"/>
    <cellStyle name="Normal 32 2 2 5 2 2 2" xfId="17501"/>
    <cellStyle name="Normal 32 2 2 5 2 2 3" xfId="24468"/>
    <cellStyle name="Normal 32 2 2 5 2 2 4" xfId="31435"/>
    <cellStyle name="Normal 32 2 2 5 2 2 5" xfId="38404"/>
    <cellStyle name="Normal 32 2 2 5 2 3" xfId="15181"/>
    <cellStyle name="Normal 32 2 2 5 2 3 2" xfId="22148"/>
    <cellStyle name="Normal 32 2 2 5 2 3 3" xfId="29115"/>
    <cellStyle name="Normal 32 2 2 5 2 3 4" xfId="36084"/>
    <cellStyle name="Normal 32 2 2 5 2 4" xfId="12859"/>
    <cellStyle name="Normal 32 2 2 5 2 5" xfId="19826"/>
    <cellStyle name="Normal 32 2 2 5 2 6" xfId="26793"/>
    <cellStyle name="Normal 32 2 2 5 2 7" xfId="33761"/>
    <cellStyle name="Normal 32 2 2 5 3" xfId="9618"/>
    <cellStyle name="Normal 32 2 2 5 3 2" xfId="16654"/>
    <cellStyle name="Normal 32 2 2 5 3 3" xfId="23621"/>
    <cellStyle name="Normal 32 2 2 5 3 4" xfId="30588"/>
    <cellStyle name="Normal 32 2 2 5 3 5" xfId="37557"/>
    <cellStyle name="Normal 32 2 2 5 4" xfId="14334"/>
    <cellStyle name="Normal 32 2 2 5 4 2" xfId="21301"/>
    <cellStyle name="Normal 32 2 2 5 4 3" xfId="28268"/>
    <cellStyle name="Normal 32 2 2 5 4 4" xfId="35237"/>
    <cellStyle name="Normal 32 2 2 5 5" xfId="12012"/>
    <cellStyle name="Normal 32 2 2 5 6" xfId="18979"/>
    <cellStyle name="Normal 32 2 2 5 7" xfId="25946"/>
    <cellStyle name="Normal 32 2 2 5 8" xfId="32914"/>
    <cellStyle name="Normal 32 2 2 6" xfId="5699"/>
    <cellStyle name="Normal 32 2 2 6 2" xfId="10503"/>
    <cellStyle name="Normal 32 2 2 6 2 2" xfId="17497"/>
    <cellStyle name="Normal 32 2 2 6 2 3" xfId="24464"/>
    <cellStyle name="Normal 32 2 2 6 2 4" xfId="31431"/>
    <cellStyle name="Normal 32 2 2 6 2 5" xfId="38400"/>
    <cellStyle name="Normal 32 2 2 6 3" xfId="15177"/>
    <cellStyle name="Normal 32 2 2 6 3 2" xfId="22144"/>
    <cellStyle name="Normal 32 2 2 6 3 3" xfId="29111"/>
    <cellStyle name="Normal 32 2 2 6 3 4" xfId="36080"/>
    <cellStyle name="Normal 32 2 2 6 4" xfId="12855"/>
    <cellStyle name="Normal 32 2 2 6 5" xfId="19822"/>
    <cellStyle name="Normal 32 2 2 6 6" xfId="26789"/>
    <cellStyle name="Normal 32 2 2 6 7" xfId="33757"/>
    <cellStyle name="Normal 32 2 2 7" xfId="6918"/>
    <cellStyle name="Normal 32 2 2 7 2" xfId="10878"/>
    <cellStyle name="Normal 32 2 2 7 2 2" xfId="17847"/>
    <cellStyle name="Normal 32 2 2 7 2 3" xfId="24814"/>
    <cellStyle name="Normal 32 2 2 7 2 4" xfId="31781"/>
    <cellStyle name="Normal 32 2 2 7 2 5" xfId="38750"/>
    <cellStyle name="Normal 32 2 2 7 3" xfId="15527"/>
    <cellStyle name="Normal 32 2 2 7 3 2" xfId="22494"/>
    <cellStyle name="Normal 32 2 2 7 3 3" xfId="29461"/>
    <cellStyle name="Normal 32 2 2 7 3 4" xfId="36430"/>
    <cellStyle name="Normal 32 2 2 7 4" xfId="13205"/>
    <cellStyle name="Normal 32 2 2 7 5" xfId="20172"/>
    <cellStyle name="Normal 32 2 2 7 6" xfId="27139"/>
    <cellStyle name="Normal 32 2 2 7 7" xfId="34108"/>
    <cellStyle name="Normal 32 2 2 8" xfId="7216"/>
    <cellStyle name="Normal 32 2 2 8 2" xfId="15700"/>
    <cellStyle name="Normal 32 2 2 8 2 2" xfId="22667"/>
    <cellStyle name="Normal 32 2 2 8 2 3" xfId="29634"/>
    <cellStyle name="Normal 32 2 2 8 2 4" xfId="36603"/>
    <cellStyle name="Normal 32 2 2 8 3" xfId="13378"/>
    <cellStyle name="Normal 32 2 2 8 4" xfId="20345"/>
    <cellStyle name="Normal 32 2 2 8 5" xfId="27312"/>
    <cellStyle name="Normal 32 2 2 8 6" xfId="34281"/>
    <cellStyle name="Normal 32 2 2 9" xfId="8137"/>
    <cellStyle name="Normal 32 2 2 9 2" xfId="15873"/>
    <cellStyle name="Normal 32 2 2 9 2 2" xfId="22840"/>
    <cellStyle name="Normal 32 2 2 9 2 3" xfId="29807"/>
    <cellStyle name="Normal 32 2 2 9 2 4" xfId="36776"/>
    <cellStyle name="Normal 32 2 2 9 3" xfId="11229"/>
    <cellStyle name="Normal 32 2 2 9 4" xfId="18196"/>
    <cellStyle name="Normal 32 2 2 9 5" xfId="25163"/>
    <cellStyle name="Normal 32 2 2 9 6" xfId="32131"/>
    <cellStyle name="Normal 32 2 3" xfId="3359"/>
    <cellStyle name="Normal 32 2 3 2" xfId="5704"/>
    <cellStyle name="Normal 32 2 3 2 2" xfId="10508"/>
    <cellStyle name="Normal 32 2 3 2 2 2" xfId="17502"/>
    <cellStyle name="Normal 32 2 3 2 2 3" xfId="24469"/>
    <cellStyle name="Normal 32 2 3 2 2 4" xfId="31436"/>
    <cellStyle name="Normal 32 2 3 2 2 5" xfId="38405"/>
    <cellStyle name="Normal 32 2 3 2 3" xfId="15182"/>
    <cellStyle name="Normal 32 2 3 2 3 2" xfId="22149"/>
    <cellStyle name="Normal 32 2 3 2 3 3" xfId="29116"/>
    <cellStyle name="Normal 32 2 3 2 3 4" xfId="36085"/>
    <cellStyle name="Normal 32 2 3 2 4" xfId="12860"/>
    <cellStyle name="Normal 32 2 3 2 5" xfId="19827"/>
    <cellStyle name="Normal 32 2 3 2 6" xfId="26794"/>
    <cellStyle name="Normal 32 2 3 2 7" xfId="33762"/>
    <cellStyle name="Normal 32 2 3 3" xfId="8993"/>
    <cellStyle name="Normal 32 2 3 3 2" xfId="16042"/>
    <cellStyle name="Normal 32 2 3 3 3" xfId="23009"/>
    <cellStyle name="Normal 32 2 3 3 4" xfId="29976"/>
    <cellStyle name="Normal 32 2 3 3 5" xfId="36945"/>
    <cellStyle name="Normal 32 2 3 4" xfId="13720"/>
    <cellStyle name="Normal 32 2 3 4 2" xfId="20687"/>
    <cellStyle name="Normal 32 2 3 4 3" xfId="27654"/>
    <cellStyle name="Normal 32 2 3 4 4" xfId="34623"/>
    <cellStyle name="Normal 32 2 3 5" xfId="11398"/>
    <cellStyle name="Normal 32 2 3 6" xfId="18365"/>
    <cellStyle name="Normal 32 2 3 7" xfId="25332"/>
    <cellStyle name="Normal 32 2 3 8" xfId="32300"/>
    <cellStyle name="Normal 32 2 4" xfId="3558"/>
    <cellStyle name="Normal 32 2 4 2" xfId="5705"/>
    <cellStyle name="Normal 32 2 4 2 2" xfId="10509"/>
    <cellStyle name="Normal 32 2 4 2 2 2" xfId="17503"/>
    <cellStyle name="Normal 32 2 4 2 2 3" xfId="24470"/>
    <cellStyle name="Normal 32 2 4 2 2 4" xfId="31437"/>
    <cellStyle name="Normal 32 2 4 2 2 5" xfId="38406"/>
    <cellStyle name="Normal 32 2 4 2 3" xfId="15183"/>
    <cellStyle name="Normal 32 2 4 2 3 2" xfId="22150"/>
    <cellStyle name="Normal 32 2 4 2 3 3" xfId="29117"/>
    <cellStyle name="Normal 32 2 4 2 3 4" xfId="36086"/>
    <cellStyle name="Normal 32 2 4 2 4" xfId="12861"/>
    <cellStyle name="Normal 32 2 4 2 5" xfId="19828"/>
    <cellStyle name="Normal 32 2 4 2 6" xfId="26795"/>
    <cellStyle name="Normal 32 2 4 2 7" xfId="33763"/>
    <cellStyle name="Normal 32 2 4 3" xfId="9170"/>
    <cellStyle name="Normal 32 2 4 3 2" xfId="16209"/>
    <cellStyle name="Normal 32 2 4 3 3" xfId="23176"/>
    <cellStyle name="Normal 32 2 4 3 4" xfId="30143"/>
    <cellStyle name="Normal 32 2 4 3 5" xfId="37112"/>
    <cellStyle name="Normal 32 2 4 4" xfId="13889"/>
    <cellStyle name="Normal 32 2 4 4 2" xfId="20856"/>
    <cellStyle name="Normal 32 2 4 4 3" xfId="27823"/>
    <cellStyle name="Normal 32 2 4 4 4" xfId="34792"/>
    <cellStyle name="Normal 32 2 4 5" xfId="11567"/>
    <cellStyle name="Normal 32 2 4 6" xfId="18534"/>
    <cellStyle name="Normal 32 2 4 7" xfId="25501"/>
    <cellStyle name="Normal 32 2 4 8" xfId="32469"/>
    <cellStyle name="Normal 32 2 5" xfId="3733"/>
    <cellStyle name="Normal 32 2 5 2" xfId="5706"/>
    <cellStyle name="Normal 32 2 5 2 2" xfId="10510"/>
    <cellStyle name="Normal 32 2 5 2 2 2" xfId="17504"/>
    <cellStyle name="Normal 32 2 5 2 2 3" xfId="24471"/>
    <cellStyle name="Normal 32 2 5 2 2 4" xfId="31438"/>
    <cellStyle name="Normal 32 2 5 2 2 5" xfId="38407"/>
    <cellStyle name="Normal 32 2 5 2 3" xfId="15184"/>
    <cellStyle name="Normal 32 2 5 2 3 2" xfId="22151"/>
    <cellStyle name="Normal 32 2 5 2 3 3" xfId="29118"/>
    <cellStyle name="Normal 32 2 5 2 3 4" xfId="36087"/>
    <cellStyle name="Normal 32 2 5 2 4" xfId="12862"/>
    <cellStyle name="Normal 32 2 5 2 5" xfId="19829"/>
    <cellStyle name="Normal 32 2 5 2 6" xfId="26796"/>
    <cellStyle name="Normal 32 2 5 2 7" xfId="33764"/>
    <cellStyle name="Normal 32 2 5 3" xfId="9341"/>
    <cellStyle name="Normal 32 2 5 3 2" xfId="16380"/>
    <cellStyle name="Normal 32 2 5 3 3" xfId="23347"/>
    <cellStyle name="Normal 32 2 5 3 4" xfId="30314"/>
    <cellStyle name="Normal 32 2 5 3 5" xfId="37283"/>
    <cellStyle name="Normal 32 2 5 4" xfId="14060"/>
    <cellStyle name="Normal 32 2 5 4 2" xfId="21027"/>
    <cellStyle name="Normal 32 2 5 4 3" xfId="27994"/>
    <cellStyle name="Normal 32 2 5 4 4" xfId="34963"/>
    <cellStyle name="Normal 32 2 5 5" xfId="11738"/>
    <cellStyle name="Normal 32 2 5 6" xfId="18705"/>
    <cellStyle name="Normal 32 2 5 7" xfId="25672"/>
    <cellStyle name="Normal 32 2 5 8" xfId="32640"/>
    <cellStyle name="Normal 32 2 6" xfId="4011"/>
    <cellStyle name="Normal 32 2 6 2" xfId="5707"/>
    <cellStyle name="Normal 32 2 6 2 2" xfId="10511"/>
    <cellStyle name="Normal 32 2 6 2 2 2" xfId="17505"/>
    <cellStyle name="Normal 32 2 6 2 2 3" xfId="24472"/>
    <cellStyle name="Normal 32 2 6 2 2 4" xfId="31439"/>
    <cellStyle name="Normal 32 2 6 2 2 5" xfId="38408"/>
    <cellStyle name="Normal 32 2 6 2 3" xfId="15185"/>
    <cellStyle name="Normal 32 2 6 2 3 2" xfId="22152"/>
    <cellStyle name="Normal 32 2 6 2 3 3" xfId="29119"/>
    <cellStyle name="Normal 32 2 6 2 3 4" xfId="36088"/>
    <cellStyle name="Normal 32 2 6 2 4" xfId="12863"/>
    <cellStyle name="Normal 32 2 6 2 5" xfId="19830"/>
    <cellStyle name="Normal 32 2 6 2 6" xfId="26797"/>
    <cellStyle name="Normal 32 2 6 2 7" xfId="33765"/>
    <cellStyle name="Normal 32 2 6 3" xfId="9617"/>
    <cellStyle name="Normal 32 2 6 3 2" xfId="16653"/>
    <cellStyle name="Normal 32 2 6 3 3" xfId="23620"/>
    <cellStyle name="Normal 32 2 6 3 4" xfId="30587"/>
    <cellStyle name="Normal 32 2 6 3 5" xfId="37556"/>
    <cellStyle name="Normal 32 2 6 4" xfId="14333"/>
    <cellStyle name="Normal 32 2 6 4 2" xfId="21300"/>
    <cellStyle name="Normal 32 2 6 4 3" xfId="28267"/>
    <cellStyle name="Normal 32 2 6 4 4" xfId="35236"/>
    <cellStyle name="Normal 32 2 6 5" xfId="12011"/>
    <cellStyle name="Normal 32 2 6 6" xfId="18978"/>
    <cellStyle name="Normal 32 2 6 7" xfId="25945"/>
    <cellStyle name="Normal 32 2 6 8" xfId="32913"/>
    <cellStyle name="Normal 32 2 7" xfId="5698"/>
    <cellStyle name="Normal 32 2 7 2" xfId="10502"/>
    <cellStyle name="Normal 32 2 7 2 2" xfId="17496"/>
    <cellStyle name="Normal 32 2 7 2 3" xfId="24463"/>
    <cellStyle name="Normal 32 2 7 2 4" xfId="31430"/>
    <cellStyle name="Normal 32 2 7 2 5" xfId="38399"/>
    <cellStyle name="Normal 32 2 7 3" xfId="15176"/>
    <cellStyle name="Normal 32 2 7 3 2" xfId="22143"/>
    <cellStyle name="Normal 32 2 7 3 3" xfId="29110"/>
    <cellStyle name="Normal 32 2 7 3 4" xfId="36079"/>
    <cellStyle name="Normal 32 2 7 4" xfId="12854"/>
    <cellStyle name="Normal 32 2 7 5" xfId="19821"/>
    <cellStyle name="Normal 32 2 7 6" xfId="26788"/>
    <cellStyle name="Normal 32 2 7 7" xfId="33756"/>
    <cellStyle name="Normal 32 2 8" xfId="6917"/>
    <cellStyle name="Normal 32 2 8 2" xfId="10877"/>
    <cellStyle name="Normal 32 2 8 2 2" xfId="17846"/>
    <cellStyle name="Normal 32 2 8 2 3" xfId="24813"/>
    <cellStyle name="Normal 32 2 8 2 4" xfId="31780"/>
    <cellStyle name="Normal 32 2 8 2 5" xfId="38749"/>
    <cellStyle name="Normal 32 2 8 3" xfId="15526"/>
    <cellStyle name="Normal 32 2 8 3 2" xfId="22493"/>
    <cellStyle name="Normal 32 2 8 3 3" xfId="29460"/>
    <cellStyle name="Normal 32 2 8 3 4" xfId="36429"/>
    <cellStyle name="Normal 32 2 8 4" xfId="13204"/>
    <cellStyle name="Normal 32 2 8 5" xfId="20171"/>
    <cellStyle name="Normal 32 2 8 6" xfId="27138"/>
    <cellStyle name="Normal 32 2 8 7" xfId="34107"/>
    <cellStyle name="Normal 32 2 9" xfId="7215"/>
    <cellStyle name="Normal 32 2 9 2" xfId="15699"/>
    <cellStyle name="Normal 32 2 9 2 2" xfId="22666"/>
    <cellStyle name="Normal 32 2 9 2 3" xfId="29633"/>
    <cellStyle name="Normal 32 2 9 2 4" xfId="36602"/>
    <cellStyle name="Normal 32 2 9 3" xfId="13377"/>
    <cellStyle name="Normal 32 2 9 4" xfId="20344"/>
    <cellStyle name="Normal 32 2 9 5" xfId="27311"/>
    <cellStyle name="Normal 32 2 9 6" xfId="34280"/>
    <cellStyle name="Normal 32 3" xfId="1807"/>
    <cellStyle name="Normal 32 3 10" xfId="13552"/>
    <cellStyle name="Normal 32 3 10 2" xfId="20519"/>
    <cellStyle name="Normal 32 3 10 3" xfId="27486"/>
    <cellStyle name="Normal 32 3 10 4" xfId="34455"/>
    <cellStyle name="Normal 32 3 11" xfId="11057"/>
    <cellStyle name="Normal 32 3 12" xfId="18023"/>
    <cellStyle name="Normal 32 3 13" xfId="24991"/>
    <cellStyle name="Normal 32 3 14" xfId="31959"/>
    <cellStyle name="Normal 32 3 2" xfId="3361"/>
    <cellStyle name="Normal 32 3 2 2" xfId="5709"/>
    <cellStyle name="Normal 32 3 2 2 2" xfId="10513"/>
    <cellStyle name="Normal 32 3 2 2 2 2" xfId="17507"/>
    <cellStyle name="Normal 32 3 2 2 2 3" xfId="24474"/>
    <cellStyle name="Normal 32 3 2 2 2 4" xfId="31441"/>
    <cellStyle name="Normal 32 3 2 2 2 5" xfId="38410"/>
    <cellStyle name="Normal 32 3 2 2 3" xfId="15187"/>
    <cellStyle name="Normal 32 3 2 2 3 2" xfId="22154"/>
    <cellStyle name="Normal 32 3 2 2 3 3" xfId="29121"/>
    <cellStyle name="Normal 32 3 2 2 3 4" xfId="36090"/>
    <cellStyle name="Normal 32 3 2 2 4" xfId="12865"/>
    <cellStyle name="Normal 32 3 2 2 5" xfId="19832"/>
    <cellStyle name="Normal 32 3 2 2 6" xfId="26799"/>
    <cellStyle name="Normal 32 3 2 2 7" xfId="33767"/>
    <cellStyle name="Normal 32 3 2 3" xfId="8995"/>
    <cellStyle name="Normal 32 3 2 3 2" xfId="16044"/>
    <cellStyle name="Normal 32 3 2 3 3" xfId="23011"/>
    <cellStyle name="Normal 32 3 2 3 4" xfId="29978"/>
    <cellStyle name="Normal 32 3 2 3 5" xfId="36947"/>
    <cellStyle name="Normal 32 3 2 4" xfId="13722"/>
    <cellStyle name="Normal 32 3 2 4 2" xfId="20689"/>
    <cellStyle name="Normal 32 3 2 4 3" xfId="27656"/>
    <cellStyle name="Normal 32 3 2 4 4" xfId="34625"/>
    <cellStyle name="Normal 32 3 2 5" xfId="11400"/>
    <cellStyle name="Normal 32 3 2 6" xfId="18367"/>
    <cellStyle name="Normal 32 3 2 7" xfId="25334"/>
    <cellStyle name="Normal 32 3 2 8" xfId="32302"/>
    <cellStyle name="Normal 32 3 3" xfId="3560"/>
    <cellStyle name="Normal 32 3 3 2" xfId="5710"/>
    <cellStyle name="Normal 32 3 3 2 2" xfId="10514"/>
    <cellStyle name="Normal 32 3 3 2 2 2" xfId="17508"/>
    <cellStyle name="Normal 32 3 3 2 2 3" xfId="24475"/>
    <cellStyle name="Normal 32 3 3 2 2 4" xfId="31442"/>
    <cellStyle name="Normal 32 3 3 2 2 5" xfId="38411"/>
    <cellStyle name="Normal 32 3 3 2 3" xfId="15188"/>
    <cellStyle name="Normal 32 3 3 2 3 2" xfId="22155"/>
    <cellStyle name="Normal 32 3 3 2 3 3" xfId="29122"/>
    <cellStyle name="Normal 32 3 3 2 3 4" xfId="36091"/>
    <cellStyle name="Normal 32 3 3 2 4" xfId="12866"/>
    <cellStyle name="Normal 32 3 3 2 5" xfId="19833"/>
    <cellStyle name="Normal 32 3 3 2 6" xfId="26800"/>
    <cellStyle name="Normal 32 3 3 2 7" xfId="33768"/>
    <cellStyle name="Normal 32 3 3 3" xfId="9172"/>
    <cellStyle name="Normal 32 3 3 3 2" xfId="16211"/>
    <cellStyle name="Normal 32 3 3 3 3" xfId="23178"/>
    <cellStyle name="Normal 32 3 3 3 4" xfId="30145"/>
    <cellStyle name="Normal 32 3 3 3 5" xfId="37114"/>
    <cellStyle name="Normal 32 3 3 4" xfId="13891"/>
    <cellStyle name="Normal 32 3 3 4 2" xfId="20858"/>
    <cellStyle name="Normal 32 3 3 4 3" xfId="27825"/>
    <cellStyle name="Normal 32 3 3 4 4" xfId="34794"/>
    <cellStyle name="Normal 32 3 3 5" xfId="11569"/>
    <cellStyle name="Normal 32 3 3 6" xfId="18536"/>
    <cellStyle name="Normal 32 3 3 7" xfId="25503"/>
    <cellStyle name="Normal 32 3 3 8" xfId="32471"/>
    <cellStyle name="Normal 32 3 4" xfId="3735"/>
    <cellStyle name="Normal 32 3 4 2" xfId="5711"/>
    <cellStyle name="Normal 32 3 4 2 2" xfId="10515"/>
    <cellStyle name="Normal 32 3 4 2 2 2" xfId="17509"/>
    <cellStyle name="Normal 32 3 4 2 2 3" xfId="24476"/>
    <cellStyle name="Normal 32 3 4 2 2 4" xfId="31443"/>
    <cellStyle name="Normal 32 3 4 2 2 5" xfId="38412"/>
    <cellStyle name="Normal 32 3 4 2 3" xfId="15189"/>
    <cellStyle name="Normal 32 3 4 2 3 2" xfId="22156"/>
    <cellStyle name="Normal 32 3 4 2 3 3" xfId="29123"/>
    <cellStyle name="Normal 32 3 4 2 3 4" xfId="36092"/>
    <cellStyle name="Normal 32 3 4 2 4" xfId="12867"/>
    <cellStyle name="Normal 32 3 4 2 5" xfId="19834"/>
    <cellStyle name="Normal 32 3 4 2 6" xfId="26801"/>
    <cellStyle name="Normal 32 3 4 2 7" xfId="33769"/>
    <cellStyle name="Normal 32 3 4 3" xfId="9343"/>
    <cellStyle name="Normal 32 3 4 3 2" xfId="16382"/>
    <cellStyle name="Normal 32 3 4 3 3" xfId="23349"/>
    <cellStyle name="Normal 32 3 4 3 4" xfId="30316"/>
    <cellStyle name="Normal 32 3 4 3 5" xfId="37285"/>
    <cellStyle name="Normal 32 3 4 4" xfId="14062"/>
    <cellStyle name="Normal 32 3 4 4 2" xfId="21029"/>
    <cellStyle name="Normal 32 3 4 4 3" xfId="27996"/>
    <cellStyle name="Normal 32 3 4 4 4" xfId="34965"/>
    <cellStyle name="Normal 32 3 4 5" xfId="11740"/>
    <cellStyle name="Normal 32 3 4 6" xfId="18707"/>
    <cellStyle name="Normal 32 3 4 7" xfId="25674"/>
    <cellStyle name="Normal 32 3 4 8" xfId="32642"/>
    <cellStyle name="Normal 32 3 5" xfId="4013"/>
    <cellStyle name="Normal 32 3 5 2" xfId="5712"/>
    <cellStyle name="Normal 32 3 5 2 2" xfId="10516"/>
    <cellStyle name="Normal 32 3 5 2 2 2" xfId="17510"/>
    <cellStyle name="Normal 32 3 5 2 2 3" xfId="24477"/>
    <cellStyle name="Normal 32 3 5 2 2 4" xfId="31444"/>
    <cellStyle name="Normal 32 3 5 2 2 5" xfId="38413"/>
    <cellStyle name="Normal 32 3 5 2 3" xfId="15190"/>
    <cellStyle name="Normal 32 3 5 2 3 2" xfId="22157"/>
    <cellStyle name="Normal 32 3 5 2 3 3" xfId="29124"/>
    <cellStyle name="Normal 32 3 5 2 3 4" xfId="36093"/>
    <cellStyle name="Normal 32 3 5 2 4" xfId="12868"/>
    <cellStyle name="Normal 32 3 5 2 5" xfId="19835"/>
    <cellStyle name="Normal 32 3 5 2 6" xfId="26802"/>
    <cellStyle name="Normal 32 3 5 2 7" xfId="33770"/>
    <cellStyle name="Normal 32 3 5 3" xfId="9619"/>
    <cellStyle name="Normal 32 3 5 3 2" xfId="16655"/>
    <cellStyle name="Normal 32 3 5 3 3" xfId="23622"/>
    <cellStyle name="Normal 32 3 5 3 4" xfId="30589"/>
    <cellStyle name="Normal 32 3 5 3 5" xfId="37558"/>
    <cellStyle name="Normal 32 3 5 4" xfId="14335"/>
    <cellStyle name="Normal 32 3 5 4 2" xfId="21302"/>
    <cellStyle name="Normal 32 3 5 4 3" xfId="28269"/>
    <cellStyle name="Normal 32 3 5 4 4" xfId="35238"/>
    <cellStyle name="Normal 32 3 5 5" xfId="12013"/>
    <cellStyle name="Normal 32 3 5 6" xfId="18980"/>
    <cellStyle name="Normal 32 3 5 7" xfId="25947"/>
    <cellStyle name="Normal 32 3 5 8" xfId="32915"/>
    <cellStyle name="Normal 32 3 6" xfId="5708"/>
    <cellStyle name="Normal 32 3 6 2" xfId="10512"/>
    <cellStyle name="Normal 32 3 6 2 2" xfId="17506"/>
    <cellStyle name="Normal 32 3 6 2 3" xfId="24473"/>
    <cellStyle name="Normal 32 3 6 2 4" xfId="31440"/>
    <cellStyle name="Normal 32 3 6 2 5" xfId="38409"/>
    <cellStyle name="Normal 32 3 6 3" xfId="15186"/>
    <cellStyle name="Normal 32 3 6 3 2" xfId="22153"/>
    <cellStyle name="Normal 32 3 6 3 3" xfId="29120"/>
    <cellStyle name="Normal 32 3 6 3 4" xfId="36089"/>
    <cellStyle name="Normal 32 3 6 4" xfId="12864"/>
    <cellStyle name="Normal 32 3 6 5" xfId="19831"/>
    <cellStyle name="Normal 32 3 6 6" xfId="26798"/>
    <cellStyle name="Normal 32 3 6 7" xfId="33766"/>
    <cellStyle name="Normal 32 3 7" xfId="6919"/>
    <cellStyle name="Normal 32 3 7 2" xfId="10879"/>
    <cellStyle name="Normal 32 3 7 2 2" xfId="17848"/>
    <cellStyle name="Normal 32 3 7 2 3" xfId="24815"/>
    <cellStyle name="Normal 32 3 7 2 4" xfId="31782"/>
    <cellStyle name="Normal 32 3 7 2 5" xfId="38751"/>
    <cellStyle name="Normal 32 3 7 3" xfId="15528"/>
    <cellStyle name="Normal 32 3 7 3 2" xfId="22495"/>
    <cellStyle name="Normal 32 3 7 3 3" xfId="29462"/>
    <cellStyle name="Normal 32 3 7 3 4" xfId="36431"/>
    <cellStyle name="Normal 32 3 7 4" xfId="13206"/>
    <cellStyle name="Normal 32 3 7 5" xfId="20173"/>
    <cellStyle name="Normal 32 3 7 6" xfId="27140"/>
    <cellStyle name="Normal 32 3 7 7" xfId="34109"/>
    <cellStyle name="Normal 32 3 8" xfId="7217"/>
    <cellStyle name="Normal 32 3 8 2" xfId="15701"/>
    <cellStyle name="Normal 32 3 8 2 2" xfId="22668"/>
    <cellStyle name="Normal 32 3 8 2 3" xfId="29635"/>
    <cellStyle name="Normal 32 3 8 2 4" xfId="36604"/>
    <cellStyle name="Normal 32 3 8 3" xfId="13379"/>
    <cellStyle name="Normal 32 3 8 4" xfId="20346"/>
    <cellStyle name="Normal 32 3 8 5" xfId="27313"/>
    <cellStyle name="Normal 32 3 8 6" xfId="34282"/>
    <cellStyle name="Normal 32 3 9" xfId="8138"/>
    <cellStyle name="Normal 32 3 9 2" xfId="15874"/>
    <cellStyle name="Normal 32 3 9 2 2" xfId="22841"/>
    <cellStyle name="Normal 32 3 9 2 3" xfId="29808"/>
    <cellStyle name="Normal 32 3 9 2 4" xfId="36777"/>
    <cellStyle name="Normal 32 3 9 3" xfId="11230"/>
    <cellStyle name="Normal 32 3 9 4" xfId="18197"/>
    <cellStyle name="Normal 32 3 9 5" xfId="25164"/>
    <cellStyle name="Normal 32 3 9 6" xfId="32132"/>
    <cellStyle name="Normal 32 4" xfId="3358"/>
    <cellStyle name="Normal 32 4 2" xfId="5713"/>
    <cellStyle name="Normal 32 4 2 2" xfId="10517"/>
    <cellStyle name="Normal 32 4 2 2 2" xfId="17511"/>
    <cellStyle name="Normal 32 4 2 2 3" xfId="24478"/>
    <cellStyle name="Normal 32 4 2 2 4" xfId="31445"/>
    <cellStyle name="Normal 32 4 2 2 5" xfId="38414"/>
    <cellStyle name="Normal 32 4 2 3" xfId="15191"/>
    <cellStyle name="Normal 32 4 2 3 2" xfId="22158"/>
    <cellStyle name="Normal 32 4 2 3 3" xfId="29125"/>
    <cellStyle name="Normal 32 4 2 3 4" xfId="36094"/>
    <cellStyle name="Normal 32 4 2 4" xfId="12869"/>
    <cellStyle name="Normal 32 4 2 5" xfId="19836"/>
    <cellStyle name="Normal 32 4 2 6" xfId="26803"/>
    <cellStyle name="Normal 32 4 2 7" xfId="33771"/>
    <cellStyle name="Normal 32 4 3" xfId="8992"/>
    <cellStyle name="Normal 32 4 3 2" xfId="16041"/>
    <cellStyle name="Normal 32 4 3 3" xfId="23008"/>
    <cellStyle name="Normal 32 4 3 4" xfId="29975"/>
    <cellStyle name="Normal 32 4 3 5" xfId="36944"/>
    <cellStyle name="Normal 32 4 4" xfId="13719"/>
    <cellStyle name="Normal 32 4 4 2" xfId="20686"/>
    <cellStyle name="Normal 32 4 4 3" xfId="27653"/>
    <cellStyle name="Normal 32 4 4 4" xfId="34622"/>
    <cellStyle name="Normal 32 4 5" xfId="11397"/>
    <cellStyle name="Normal 32 4 6" xfId="18364"/>
    <cellStyle name="Normal 32 4 7" xfId="25331"/>
    <cellStyle name="Normal 32 4 8" xfId="32299"/>
    <cellStyle name="Normal 32 5" xfId="3557"/>
    <cellStyle name="Normal 32 5 2" xfId="5714"/>
    <cellStyle name="Normal 32 5 2 2" xfId="10518"/>
    <cellStyle name="Normal 32 5 2 2 2" xfId="17512"/>
    <cellStyle name="Normal 32 5 2 2 3" xfId="24479"/>
    <cellStyle name="Normal 32 5 2 2 4" xfId="31446"/>
    <cellStyle name="Normal 32 5 2 2 5" xfId="38415"/>
    <cellStyle name="Normal 32 5 2 3" xfId="15192"/>
    <cellStyle name="Normal 32 5 2 3 2" xfId="22159"/>
    <cellStyle name="Normal 32 5 2 3 3" xfId="29126"/>
    <cellStyle name="Normal 32 5 2 3 4" xfId="36095"/>
    <cellStyle name="Normal 32 5 2 4" xfId="12870"/>
    <cellStyle name="Normal 32 5 2 5" xfId="19837"/>
    <cellStyle name="Normal 32 5 2 6" xfId="26804"/>
    <cellStyle name="Normal 32 5 2 7" xfId="33772"/>
    <cellStyle name="Normal 32 5 3" xfId="9169"/>
    <cellStyle name="Normal 32 5 3 2" xfId="16208"/>
    <cellStyle name="Normal 32 5 3 3" xfId="23175"/>
    <cellStyle name="Normal 32 5 3 4" xfId="30142"/>
    <cellStyle name="Normal 32 5 3 5" xfId="37111"/>
    <cellStyle name="Normal 32 5 4" xfId="13888"/>
    <cellStyle name="Normal 32 5 4 2" xfId="20855"/>
    <cellStyle name="Normal 32 5 4 3" xfId="27822"/>
    <cellStyle name="Normal 32 5 4 4" xfId="34791"/>
    <cellStyle name="Normal 32 5 5" xfId="11566"/>
    <cellStyle name="Normal 32 5 6" xfId="18533"/>
    <cellStyle name="Normal 32 5 7" xfId="25500"/>
    <cellStyle name="Normal 32 5 8" xfId="32468"/>
    <cellStyle name="Normal 32 6" xfId="3732"/>
    <cellStyle name="Normal 32 6 2" xfId="5715"/>
    <cellStyle name="Normal 32 6 2 2" xfId="10519"/>
    <cellStyle name="Normal 32 6 2 2 2" xfId="17513"/>
    <cellStyle name="Normal 32 6 2 2 3" xfId="24480"/>
    <cellStyle name="Normal 32 6 2 2 4" xfId="31447"/>
    <cellStyle name="Normal 32 6 2 2 5" xfId="38416"/>
    <cellStyle name="Normal 32 6 2 3" xfId="15193"/>
    <cellStyle name="Normal 32 6 2 3 2" xfId="22160"/>
    <cellStyle name="Normal 32 6 2 3 3" xfId="29127"/>
    <cellStyle name="Normal 32 6 2 3 4" xfId="36096"/>
    <cellStyle name="Normal 32 6 2 4" xfId="12871"/>
    <cellStyle name="Normal 32 6 2 5" xfId="19838"/>
    <cellStyle name="Normal 32 6 2 6" xfId="26805"/>
    <cellStyle name="Normal 32 6 2 7" xfId="33773"/>
    <cellStyle name="Normal 32 6 3" xfId="9340"/>
    <cellStyle name="Normal 32 6 3 2" xfId="16379"/>
    <cellStyle name="Normal 32 6 3 3" xfId="23346"/>
    <cellStyle name="Normal 32 6 3 4" xfId="30313"/>
    <cellStyle name="Normal 32 6 3 5" xfId="37282"/>
    <cellStyle name="Normal 32 6 4" xfId="14059"/>
    <cellStyle name="Normal 32 6 4 2" xfId="21026"/>
    <cellStyle name="Normal 32 6 4 3" xfId="27993"/>
    <cellStyle name="Normal 32 6 4 4" xfId="34962"/>
    <cellStyle name="Normal 32 6 5" xfId="11737"/>
    <cellStyle name="Normal 32 6 6" xfId="18704"/>
    <cellStyle name="Normal 32 6 7" xfId="25671"/>
    <cellStyle name="Normal 32 6 8" xfId="32639"/>
    <cellStyle name="Normal 32 7" xfId="4010"/>
    <cellStyle name="Normal 32 7 2" xfId="5716"/>
    <cellStyle name="Normal 32 7 2 2" xfId="10520"/>
    <cellStyle name="Normal 32 7 2 2 2" xfId="17514"/>
    <cellStyle name="Normal 32 7 2 2 3" xfId="24481"/>
    <cellStyle name="Normal 32 7 2 2 4" xfId="31448"/>
    <cellStyle name="Normal 32 7 2 2 5" xfId="38417"/>
    <cellStyle name="Normal 32 7 2 3" xfId="15194"/>
    <cellStyle name="Normal 32 7 2 3 2" xfId="22161"/>
    <cellStyle name="Normal 32 7 2 3 3" xfId="29128"/>
    <cellStyle name="Normal 32 7 2 3 4" xfId="36097"/>
    <cellStyle name="Normal 32 7 2 4" xfId="12872"/>
    <cellStyle name="Normal 32 7 2 5" xfId="19839"/>
    <cellStyle name="Normal 32 7 2 6" xfId="26806"/>
    <cellStyle name="Normal 32 7 2 7" xfId="33774"/>
    <cellStyle name="Normal 32 7 3" xfId="9616"/>
    <cellStyle name="Normal 32 7 3 2" xfId="16652"/>
    <cellStyle name="Normal 32 7 3 3" xfId="23619"/>
    <cellStyle name="Normal 32 7 3 4" xfId="30586"/>
    <cellStyle name="Normal 32 7 3 5" xfId="37555"/>
    <cellStyle name="Normal 32 7 4" xfId="14332"/>
    <cellStyle name="Normal 32 7 4 2" xfId="21299"/>
    <cellStyle name="Normal 32 7 4 3" xfId="28266"/>
    <cellStyle name="Normal 32 7 4 4" xfId="35235"/>
    <cellStyle name="Normal 32 7 5" xfId="12010"/>
    <cellStyle name="Normal 32 7 6" xfId="18977"/>
    <cellStyle name="Normal 32 7 7" xfId="25944"/>
    <cellStyle name="Normal 32 7 8" xfId="32912"/>
    <cellStyle name="Normal 32 8" xfId="5697"/>
    <cellStyle name="Normal 32 8 2" xfId="10501"/>
    <cellStyle name="Normal 32 8 2 2" xfId="17495"/>
    <cellStyle name="Normal 32 8 2 3" xfId="24462"/>
    <cellStyle name="Normal 32 8 2 4" xfId="31429"/>
    <cellStyle name="Normal 32 8 2 5" xfId="38398"/>
    <cellStyle name="Normal 32 8 3" xfId="15175"/>
    <cellStyle name="Normal 32 8 3 2" xfId="22142"/>
    <cellStyle name="Normal 32 8 3 3" xfId="29109"/>
    <cellStyle name="Normal 32 8 3 4" xfId="36078"/>
    <cellStyle name="Normal 32 8 4" xfId="12853"/>
    <cellStyle name="Normal 32 8 5" xfId="19820"/>
    <cellStyle name="Normal 32 8 6" xfId="26787"/>
    <cellStyle name="Normal 32 8 7" xfId="33755"/>
    <cellStyle name="Normal 32 9" xfId="6916"/>
    <cellStyle name="Normal 32 9 2" xfId="10876"/>
    <cellStyle name="Normal 32 9 2 2" xfId="17845"/>
    <cellStyle name="Normal 32 9 2 3" xfId="24812"/>
    <cellStyle name="Normal 32 9 2 4" xfId="31779"/>
    <cellStyle name="Normal 32 9 2 5" xfId="38748"/>
    <cellStyle name="Normal 32 9 3" xfId="15525"/>
    <cellStyle name="Normal 32 9 3 2" xfId="22492"/>
    <cellStyle name="Normal 32 9 3 3" xfId="29459"/>
    <cellStyle name="Normal 32 9 3 4" xfId="36428"/>
    <cellStyle name="Normal 32 9 4" xfId="13203"/>
    <cellStyle name="Normal 32 9 5" xfId="20170"/>
    <cellStyle name="Normal 32 9 6" xfId="27137"/>
    <cellStyle name="Normal 32 9 7" xfId="34106"/>
    <cellStyle name="Normal 33" xfId="1808"/>
    <cellStyle name="Normal 33 10" xfId="7218"/>
    <cellStyle name="Normal 33 10 2" xfId="15702"/>
    <cellStyle name="Normal 33 10 2 2" xfId="22669"/>
    <cellStyle name="Normal 33 10 2 3" xfId="29636"/>
    <cellStyle name="Normal 33 10 2 4" xfId="36605"/>
    <cellStyle name="Normal 33 10 3" xfId="13380"/>
    <cellStyle name="Normal 33 10 4" xfId="20347"/>
    <cellStyle name="Normal 33 10 5" xfId="27314"/>
    <cellStyle name="Normal 33 10 6" xfId="34283"/>
    <cellStyle name="Normal 33 11" xfId="8139"/>
    <cellStyle name="Normal 33 11 2" xfId="15875"/>
    <cellStyle name="Normal 33 11 2 2" xfId="22842"/>
    <cellStyle name="Normal 33 11 2 3" xfId="29809"/>
    <cellStyle name="Normal 33 11 2 4" xfId="36778"/>
    <cellStyle name="Normal 33 11 3" xfId="11231"/>
    <cellStyle name="Normal 33 11 4" xfId="18198"/>
    <cellStyle name="Normal 33 11 5" xfId="25165"/>
    <cellStyle name="Normal 33 11 6" xfId="32133"/>
    <cellStyle name="Normal 33 12" xfId="13553"/>
    <cellStyle name="Normal 33 12 2" xfId="20520"/>
    <cellStyle name="Normal 33 12 3" xfId="27487"/>
    <cellStyle name="Normal 33 12 4" xfId="34456"/>
    <cellStyle name="Normal 33 13" xfId="11058"/>
    <cellStyle name="Normal 33 14" xfId="18024"/>
    <cellStyle name="Normal 33 15" xfId="24992"/>
    <cellStyle name="Normal 33 16" xfId="31960"/>
    <cellStyle name="Normal 33 2" xfId="1809"/>
    <cellStyle name="Normal 33 2 10" xfId="8140"/>
    <cellStyle name="Normal 33 2 10 2" xfId="15876"/>
    <cellStyle name="Normal 33 2 10 2 2" xfId="22843"/>
    <cellStyle name="Normal 33 2 10 2 3" xfId="29810"/>
    <cellStyle name="Normal 33 2 10 2 4" xfId="36779"/>
    <cellStyle name="Normal 33 2 10 3" xfId="11232"/>
    <cellStyle name="Normal 33 2 10 4" xfId="18199"/>
    <cellStyle name="Normal 33 2 10 5" xfId="25166"/>
    <cellStyle name="Normal 33 2 10 6" xfId="32134"/>
    <cellStyle name="Normal 33 2 11" xfId="13554"/>
    <cellStyle name="Normal 33 2 11 2" xfId="20521"/>
    <cellStyle name="Normal 33 2 11 3" xfId="27488"/>
    <cellStyle name="Normal 33 2 11 4" xfId="34457"/>
    <cellStyle name="Normal 33 2 12" xfId="11059"/>
    <cellStyle name="Normal 33 2 13" xfId="18025"/>
    <cellStyle name="Normal 33 2 14" xfId="24993"/>
    <cellStyle name="Normal 33 2 15" xfId="31961"/>
    <cellStyle name="Normal 33 2 2" xfId="1810"/>
    <cellStyle name="Normal 33 2 2 10" xfId="13555"/>
    <cellStyle name="Normal 33 2 2 10 2" xfId="20522"/>
    <cellStyle name="Normal 33 2 2 10 3" xfId="27489"/>
    <cellStyle name="Normal 33 2 2 10 4" xfId="34458"/>
    <cellStyle name="Normal 33 2 2 11" xfId="11060"/>
    <cellStyle name="Normal 33 2 2 12" xfId="18026"/>
    <cellStyle name="Normal 33 2 2 13" xfId="24994"/>
    <cellStyle name="Normal 33 2 2 14" xfId="31962"/>
    <cellStyle name="Normal 33 2 2 2" xfId="3364"/>
    <cellStyle name="Normal 33 2 2 2 2" xfId="5720"/>
    <cellStyle name="Normal 33 2 2 2 2 2" xfId="10524"/>
    <cellStyle name="Normal 33 2 2 2 2 2 2" xfId="17518"/>
    <cellStyle name="Normal 33 2 2 2 2 2 3" xfId="24485"/>
    <cellStyle name="Normal 33 2 2 2 2 2 4" xfId="31452"/>
    <cellStyle name="Normal 33 2 2 2 2 2 5" xfId="38421"/>
    <cellStyle name="Normal 33 2 2 2 2 3" xfId="15198"/>
    <cellStyle name="Normal 33 2 2 2 2 3 2" xfId="22165"/>
    <cellStyle name="Normal 33 2 2 2 2 3 3" xfId="29132"/>
    <cellStyle name="Normal 33 2 2 2 2 3 4" xfId="36101"/>
    <cellStyle name="Normal 33 2 2 2 2 4" xfId="12876"/>
    <cellStyle name="Normal 33 2 2 2 2 5" xfId="19843"/>
    <cellStyle name="Normal 33 2 2 2 2 6" xfId="26810"/>
    <cellStyle name="Normal 33 2 2 2 2 7" xfId="33778"/>
    <cellStyle name="Normal 33 2 2 2 3" xfId="8998"/>
    <cellStyle name="Normal 33 2 2 2 3 2" xfId="16047"/>
    <cellStyle name="Normal 33 2 2 2 3 3" xfId="23014"/>
    <cellStyle name="Normal 33 2 2 2 3 4" xfId="29981"/>
    <cellStyle name="Normal 33 2 2 2 3 5" xfId="36950"/>
    <cellStyle name="Normal 33 2 2 2 4" xfId="13725"/>
    <cellStyle name="Normal 33 2 2 2 4 2" xfId="20692"/>
    <cellStyle name="Normal 33 2 2 2 4 3" xfId="27659"/>
    <cellStyle name="Normal 33 2 2 2 4 4" xfId="34628"/>
    <cellStyle name="Normal 33 2 2 2 5" xfId="11403"/>
    <cellStyle name="Normal 33 2 2 2 6" xfId="18370"/>
    <cellStyle name="Normal 33 2 2 2 7" xfId="25337"/>
    <cellStyle name="Normal 33 2 2 2 8" xfId="32305"/>
    <cellStyle name="Normal 33 2 2 3" xfId="3563"/>
    <cellStyle name="Normal 33 2 2 3 2" xfId="5721"/>
    <cellStyle name="Normal 33 2 2 3 2 2" xfId="10525"/>
    <cellStyle name="Normal 33 2 2 3 2 2 2" xfId="17519"/>
    <cellStyle name="Normal 33 2 2 3 2 2 3" xfId="24486"/>
    <cellStyle name="Normal 33 2 2 3 2 2 4" xfId="31453"/>
    <cellStyle name="Normal 33 2 2 3 2 2 5" xfId="38422"/>
    <cellStyle name="Normal 33 2 2 3 2 3" xfId="15199"/>
    <cellStyle name="Normal 33 2 2 3 2 3 2" xfId="22166"/>
    <cellStyle name="Normal 33 2 2 3 2 3 3" xfId="29133"/>
    <cellStyle name="Normal 33 2 2 3 2 3 4" xfId="36102"/>
    <cellStyle name="Normal 33 2 2 3 2 4" xfId="12877"/>
    <cellStyle name="Normal 33 2 2 3 2 5" xfId="19844"/>
    <cellStyle name="Normal 33 2 2 3 2 6" xfId="26811"/>
    <cellStyle name="Normal 33 2 2 3 2 7" xfId="33779"/>
    <cellStyle name="Normal 33 2 2 3 3" xfId="9175"/>
    <cellStyle name="Normal 33 2 2 3 3 2" xfId="16214"/>
    <cellStyle name="Normal 33 2 2 3 3 3" xfId="23181"/>
    <cellStyle name="Normal 33 2 2 3 3 4" xfId="30148"/>
    <cellStyle name="Normal 33 2 2 3 3 5" xfId="37117"/>
    <cellStyle name="Normal 33 2 2 3 4" xfId="13894"/>
    <cellStyle name="Normal 33 2 2 3 4 2" xfId="20861"/>
    <cellStyle name="Normal 33 2 2 3 4 3" xfId="27828"/>
    <cellStyle name="Normal 33 2 2 3 4 4" xfId="34797"/>
    <cellStyle name="Normal 33 2 2 3 5" xfId="11572"/>
    <cellStyle name="Normal 33 2 2 3 6" xfId="18539"/>
    <cellStyle name="Normal 33 2 2 3 7" xfId="25506"/>
    <cellStyle name="Normal 33 2 2 3 8" xfId="32474"/>
    <cellStyle name="Normal 33 2 2 4" xfId="3738"/>
    <cellStyle name="Normal 33 2 2 4 2" xfId="5722"/>
    <cellStyle name="Normal 33 2 2 4 2 2" xfId="10526"/>
    <cellStyle name="Normal 33 2 2 4 2 2 2" xfId="17520"/>
    <cellStyle name="Normal 33 2 2 4 2 2 3" xfId="24487"/>
    <cellStyle name="Normal 33 2 2 4 2 2 4" xfId="31454"/>
    <cellStyle name="Normal 33 2 2 4 2 2 5" xfId="38423"/>
    <cellStyle name="Normal 33 2 2 4 2 3" xfId="15200"/>
    <cellStyle name="Normal 33 2 2 4 2 3 2" xfId="22167"/>
    <cellStyle name="Normal 33 2 2 4 2 3 3" xfId="29134"/>
    <cellStyle name="Normal 33 2 2 4 2 3 4" xfId="36103"/>
    <cellStyle name="Normal 33 2 2 4 2 4" xfId="12878"/>
    <cellStyle name="Normal 33 2 2 4 2 5" xfId="19845"/>
    <cellStyle name="Normal 33 2 2 4 2 6" xfId="26812"/>
    <cellStyle name="Normal 33 2 2 4 2 7" xfId="33780"/>
    <cellStyle name="Normal 33 2 2 4 3" xfId="9346"/>
    <cellStyle name="Normal 33 2 2 4 3 2" xfId="16385"/>
    <cellStyle name="Normal 33 2 2 4 3 3" xfId="23352"/>
    <cellStyle name="Normal 33 2 2 4 3 4" xfId="30319"/>
    <cellStyle name="Normal 33 2 2 4 3 5" xfId="37288"/>
    <cellStyle name="Normal 33 2 2 4 4" xfId="14065"/>
    <cellStyle name="Normal 33 2 2 4 4 2" xfId="21032"/>
    <cellStyle name="Normal 33 2 2 4 4 3" xfId="27999"/>
    <cellStyle name="Normal 33 2 2 4 4 4" xfId="34968"/>
    <cellStyle name="Normal 33 2 2 4 5" xfId="11743"/>
    <cellStyle name="Normal 33 2 2 4 6" xfId="18710"/>
    <cellStyle name="Normal 33 2 2 4 7" xfId="25677"/>
    <cellStyle name="Normal 33 2 2 4 8" xfId="32645"/>
    <cellStyle name="Normal 33 2 2 5" xfId="4016"/>
    <cellStyle name="Normal 33 2 2 5 2" xfId="5723"/>
    <cellStyle name="Normal 33 2 2 5 2 2" xfId="10527"/>
    <cellStyle name="Normal 33 2 2 5 2 2 2" xfId="17521"/>
    <cellStyle name="Normal 33 2 2 5 2 2 3" xfId="24488"/>
    <cellStyle name="Normal 33 2 2 5 2 2 4" xfId="31455"/>
    <cellStyle name="Normal 33 2 2 5 2 2 5" xfId="38424"/>
    <cellStyle name="Normal 33 2 2 5 2 3" xfId="15201"/>
    <cellStyle name="Normal 33 2 2 5 2 3 2" xfId="22168"/>
    <cellStyle name="Normal 33 2 2 5 2 3 3" xfId="29135"/>
    <cellStyle name="Normal 33 2 2 5 2 3 4" xfId="36104"/>
    <cellStyle name="Normal 33 2 2 5 2 4" xfId="12879"/>
    <cellStyle name="Normal 33 2 2 5 2 5" xfId="19846"/>
    <cellStyle name="Normal 33 2 2 5 2 6" xfId="26813"/>
    <cellStyle name="Normal 33 2 2 5 2 7" xfId="33781"/>
    <cellStyle name="Normal 33 2 2 5 3" xfId="9622"/>
    <cellStyle name="Normal 33 2 2 5 3 2" xfId="16658"/>
    <cellStyle name="Normal 33 2 2 5 3 3" xfId="23625"/>
    <cellStyle name="Normal 33 2 2 5 3 4" xfId="30592"/>
    <cellStyle name="Normal 33 2 2 5 3 5" xfId="37561"/>
    <cellStyle name="Normal 33 2 2 5 4" xfId="14338"/>
    <cellStyle name="Normal 33 2 2 5 4 2" xfId="21305"/>
    <cellStyle name="Normal 33 2 2 5 4 3" xfId="28272"/>
    <cellStyle name="Normal 33 2 2 5 4 4" xfId="35241"/>
    <cellStyle name="Normal 33 2 2 5 5" xfId="12016"/>
    <cellStyle name="Normal 33 2 2 5 6" xfId="18983"/>
    <cellStyle name="Normal 33 2 2 5 7" xfId="25950"/>
    <cellStyle name="Normal 33 2 2 5 8" xfId="32918"/>
    <cellStyle name="Normal 33 2 2 6" xfId="5719"/>
    <cellStyle name="Normal 33 2 2 6 2" xfId="10523"/>
    <cellStyle name="Normal 33 2 2 6 2 2" xfId="17517"/>
    <cellStyle name="Normal 33 2 2 6 2 3" xfId="24484"/>
    <cellStyle name="Normal 33 2 2 6 2 4" xfId="31451"/>
    <cellStyle name="Normal 33 2 2 6 2 5" xfId="38420"/>
    <cellStyle name="Normal 33 2 2 6 3" xfId="15197"/>
    <cellStyle name="Normal 33 2 2 6 3 2" xfId="22164"/>
    <cellStyle name="Normal 33 2 2 6 3 3" xfId="29131"/>
    <cellStyle name="Normal 33 2 2 6 3 4" xfId="36100"/>
    <cellStyle name="Normal 33 2 2 6 4" xfId="12875"/>
    <cellStyle name="Normal 33 2 2 6 5" xfId="19842"/>
    <cellStyle name="Normal 33 2 2 6 6" xfId="26809"/>
    <cellStyle name="Normal 33 2 2 6 7" xfId="33777"/>
    <cellStyle name="Normal 33 2 2 7" xfId="6922"/>
    <cellStyle name="Normal 33 2 2 7 2" xfId="10882"/>
    <cellStyle name="Normal 33 2 2 7 2 2" xfId="17851"/>
    <cellStyle name="Normal 33 2 2 7 2 3" xfId="24818"/>
    <cellStyle name="Normal 33 2 2 7 2 4" xfId="31785"/>
    <cellStyle name="Normal 33 2 2 7 2 5" xfId="38754"/>
    <cellStyle name="Normal 33 2 2 7 3" xfId="15531"/>
    <cellStyle name="Normal 33 2 2 7 3 2" xfId="22498"/>
    <cellStyle name="Normal 33 2 2 7 3 3" xfId="29465"/>
    <cellStyle name="Normal 33 2 2 7 3 4" xfId="36434"/>
    <cellStyle name="Normal 33 2 2 7 4" xfId="13209"/>
    <cellStyle name="Normal 33 2 2 7 5" xfId="20176"/>
    <cellStyle name="Normal 33 2 2 7 6" xfId="27143"/>
    <cellStyle name="Normal 33 2 2 7 7" xfId="34112"/>
    <cellStyle name="Normal 33 2 2 8" xfId="7220"/>
    <cellStyle name="Normal 33 2 2 8 2" xfId="15704"/>
    <cellStyle name="Normal 33 2 2 8 2 2" xfId="22671"/>
    <cellStyle name="Normal 33 2 2 8 2 3" xfId="29638"/>
    <cellStyle name="Normal 33 2 2 8 2 4" xfId="36607"/>
    <cellStyle name="Normal 33 2 2 8 3" xfId="13382"/>
    <cellStyle name="Normal 33 2 2 8 4" xfId="20349"/>
    <cellStyle name="Normal 33 2 2 8 5" xfId="27316"/>
    <cellStyle name="Normal 33 2 2 8 6" xfId="34285"/>
    <cellStyle name="Normal 33 2 2 9" xfId="8141"/>
    <cellStyle name="Normal 33 2 2 9 2" xfId="15877"/>
    <cellStyle name="Normal 33 2 2 9 2 2" xfId="22844"/>
    <cellStyle name="Normal 33 2 2 9 2 3" xfId="29811"/>
    <cellStyle name="Normal 33 2 2 9 2 4" xfId="36780"/>
    <cellStyle name="Normal 33 2 2 9 3" xfId="11233"/>
    <cellStyle name="Normal 33 2 2 9 4" xfId="18200"/>
    <cellStyle name="Normal 33 2 2 9 5" xfId="25167"/>
    <cellStyle name="Normal 33 2 2 9 6" xfId="32135"/>
    <cellStyle name="Normal 33 2 3" xfId="3363"/>
    <cellStyle name="Normal 33 2 3 2" xfId="5724"/>
    <cellStyle name="Normal 33 2 3 2 2" xfId="10528"/>
    <cellStyle name="Normal 33 2 3 2 2 2" xfId="17522"/>
    <cellStyle name="Normal 33 2 3 2 2 3" xfId="24489"/>
    <cellStyle name="Normal 33 2 3 2 2 4" xfId="31456"/>
    <cellStyle name="Normal 33 2 3 2 2 5" xfId="38425"/>
    <cellStyle name="Normal 33 2 3 2 3" xfId="15202"/>
    <cellStyle name="Normal 33 2 3 2 3 2" xfId="22169"/>
    <cellStyle name="Normal 33 2 3 2 3 3" xfId="29136"/>
    <cellStyle name="Normal 33 2 3 2 3 4" xfId="36105"/>
    <cellStyle name="Normal 33 2 3 2 4" xfId="12880"/>
    <cellStyle name="Normal 33 2 3 2 5" xfId="19847"/>
    <cellStyle name="Normal 33 2 3 2 6" xfId="26814"/>
    <cellStyle name="Normal 33 2 3 2 7" xfId="33782"/>
    <cellStyle name="Normal 33 2 3 3" xfId="8997"/>
    <cellStyle name="Normal 33 2 3 3 2" xfId="16046"/>
    <cellStyle name="Normal 33 2 3 3 3" xfId="23013"/>
    <cellStyle name="Normal 33 2 3 3 4" xfId="29980"/>
    <cellStyle name="Normal 33 2 3 3 5" xfId="36949"/>
    <cellStyle name="Normal 33 2 3 4" xfId="13724"/>
    <cellStyle name="Normal 33 2 3 4 2" xfId="20691"/>
    <cellStyle name="Normal 33 2 3 4 3" xfId="27658"/>
    <cellStyle name="Normal 33 2 3 4 4" xfId="34627"/>
    <cellStyle name="Normal 33 2 3 5" xfId="11402"/>
    <cellStyle name="Normal 33 2 3 6" xfId="18369"/>
    <cellStyle name="Normal 33 2 3 7" xfId="25336"/>
    <cellStyle name="Normal 33 2 3 8" xfId="32304"/>
    <cellStyle name="Normal 33 2 4" xfId="3562"/>
    <cellStyle name="Normal 33 2 4 2" xfId="5725"/>
    <cellStyle name="Normal 33 2 4 2 2" xfId="10529"/>
    <cellStyle name="Normal 33 2 4 2 2 2" xfId="17523"/>
    <cellStyle name="Normal 33 2 4 2 2 3" xfId="24490"/>
    <cellStyle name="Normal 33 2 4 2 2 4" xfId="31457"/>
    <cellStyle name="Normal 33 2 4 2 2 5" xfId="38426"/>
    <cellStyle name="Normal 33 2 4 2 3" xfId="15203"/>
    <cellStyle name="Normal 33 2 4 2 3 2" xfId="22170"/>
    <cellStyle name="Normal 33 2 4 2 3 3" xfId="29137"/>
    <cellStyle name="Normal 33 2 4 2 3 4" xfId="36106"/>
    <cellStyle name="Normal 33 2 4 2 4" xfId="12881"/>
    <cellStyle name="Normal 33 2 4 2 5" xfId="19848"/>
    <cellStyle name="Normal 33 2 4 2 6" xfId="26815"/>
    <cellStyle name="Normal 33 2 4 2 7" xfId="33783"/>
    <cellStyle name="Normal 33 2 4 3" xfId="9174"/>
    <cellStyle name="Normal 33 2 4 3 2" xfId="16213"/>
    <cellStyle name="Normal 33 2 4 3 3" xfId="23180"/>
    <cellStyle name="Normal 33 2 4 3 4" xfId="30147"/>
    <cellStyle name="Normal 33 2 4 3 5" xfId="37116"/>
    <cellStyle name="Normal 33 2 4 4" xfId="13893"/>
    <cellStyle name="Normal 33 2 4 4 2" xfId="20860"/>
    <cellStyle name="Normal 33 2 4 4 3" xfId="27827"/>
    <cellStyle name="Normal 33 2 4 4 4" xfId="34796"/>
    <cellStyle name="Normal 33 2 4 5" xfId="11571"/>
    <cellStyle name="Normal 33 2 4 6" xfId="18538"/>
    <cellStyle name="Normal 33 2 4 7" xfId="25505"/>
    <cellStyle name="Normal 33 2 4 8" xfId="32473"/>
    <cellStyle name="Normal 33 2 5" xfId="3737"/>
    <cellStyle name="Normal 33 2 5 2" xfId="5726"/>
    <cellStyle name="Normal 33 2 5 2 2" xfId="10530"/>
    <cellStyle name="Normal 33 2 5 2 2 2" xfId="17524"/>
    <cellStyle name="Normal 33 2 5 2 2 3" xfId="24491"/>
    <cellStyle name="Normal 33 2 5 2 2 4" xfId="31458"/>
    <cellStyle name="Normal 33 2 5 2 2 5" xfId="38427"/>
    <cellStyle name="Normal 33 2 5 2 3" xfId="15204"/>
    <cellStyle name="Normal 33 2 5 2 3 2" xfId="22171"/>
    <cellStyle name="Normal 33 2 5 2 3 3" xfId="29138"/>
    <cellStyle name="Normal 33 2 5 2 3 4" xfId="36107"/>
    <cellStyle name="Normal 33 2 5 2 4" xfId="12882"/>
    <cellStyle name="Normal 33 2 5 2 5" xfId="19849"/>
    <cellStyle name="Normal 33 2 5 2 6" xfId="26816"/>
    <cellStyle name="Normal 33 2 5 2 7" xfId="33784"/>
    <cellStyle name="Normal 33 2 5 3" xfId="9345"/>
    <cellStyle name="Normal 33 2 5 3 2" xfId="16384"/>
    <cellStyle name="Normal 33 2 5 3 3" xfId="23351"/>
    <cellStyle name="Normal 33 2 5 3 4" xfId="30318"/>
    <cellStyle name="Normal 33 2 5 3 5" xfId="37287"/>
    <cellStyle name="Normal 33 2 5 4" xfId="14064"/>
    <cellStyle name="Normal 33 2 5 4 2" xfId="21031"/>
    <cellStyle name="Normal 33 2 5 4 3" xfId="27998"/>
    <cellStyle name="Normal 33 2 5 4 4" xfId="34967"/>
    <cellStyle name="Normal 33 2 5 5" xfId="11742"/>
    <cellStyle name="Normal 33 2 5 6" xfId="18709"/>
    <cellStyle name="Normal 33 2 5 7" xfId="25676"/>
    <cellStyle name="Normal 33 2 5 8" xfId="32644"/>
    <cellStyle name="Normal 33 2 6" xfId="4015"/>
    <cellStyle name="Normal 33 2 6 2" xfId="5727"/>
    <cellStyle name="Normal 33 2 6 2 2" xfId="10531"/>
    <cellStyle name="Normal 33 2 6 2 2 2" xfId="17525"/>
    <cellStyle name="Normal 33 2 6 2 2 3" xfId="24492"/>
    <cellStyle name="Normal 33 2 6 2 2 4" xfId="31459"/>
    <cellStyle name="Normal 33 2 6 2 2 5" xfId="38428"/>
    <cellStyle name="Normal 33 2 6 2 3" xfId="15205"/>
    <cellStyle name="Normal 33 2 6 2 3 2" xfId="22172"/>
    <cellStyle name="Normal 33 2 6 2 3 3" xfId="29139"/>
    <cellStyle name="Normal 33 2 6 2 3 4" xfId="36108"/>
    <cellStyle name="Normal 33 2 6 2 4" xfId="12883"/>
    <cellStyle name="Normal 33 2 6 2 5" xfId="19850"/>
    <cellStyle name="Normal 33 2 6 2 6" xfId="26817"/>
    <cellStyle name="Normal 33 2 6 2 7" xfId="33785"/>
    <cellStyle name="Normal 33 2 6 3" xfId="9621"/>
    <cellStyle name="Normal 33 2 6 3 2" xfId="16657"/>
    <cellStyle name="Normal 33 2 6 3 3" xfId="23624"/>
    <cellStyle name="Normal 33 2 6 3 4" xfId="30591"/>
    <cellStyle name="Normal 33 2 6 3 5" xfId="37560"/>
    <cellStyle name="Normal 33 2 6 4" xfId="14337"/>
    <cellStyle name="Normal 33 2 6 4 2" xfId="21304"/>
    <cellStyle name="Normal 33 2 6 4 3" xfId="28271"/>
    <cellStyle name="Normal 33 2 6 4 4" xfId="35240"/>
    <cellStyle name="Normal 33 2 6 5" xfId="12015"/>
    <cellStyle name="Normal 33 2 6 6" xfId="18982"/>
    <cellStyle name="Normal 33 2 6 7" xfId="25949"/>
    <cellStyle name="Normal 33 2 6 8" xfId="32917"/>
    <cellStyle name="Normal 33 2 7" xfId="5718"/>
    <cellStyle name="Normal 33 2 7 2" xfId="10522"/>
    <cellStyle name="Normal 33 2 7 2 2" xfId="17516"/>
    <cellStyle name="Normal 33 2 7 2 3" xfId="24483"/>
    <cellStyle name="Normal 33 2 7 2 4" xfId="31450"/>
    <cellStyle name="Normal 33 2 7 2 5" xfId="38419"/>
    <cellStyle name="Normal 33 2 7 3" xfId="15196"/>
    <cellStyle name="Normal 33 2 7 3 2" xfId="22163"/>
    <cellStyle name="Normal 33 2 7 3 3" xfId="29130"/>
    <cellStyle name="Normal 33 2 7 3 4" xfId="36099"/>
    <cellStyle name="Normal 33 2 7 4" xfId="12874"/>
    <cellStyle name="Normal 33 2 7 5" xfId="19841"/>
    <cellStyle name="Normal 33 2 7 6" xfId="26808"/>
    <cellStyle name="Normal 33 2 7 7" xfId="33776"/>
    <cellStyle name="Normal 33 2 8" xfId="6921"/>
    <cellStyle name="Normal 33 2 8 2" xfId="10881"/>
    <cellStyle name="Normal 33 2 8 2 2" xfId="17850"/>
    <cellStyle name="Normal 33 2 8 2 3" xfId="24817"/>
    <cellStyle name="Normal 33 2 8 2 4" xfId="31784"/>
    <cellStyle name="Normal 33 2 8 2 5" xfId="38753"/>
    <cellStyle name="Normal 33 2 8 3" xfId="15530"/>
    <cellStyle name="Normal 33 2 8 3 2" xfId="22497"/>
    <cellStyle name="Normal 33 2 8 3 3" xfId="29464"/>
    <cellStyle name="Normal 33 2 8 3 4" xfId="36433"/>
    <cellStyle name="Normal 33 2 8 4" xfId="13208"/>
    <cellStyle name="Normal 33 2 8 5" xfId="20175"/>
    <cellStyle name="Normal 33 2 8 6" xfId="27142"/>
    <cellStyle name="Normal 33 2 8 7" xfId="34111"/>
    <cellStyle name="Normal 33 2 9" xfId="7219"/>
    <cellStyle name="Normal 33 2 9 2" xfId="15703"/>
    <cellStyle name="Normal 33 2 9 2 2" xfId="22670"/>
    <cellStyle name="Normal 33 2 9 2 3" xfId="29637"/>
    <cellStyle name="Normal 33 2 9 2 4" xfId="36606"/>
    <cellStyle name="Normal 33 2 9 3" xfId="13381"/>
    <cellStyle name="Normal 33 2 9 4" xfId="20348"/>
    <cellStyle name="Normal 33 2 9 5" xfId="27315"/>
    <cellStyle name="Normal 33 2 9 6" xfId="34284"/>
    <cellStyle name="Normal 33 3" xfId="1811"/>
    <cellStyle name="Normal 33 3 10" xfId="13556"/>
    <cellStyle name="Normal 33 3 10 2" xfId="20523"/>
    <cellStyle name="Normal 33 3 10 3" xfId="27490"/>
    <cellStyle name="Normal 33 3 10 4" xfId="34459"/>
    <cellStyle name="Normal 33 3 11" xfId="11061"/>
    <cellStyle name="Normal 33 3 12" xfId="18027"/>
    <cellStyle name="Normal 33 3 13" xfId="24995"/>
    <cellStyle name="Normal 33 3 14" xfId="31963"/>
    <cellStyle name="Normal 33 3 2" xfId="3365"/>
    <cellStyle name="Normal 33 3 2 2" xfId="5729"/>
    <cellStyle name="Normal 33 3 2 2 2" xfId="10533"/>
    <cellStyle name="Normal 33 3 2 2 2 2" xfId="17527"/>
    <cellStyle name="Normal 33 3 2 2 2 3" xfId="24494"/>
    <cellStyle name="Normal 33 3 2 2 2 4" xfId="31461"/>
    <cellStyle name="Normal 33 3 2 2 2 5" xfId="38430"/>
    <cellStyle name="Normal 33 3 2 2 3" xfId="15207"/>
    <cellStyle name="Normal 33 3 2 2 3 2" xfId="22174"/>
    <cellStyle name="Normal 33 3 2 2 3 3" xfId="29141"/>
    <cellStyle name="Normal 33 3 2 2 3 4" xfId="36110"/>
    <cellStyle name="Normal 33 3 2 2 4" xfId="12885"/>
    <cellStyle name="Normal 33 3 2 2 5" xfId="19852"/>
    <cellStyle name="Normal 33 3 2 2 6" xfId="26819"/>
    <cellStyle name="Normal 33 3 2 2 7" xfId="33787"/>
    <cellStyle name="Normal 33 3 2 3" xfId="8999"/>
    <cellStyle name="Normal 33 3 2 3 2" xfId="16048"/>
    <cellStyle name="Normal 33 3 2 3 3" xfId="23015"/>
    <cellStyle name="Normal 33 3 2 3 4" xfId="29982"/>
    <cellStyle name="Normal 33 3 2 3 5" xfId="36951"/>
    <cellStyle name="Normal 33 3 2 4" xfId="13726"/>
    <cellStyle name="Normal 33 3 2 4 2" xfId="20693"/>
    <cellStyle name="Normal 33 3 2 4 3" xfId="27660"/>
    <cellStyle name="Normal 33 3 2 4 4" xfId="34629"/>
    <cellStyle name="Normal 33 3 2 5" xfId="11404"/>
    <cellStyle name="Normal 33 3 2 6" xfId="18371"/>
    <cellStyle name="Normal 33 3 2 7" xfId="25338"/>
    <cellStyle name="Normal 33 3 2 8" xfId="32306"/>
    <cellStyle name="Normal 33 3 3" xfId="3564"/>
    <cellStyle name="Normal 33 3 3 2" xfId="5730"/>
    <cellStyle name="Normal 33 3 3 2 2" xfId="10534"/>
    <cellStyle name="Normal 33 3 3 2 2 2" xfId="17528"/>
    <cellStyle name="Normal 33 3 3 2 2 3" xfId="24495"/>
    <cellStyle name="Normal 33 3 3 2 2 4" xfId="31462"/>
    <cellStyle name="Normal 33 3 3 2 2 5" xfId="38431"/>
    <cellStyle name="Normal 33 3 3 2 3" xfId="15208"/>
    <cellStyle name="Normal 33 3 3 2 3 2" xfId="22175"/>
    <cellStyle name="Normal 33 3 3 2 3 3" xfId="29142"/>
    <cellStyle name="Normal 33 3 3 2 3 4" xfId="36111"/>
    <cellStyle name="Normal 33 3 3 2 4" xfId="12886"/>
    <cellStyle name="Normal 33 3 3 2 5" xfId="19853"/>
    <cellStyle name="Normal 33 3 3 2 6" xfId="26820"/>
    <cellStyle name="Normal 33 3 3 2 7" xfId="33788"/>
    <cellStyle name="Normal 33 3 3 3" xfId="9176"/>
    <cellStyle name="Normal 33 3 3 3 2" xfId="16215"/>
    <cellStyle name="Normal 33 3 3 3 3" xfId="23182"/>
    <cellStyle name="Normal 33 3 3 3 4" xfId="30149"/>
    <cellStyle name="Normal 33 3 3 3 5" xfId="37118"/>
    <cellStyle name="Normal 33 3 3 4" xfId="13895"/>
    <cellStyle name="Normal 33 3 3 4 2" xfId="20862"/>
    <cellStyle name="Normal 33 3 3 4 3" xfId="27829"/>
    <cellStyle name="Normal 33 3 3 4 4" xfId="34798"/>
    <cellStyle name="Normal 33 3 3 5" xfId="11573"/>
    <cellStyle name="Normal 33 3 3 6" xfId="18540"/>
    <cellStyle name="Normal 33 3 3 7" xfId="25507"/>
    <cellStyle name="Normal 33 3 3 8" xfId="32475"/>
    <cellStyle name="Normal 33 3 4" xfId="3739"/>
    <cellStyle name="Normal 33 3 4 2" xfId="5731"/>
    <cellStyle name="Normal 33 3 4 2 2" xfId="10535"/>
    <cellStyle name="Normal 33 3 4 2 2 2" xfId="17529"/>
    <cellStyle name="Normal 33 3 4 2 2 3" xfId="24496"/>
    <cellStyle name="Normal 33 3 4 2 2 4" xfId="31463"/>
    <cellStyle name="Normal 33 3 4 2 2 5" xfId="38432"/>
    <cellStyle name="Normal 33 3 4 2 3" xfId="15209"/>
    <cellStyle name="Normal 33 3 4 2 3 2" xfId="22176"/>
    <cellStyle name="Normal 33 3 4 2 3 3" xfId="29143"/>
    <cellStyle name="Normal 33 3 4 2 3 4" xfId="36112"/>
    <cellStyle name="Normal 33 3 4 2 4" xfId="12887"/>
    <cellStyle name="Normal 33 3 4 2 5" xfId="19854"/>
    <cellStyle name="Normal 33 3 4 2 6" xfId="26821"/>
    <cellStyle name="Normal 33 3 4 2 7" xfId="33789"/>
    <cellStyle name="Normal 33 3 4 3" xfId="9347"/>
    <cellStyle name="Normal 33 3 4 3 2" xfId="16386"/>
    <cellStyle name="Normal 33 3 4 3 3" xfId="23353"/>
    <cellStyle name="Normal 33 3 4 3 4" xfId="30320"/>
    <cellStyle name="Normal 33 3 4 3 5" xfId="37289"/>
    <cellStyle name="Normal 33 3 4 4" xfId="14066"/>
    <cellStyle name="Normal 33 3 4 4 2" xfId="21033"/>
    <cellStyle name="Normal 33 3 4 4 3" xfId="28000"/>
    <cellStyle name="Normal 33 3 4 4 4" xfId="34969"/>
    <cellStyle name="Normal 33 3 4 5" xfId="11744"/>
    <cellStyle name="Normal 33 3 4 6" xfId="18711"/>
    <cellStyle name="Normal 33 3 4 7" xfId="25678"/>
    <cellStyle name="Normal 33 3 4 8" xfId="32646"/>
    <cellStyle name="Normal 33 3 5" xfId="4017"/>
    <cellStyle name="Normal 33 3 5 2" xfId="5732"/>
    <cellStyle name="Normal 33 3 5 2 2" xfId="10536"/>
    <cellStyle name="Normal 33 3 5 2 2 2" xfId="17530"/>
    <cellStyle name="Normal 33 3 5 2 2 3" xfId="24497"/>
    <cellStyle name="Normal 33 3 5 2 2 4" xfId="31464"/>
    <cellStyle name="Normal 33 3 5 2 2 5" xfId="38433"/>
    <cellStyle name="Normal 33 3 5 2 3" xfId="15210"/>
    <cellStyle name="Normal 33 3 5 2 3 2" xfId="22177"/>
    <cellStyle name="Normal 33 3 5 2 3 3" xfId="29144"/>
    <cellStyle name="Normal 33 3 5 2 3 4" xfId="36113"/>
    <cellStyle name="Normal 33 3 5 2 4" xfId="12888"/>
    <cellStyle name="Normal 33 3 5 2 5" xfId="19855"/>
    <cellStyle name="Normal 33 3 5 2 6" xfId="26822"/>
    <cellStyle name="Normal 33 3 5 2 7" xfId="33790"/>
    <cellStyle name="Normal 33 3 5 3" xfId="9623"/>
    <cellStyle name="Normal 33 3 5 3 2" xfId="16659"/>
    <cellStyle name="Normal 33 3 5 3 3" xfId="23626"/>
    <cellStyle name="Normal 33 3 5 3 4" xfId="30593"/>
    <cellStyle name="Normal 33 3 5 3 5" xfId="37562"/>
    <cellStyle name="Normal 33 3 5 4" xfId="14339"/>
    <cellStyle name="Normal 33 3 5 4 2" xfId="21306"/>
    <cellStyle name="Normal 33 3 5 4 3" xfId="28273"/>
    <cellStyle name="Normal 33 3 5 4 4" xfId="35242"/>
    <cellStyle name="Normal 33 3 5 5" xfId="12017"/>
    <cellStyle name="Normal 33 3 5 6" xfId="18984"/>
    <cellStyle name="Normal 33 3 5 7" xfId="25951"/>
    <cellStyle name="Normal 33 3 5 8" xfId="32919"/>
    <cellStyle name="Normal 33 3 6" xfId="5728"/>
    <cellStyle name="Normal 33 3 6 2" xfId="10532"/>
    <cellStyle name="Normal 33 3 6 2 2" xfId="17526"/>
    <cellStyle name="Normal 33 3 6 2 3" xfId="24493"/>
    <cellStyle name="Normal 33 3 6 2 4" xfId="31460"/>
    <cellStyle name="Normal 33 3 6 2 5" xfId="38429"/>
    <cellStyle name="Normal 33 3 6 3" xfId="15206"/>
    <cellStyle name="Normal 33 3 6 3 2" xfId="22173"/>
    <cellStyle name="Normal 33 3 6 3 3" xfId="29140"/>
    <cellStyle name="Normal 33 3 6 3 4" xfId="36109"/>
    <cellStyle name="Normal 33 3 6 4" xfId="12884"/>
    <cellStyle name="Normal 33 3 6 5" xfId="19851"/>
    <cellStyle name="Normal 33 3 6 6" xfId="26818"/>
    <cellStyle name="Normal 33 3 6 7" xfId="33786"/>
    <cellStyle name="Normal 33 3 7" xfId="6923"/>
    <cellStyle name="Normal 33 3 7 2" xfId="10883"/>
    <cellStyle name="Normal 33 3 7 2 2" xfId="17852"/>
    <cellStyle name="Normal 33 3 7 2 3" xfId="24819"/>
    <cellStyle name="Normal 33 3 7 2 4" xfId="31786"/>
    <cellStyle name="Normal 33 3 7 2 5" xfId="38755"/>
    <cellStyle name="Normal 33 3 7 3" xfId="15532"/>
    <cellStyle name="Normal 33 3 7 3 2" xfId="22499"/>
    <cellStyle name="Normal 33 3 7 3 3" xfId="29466"/>
    <cellStyle name="Normal 33 3 7 3 4" xfId="36435"/>
    <cellStyle name="Normal 33 3 7 4" xfId="13210"/>
    <cellStyle name="Normal 33 3 7 5" xfId="20177"/>
    <cellStyle name="Normal 33 3 7 6" xfId="27144"/>
    <cellStyle name="Normal 33 3 7 7" xfId="34113"/>
    <cellStyle name="Normal 33 3 8" xfId="7221"/>
    <cellStyle name="Normal 33 3 8 2" xfId="15705"/>
    <cellStyle name="Normal 33 3 8 2 2" xfId="22672"/>
    <cellStyle name="Normal 33 3 8 2 3" xfId="29639"/>
    <cellStyle name="Normal 33 3 8 2 4" xfId="36608"/>
    <cellStyle name="Normal 33 3 8 3" xfId="13383"/>
    <cellStyle name="Normal 33 3 8 4" xfId="20350"/>
    <cellStyle name="Normal 33 3 8 5" xfId="27317"/>
    <cellStyle name="Normal 33 3 8 6" xfId="34286"/>
    <cellStyle name="Normal 33 3 9" xfId="8142"/>
    <cellStyle name="Normal 33 3 9 2" xfId="15878"/>
    <cellStyle name="Normal 33 3 9 2 2" xfId="22845"/>
    <cellStyle name="Normal 33 3 9 2 3" xfId="29812"/>
    <cellStyle name="Normal 33 3 9 2 4" xfId="36781"/>
    <cellStyle name="Normal 33 3 9 3" xfId="11234"/>
    <cellStyle name="Normal 33 3 9 4" xfId="18201"/>
    <cellStyle name="Normal 33 3 9 5" xfId="25168"/>
    <cellStyle name="Normal 33 3 9 6" xfId="32136"/>
    <cellStyle name="Normal 33 4" xfId="3362"/>
    <cellStyle name="Normal 33 4 2" xfId="5733"/>
    <cellStyle name="Normal 33 4 2 2" xfId="10537"/>
    <cellStyle name="Normal 33 4 2 2 2" xfId="17531"/>
    <cellStyle name="Normal 33 4 2 2 3" xfId="24498"/>
    <cellStyle name="Normal 33 4 2 2 4" xfId="31465"/>
    <cellStyle name="Normal 33 4 2 2 5" xfId="38434"/>
    <cellStyle name="Normal 33 4 2 3" xfId="15211"/>
    <cellStyle name="Normal 33 4 2 3 2" xfId="22178"/>
    <cellStyle name="Normal 33 4 2 3 3" xfId="29145"/>
    <cellStyle name="Normal 33 4 2 3 4" xfId="36114"/>
    <cellStyle name="Normal 33 4 2 4" xfId="12889"/>
    <cellStyle name="Normal 33 4 2 5" xfId="19856"/>
    <cellStyle name="Normal 33 4 2 6" xfId="26823"/>
    <cellStyle name="Normal 33 4 2 7" xfId="33791"/>
    <cellStyle name="Normal 33 4 3" xfId="8996"/>
    <cellStyle name="Normal 33 4 3 2" xfId="16045"/>
    <cellStyle name="Normal 33 4 3 3" xfId="23012"/>
    <cellStyle name="Normal 33 4 3 4" xfId="29979"/>
    <cellStyle name="Normal 33 4 3 5" xfId="36948"/>
    <cellStyle name="Normal 33 4 4" xfId="13723"/>
    <cellStyle name="Normal 33 4 4 2" xfId="20690"/>
    <cellStyle name="Normal 33 4 4 3" xfId="27657"/>
    <cellStyle name="Normal 33 4 4 4" xfId="34626"/>
    <cellStyle name="Normal 33 4 5" xfId="11401"/>
    <cellStyle name="Normal 33 4 6" xfId="18368"/>
    <cellStyle name="Normal 33 4 7" xfId="25335"/>
    <cellStyle name="Normal 33 4 8" xfId="32303"/>
    <cellStyle name="Normal 33 5" xfId="3561"/>
    <cellStyle name="Normal 33 5 2" xfId="5734"/>
    <cellStyle name="Normal 33 5 2 2" xfId="10538"/>
    <cellStyle name="Normal 33 5 2 2 2" xfId="17532"/>
    <cellStyle name="Normal 33 5 2 2 3" xfId="24499"/>
    <cellStyle name="Normal 33 5 2 2 4" xfId="31466"/>
    <cellStyle name="Normal 33 5 2 2 5" xfId="38435"/>
    <cellStyle name="Normal 33 5 2 3" xfId="15212"/>
    <cellStyle name="Normal 33 5 2 3 2" xfId="22179"/>
    <cellStyle name="Normal 33 5 2 3 3" xfId="29146"/>
    <cellStyle name="Normal 33 5 2 3 4" xfId="36115"/>
    <cellStyle name="Normal 33 5 2 4" xfId="12890"/>
    <cellStyle name="Normal 33 5 2 5" xfId="19857"/>
    <cellStyle name="Normal 33 5 2 6" xfId="26824"/>
    <cellStyle name="Normal 33 5 2 7" xfId="33792"/>
    <cellStyle name="Normal 33 5 3" xfId="9173"/>
    <cellStyle name="Normal 33 5 3 2" xfId="16212"/>
    <cellStyle name="Normal 33 5 3 3" xfId="23179"/>
    <cellStyle name="Normal 33 5 3 4" xfId="30146"/>
    <cellStyle name="Normal 33 5 3 5" xfId="37115"/>
    <cellStyle name="Normal 33 5 4" xfId="13892"/>
    <cellStyle name="Normal 33 5 4 2" xfId="20859"/>
    <cellStyle name="Normal 33 5 4 3" xfId="27826"/>
    <cellStyle name="Normal 33 5 4 4" xfId="34795"/>
    <cellStyle name="Normal 33 5 5" xfId="11570"/>
    <cellStyle name="Normal 33 5 6" xfId="18537"/>
    <cellStyle name="Normal 33 5 7" xfId="25504"/>
    <cellStyle name="Normal 33 5 8" xfId="32472"/>
    <cellStyle name="Normal 33 6" xfId="3736"/>
    <cellStyle name="Normal 33 6 2" xfId="5735"/>
    <cellStyle name="Normal 33 6 2 2" xfId="10539"/>
    <cellStyle name="Normal 33 6 2 2 2" xfId="17533"/>
    <cellStyle name="Normal 33 6 2 2 3" xfId="24500"/>
    <cellStyle name="Normal 33 6 2 2 4" xfId="31467"/>
    <cellStyle name="Normal 33 6 2 2 5" xfId="38436"/>
    <cellStyle name="Normal 33 6 2 3" xfId="15213"/>
    <cellStyle name="Normal 33 6 2 3 2" xfId="22180"/>
    <cellStyle name="Normal 33 6 2 3 3" xfId="29147"/>
    <cellStyle name="Normal 33 6 2 3 4" xfId="36116"/>
    <cellStyle name="Normal 33 6 2 4" xfId="12891"/>
    <cellStyle name="Normal 33 6 2 5" xfId="19858"/>
    <cellStyle name="Normal 33 6 2 6" xfId="26825"/>
    <cellStyle name="Normal 33 6 2 7" xfId="33793"/>
    <cellStyle name="Normal 33 6 3" xfId="9344"/>
    <cellStyle name="Normal 33 6 3 2" xfId="16383"/>
    <cellStyle name="Normal 33 6 3 3" xfId="23350"/>
    <cellStyle name="Normal 33 6 3 4" xfId="30317"/>
    <cellStyle name="Normal 33 6 3 5" xfId="37286"/>
    <cellStyle name="Normal 33 6 4" xfId="14063"/>
    <cellStyle name="Normal 33 6 4 2" xfId="21030"/>
    <cellStyle name="Normal 33 6 4 3" xfId="27997"/>
    <cellStyle name="Normal 33 6 4 4" xfId="34966"/>
    <cellStyle name="Normal 33 6 5" xfId="11741"/>
    <cellStyle name="Normal 33 6 6" xfId="18708"/>
    <cellStyle name="Normal 33 6 7" xfId="25675"/>
    <cellStyle name="Normal 33 6 8" xfId="32643"/>
    <cellStyle name="Normal 33 7" xfId="4014"/>
    <cellStyle name="Normal 33 7 2" xfId="5736"/>
    <cellStyle name="Normal 33 7 2 2" xfId="10540"/>
    <cellStyle name="Normal 33 7 2 2 2" xfId="17534"/>
    <cellStyle name="Normal 33 7 2 2 3" xfId="24501"/>
    <cellStyle name="Normal 33 7 2 2 4" xfId="31468"/>
    <cellStyle name="Normal 33 7 2 2 5" xfId="38437"/>
    <cellStyle name="Normal 33 7 2 3" xfId="15214"/>
    <cellStyle name="Normal 33 7 2 3 2" xfId="22181"/>
    <cellStyle name="Normal 33 7 2 3 3" xfId="29148"/>
    <cellStyle name="Normal 33 7 2 3 4" xfId="36117"/>
    <cellStyle name="Normal 33 7 2 4" xfId="12892"/>
    <cellStyle name="Normal 33 7 2 5" xfId="19859"/>
    <cellStyle name="Normal 33 7 2 6" xfId="26826"/>
    <cellStyle name="Normal 33 7 2 7" xfId="33794"/>
    <cellStyle name="Normal 33 7 3" xfId="9620"/>
    <cellStyle name="Normal 33 7 3 2" xfId="16656"/>
    <cellStyle name="Normal 33 7 3 3" xfId="23623"/>
    <cellStyle name="Normal 33 7 3 4" xfId="30590"/>
    <cellStyle name="Normal 33 7 3 5" xfId="37559"/>
    <cellStyle name="Normal 33 7 4" xfId="14336"/>
    <cellStyle name="Normal 33 7 4 2" xfId="21303"/>
    <cellStyle name="Normal 33 7 4 3" xfId="28270"/>
    <cellStyle name="Normal 33 7 4 4" xfId="35239"/>
    <cellStyle name="Normal 33 7 5" xfId="12014"/>
    <cellStyle name="Normal 33 7 6" xfId="18981"/>
    <cellStyle name="Normal 33 7 7" xfId="25948"/>
    <cellStyle name="Normal 33 7 8" xfId="32916"/>
    <cellStyle name="Normal 33 8" xfId="5717"/>
    <cellStyle name="Normal 33 8 2" xfId="10521"/>
    <cellStyle name="Normal 33 8 2 2" xfId="17515"/>
    <cellStyle name="Normal 33 8 2 3" xfId="24482"/>
    <cellStyle name="Normal 33 8 2 4" xfId="31449"/>
    <cellStyle name="Normal 33 8 2 5" xfId="38418"/>
    <cellStyle name="Normal 33 8 3" xfId="15195"/>
    <cellStyle name="Normal 33 8 3 2" xfId="22162"/>
    <cellStyle name="Normal 33 8 3 3" xfId="29129"/>
    <cellStyle name="Normal 33 8 3 4" xfId="36098"/>
    <cellStyle name="Normal 33 8 4" xfId="12873"/>
    <cellStyle name="Normal 33 8 5" xfId="19840"/>
    <cellStyle name="Normal 33 8 6" xfId="26807"/>
    <cellStyle name="Normal 33 8 7" xfId="33775"/>
    <cellStyle name="Normal 33 9" xfId="6920"/>
    <cellStyle name="Normal 33 9 2" xfId="10880"/>
    <cellStyle name="Normal 33 9 2 2" xfId="17849"/>
    <cellStyle name="Normal 33 9 2 3" xfId="24816"/>
    <cellStyle name="Normal 33 9 2 4" xfId="31783"/>
    <cellStyle name="Normal 33 9 2 5" xfId="38752"/>
    <cellStyle name="Normal 33 9 3" xfId="15529"/>
    <cellStyle name="Normal 33 9 3 2" xfId="22496"/>
    <cellStyle name="Normal 33 9 3 3" xfId="29463"/>
    <cellStyle name="Normal 33 9 3 4" xfId="36432"/>
    <cellStyle name="Normal 33 9 4" xfId="13207"/>
    <cellStyle name="Normal 33 9 5" xfId="20174"/>
    <cellStyle name="Normal 33 9 6" xfId="27141"/>
    <cellStyle name="Normal 33 9 7" xfId="34110"/>
    <cellStyle name="Normal 34" xfId="1812"/>
    <cellStyle name="Normal 34 10" xfId="7222"/>
    <cellStyle name="Normal 34 10 2" xfId="15706"/>
    <cellStyle name="Normal 34 10 2 2" xfId="22673"/>
    <cellStyle name="Normal 34 10 2 3" xfId="29640"/>
    <cellStyle name="Normal 34 10 2 4" xfId="36609"/>
    <cellStyle name="Normal 34 10 3" xfId="13384"/>
    <cellStyle name="Normal 34 10 4" xfId="20351"/>
    <cellStyle name="Normal 34 10 5" xfId="27318"/>
    <cellStyle name="Normal 34 10 6" xfId="34287"/>
    <cellStyle name="Normal 34 11" xfId="8143"/>
    <cellStyle name="Normal 34 11 2" xfId="15879"/>
    <cellStyle name="Normal 34 11 2 2" xfId="22846"/>
    <cellStyle name="Normal 34 11 2 3" xfId="29813"/>
    <cellStyle name="Normal 34 11 2 4" xfId="36782"/>
    <cellStyle name="Normal 34 11 3" xfId="11235"/>
    <cellStyle name="Normal 34 11 4" xfId="18202"/>
    <cellStyle name="Normal 34 11 5" xfId="25169"/>
    <cellStyle name="Normal 34 11 6" xfId="32137"/>
    <cellStyle name="Normal 34 12" xfId="13557"/>
    <cellStyle name="Normal 34 12 2" xfId="20524"/>
    <cellStyle name="Normal 34 12 3" xfId="27491"/>
    <cellStyle name="Normal 34 12 4" xfId="34460"/>
    <cellStyle name="Normal 34 13" xfId="11062"/>
    <cellStyle name="Normal 34 14" xfId="18028"/>
    <cellStyle name="Normal 34 15" xfId="24996"/>
    <cellStyle name="Normal 34 16" xfId="31964"/>
    <cellStyle name="Normal 34 2" xfId="1813"/>
    <cellStyle name="Normal 34 2 10" xfId="8144"/>
    <cellStyle name="Normal 34 2 10 2" xfId="15880"/>
    <cellStyle name="Normal 34 2 10 2 2" xfId="22847"/>
    <cellStyle name="Normal 34 2 10 2 3" xfId="29814"/>
    <cellStyle name="Normal 34 2 10 2 4" xfId="36783"/>
    <cellStyle name="Normal 34 2 10 3" xfId="11236"/>
    <cellStyle name="Normal 34 2 10 4" xfId="18203"/>
    <cellStyle name="Normal 34 2 10 5" xfId="25170"/>
    <cellStyle name="Normal 34 2 10 6" xfId="32138"/>
    <cellStyle name="Normal 34 2 11" xfId="13558"/>
    <cellStyle name="Normal 34 2 11 2" xfId="20525"/>
    <cellStyle name="Normal 34 2 11 3" xfId="27492"/>
    <cellStyle name="Normal 34 2 11 4" xfId="34461"/>
    <cellStyle name="Normal 34 2 12" xfId="11063"/>
    <cellStyle name="Normal 34 2 13" xfId="18029"/>
    <cellStyle name="Normal 34 2 14" xfId="24997"/>
    <cellStyle name="Normal 34 2 15" xfId="31965"/>
    <cellStyle name="Normal 34 2 2" xfId="1814"/>
    <cellStyle name="Normal 34 2 2 10" xfId="13559"/>
    <cellStyle name="Normal 34 2 2 10 2" xfId="20526"/>
    <cellStyle name="Normal 34 2 2 10 3" xfId="27493"/>
    <cellStyle name="Normal 34 2 2 10 4" xfId="34462"/>
    <cellStyle name="Normal 34 2 2 11" xfId="11064"/>
    <cellStyle name="Normal 34 2 2 12" xfId="18030"/>
    <cellStyle name="Normal 34 2 2 13" xfId="24998"/>
    <cellStyle name="Normal 34 2 2 14" xfId="31966"/>
    <cellStyle name="Normal 34 2 2 2" xfId="3368"/>
    <cellStyle name="Normal 34 2 2 2 2" xfId="5740"/>
    <cellStyle name="Normal 34 2 2 2 2 2" xfId="10544"/>
    <cellStyle name="Normal 34 2 2 2 2 2 2" xfId="17538"/>
    <cellStyle name="Normal 34 2 2 2 2 2 3" xfId="24505"/>
    <cellStyle name="Normal 34 2 2 2 2 2 4" xfId="31472"/>
    <cellStyle name="Normal 34 2 2 2 2 2 5" xfId="38441"/>
    <cellStyle name="Normal 34 2 2 2 2 3" xfId="15218"/>
    <cellStyle name="Normal 34 2 2 2 2 3 2" xfId="22185"/>
    <cellStyle name="Normal 34 2 2 2 2 3 3" xfId="29152"/>
    <cellStyle name="Normal 34 2 2 2 2 3 4" xfId="36121"/>
    <cellStyle name="Normal 34 2 2 2 2 4" xfId="12896"/>
    <cellStyle name="Normal 34 2 2 2 2 5" xfId="19863"/>
    <cellStyle name="Normal 34 2 2 2 2 6" xfId="26830"/>
    <cellStyle name="Normal 34 2 2 2 2 7" xfId="33798"/>
    <cellStyle name="Normal 34 2 2 2 3" xfId="9002"/>
    <cellStyle name="Normal 34 2 2 2 3 2" xfId="16051"/>
    <cellStyle name="Normal 34 2 2 2 3 3" xfId="23018"/>
    <cellStyle name="Normal 34 2 2 2 3 4" xfId="29985"/>
    <cellStyle name="Normal 34 2 2 2 3 5" xfId="36954"/>
    <cellStyle name="Normal 34 2 2 2 4" xfId="13729"/>
    <cellStyle name="Normal 34 2 2 2 4 2" xfId="20696"/>
    <cellStyle name="Normal 34 2 2 2 4 3" xfId="27663"/>
    <cellStyle name="Normal 34 2 2 2 4 4" xfId="34632"/>
    <cellStyle name="Normal 34 2 2 2 5" xfId="11407"/>
    <cellStyle name="Normal 34 2 2 2 6" xfId="18374"/>
    <cellStyle name="Normal 34 2 2 2 7" xfId="25341"/>
    <cellStyle name="Normal 34 2 2 2 8" xfId="32309"/>
    <cellStyle name="Normal 34 2 2 3" xfId="3567"/>
    <cellStyle name="Normal 34 2 2 3 2" xfId="5741"/>
    <cellStyle name="Normal 34 2 2 3 2 2" xfId="10545"/>
    <cellStyle name="Normal 34 2 2 3 2 2 2" xfId="17539"/>
    <cellStyle name="Normal 34 2 2 3 2 2 3" xfId="24506"/>
    <cellStyle name="Normal 34 2 2 3 2 2 4" xfId="31473"/>
    <cellStyle name="Normal 34 2 2 3 2 2 5" xfId="38442"/>
    <cellStyle name="Normal 34 2 2 3 2 3" xfId="15219"/>
    <cellStyle name="Normal 34 2 2 3 2 3 2" xfId="22186"/>
    <cellStyle name="Normal 34 2 2 3 2 3 3" xfId="29153"/>
    <cellStyle name="Normal 34 2 2 3 2 3 4" xfId="36122"/>
    <cellStyle name="Normal 34 2 2 3 2 4" xfId="12897"/>
    <cellStyle name="Normal 34 2 2 3 2 5" xfId="19864"/>
    <cellStyle name="Normal 34 2 2 3 2 6" xfId="26831"/>
    <cellStyle name="Normal 34 2 2 3 2 7" xfId="33799"/>
    <cellStyle name="Normal 34 2 2 3 3" xfId="9179"/>
    <cellStyle name="Normal 34 2 2 3 3 2" xfId="16218"/>
    <cellStyle name="Normal 34 2 2 3 3 3" xfId="23185"/>
    <cellStyle name="Normal 34 2 2 3 3 4" xfId="30152"/>
    <cellStyle name="Normal 34 2 2 3 3 5" xfId="37121"/>
    <cellStyle name="Normal 34 2 2 3 4" xfId="13898"/>
    <cellStyle name="Normal 34 2 2 3 4 2" xfId="20865"/>
    <cellStyle name="Normal 34 2 2 3 4 3" xfId="27832"/>
    <cellStyle name="Normal 34 2 2 3 4 4" xfId="34801"/>
    <cellStyle name="Normal 34 2 2 3 5" xfId="11576"/>
    <cellStyle name="Normal 34 2 2 3 6" xfId="18543"/>
    <cellStyle name="Normal 34 2 2 3 7" xfId="25510"/>
    <cellStyle name="Normal 34 2 2 3 8" xfId="32478"/>
    <cellStyle name="Normal 34 2 2 4" xfId="3742"/>
    <cellStyle name="Normal 34 2 2 4 2" xfId="5742"/>
    <cellStyle name="Normal 34 2 2 4 2 2" xfId="10546"/>
    <cellStyle name="Normal 34 2 2 4 2 2 2" xfId="17540"/>
    <cellStyle name="Normal 34 2 2 4 2 2 3" xfId="24507"/>
    <cellStyle name="Normal 34 2 2 4 2 2 4" xfId="31474"/>
    <cellStyle name="Normal 34 2 2 4 2 2 5" xfId="38443"/>
    <cellStyle name="Normal 34 2 2 4 2 3" xfId="15220"/>
    <cellStyle name="Normal 34 2 2 4 2 3 2" xfId="22187"/>
    <cellStyle name="Normal 34 2 2 4 2 3 3" xfId="29154"/>
    <cellStyle name="Normal 34 2 2 4 2 3 4" xfId="36123"/>
    <cellStyle name="Normal 34 2 2 4 2 4" xfId="12898"/>
    <cellStyle name="Normal 34 2 2 4 2 5" xfId="19865"/>
    <cellStyle name="Normal 34 2 2 4 2 6" xfId="26832"/>
    <cellStyle name="Normal 34 2 2 4 2 7" xfId="33800"/>
    <cellStyle name="Normal 34 2 2 4 3" xfId="9350"/>
    <cellStyle name="Normal 34 2 2 4 3 2" xfId="16389"/>
    <cellStyle name="Normal 34 2 2 4 3 3" xfId="23356"/>
    <cellStyle name="Normal 34 2 2 4 3 4" xfId="30323"/>
    <cellStyle name="Normal 34 2 2 4 3 5" xfId="37292"/>
    <cellStyle name="Normal 34 2 2 4 4" xfId="14069"/>
    <cellStyle name="Normal 34 2 2 4 4 2" xfId="21036"/>
    <cellStyle name="Normal 34 2 2 4 4 3" xfId="28003"/>
    <cellStyle name="Normal 34 2 2 4 4 4" xfId="34972"/>
    <cellStyle name="Normal 34 2 2 4 5" xfId="11747"/>
    <cellStyle name="Normal 34 2 2 4 6" xfId="18714"/>
    <cellStyle name="Normal 34 2 2 4 7" xfId="25681"/>
    <cellStyle name="Normal 34 2 2 4 8" xfId="32649"/>
    <cellStyle name="Normal 34 2 2 5" xfId="4020"/>
    <cellStyle name="Normal 34 2 2 5 2" xfId="5743"/>
    <cellStyle name="Normal 34 2 2 5 2 2" xfId="10547"/>
    <cellStyle name="Normal 34 2 2 5 2 2 2" xfId="17541"/>
    <cellStyle name="Normal 34 2 2 5 2 2 3" xfId="24508"/>
    <cellStyle name="Normal 34 2 2 5 2 2 4" xfId="31475"/>
    <cellStyle name="Normal 34 2 2 5 2 2 5" xfId="38444"/>
    <cellStyle name="Normal 34 2 2 5 2 3" xfId="15221"/>
    <cellStyle name="Normal 34 2 2 5 2 3 2" xfId="22188"/>
    <cellStyle name="Normal 34 2 2 5 2 3 3" xfId="29155"/>
    <cellStyle name="Normal 34 2 2 5 2 3 4" xfId="36124"/>
    <cellStyle name="Normal 34 2 2 5 2 4" xfId="12899"/>
    <cellStyle name="Normal 34 2 2 5 2 5" xfId="19866"/>
    <cellStyle name="Normal 34 2 2 5 2 6" xfId="26833"/>
    <cellStyle name="Normal 34 2 2 5 2 7" xfId="33801"/>
    <cellStyle name="Normal 34 2 2 5 3" xfId="9626"/>
    <cellStyle name="Normal 34 2 2 5 3 2" xfId="16662"/>
    <cellStyle name="Normal 34 2 2 5 3 3" xfId="23629"/>
    <cellStyle name="Normal 34 2 2 5 3 4" xfId="30596"/>
    <cellStyle name="Normal 34 2 2 5 3 5" xfId="37565"/>
    <cellStyle name="Normal 34 2 2 5 4" xfId="14342"/>
    <cellStyle name="Normal 34 2 2 5 4 2" xfId="21309"/>
    <cellStyle name="Normal 34 2 2 5 4 3" xfId="28276"/>
    <cellStyle name="Normal 34 2 2 5 4 4" xfId="35245"/>
    <cellStyle name="Normal 34 2 2 5 5" xfId="12020"/>
    <cellStyle name="Normal 34 2 2 5 6" xfId="18987"/>
    <cellStyle name="Normal 34 2 2 5 7" xfId="25954"/>
    <cellStyle name="Normal 34 2 2 5 8" xfId="32922"/>
    <cellStyle name="Normal 34 2 2 6" xfId="5739"/>
    <cellStyle name="Normal 34 2 2 6 2" xfId="10543"/>
    <cellStyle name="Normal 34 2 2 6 2 2" xfId="17537"/>
    <cellStyle name="Normal 34 2 2 6 2 3" xfId="24504"/>
    <cellStyle name="Normal 34 2 2 6 2 4" xfId="31471"/>
    <cellStyle name="Normal 34 2 2 6 2 5" xfId="38440"/>
    <cellStyle name="Normal 34 2 2 6 3" xfId="15217"/>
    <cellStyle name="Normal 34 2 2 6 3 2" xfId="22184"/>
    <cellStyle name="Normal 34 2 2 6 3 3" xfId="29151"/>
    <cellStyle name="Normal 34 2 2 6 3 4" xfId="36120"/>
    <cellStyle name="Normal 34 2 2 6 4" xfId="12895"/>
    <cellStyle name="Normal 34 2 2 6 5" xfId="19862"/>
    <cellStyle name="Normal 34 2 2 6 6" xfId="26829"/>
    <cellStyle name="Normal 34 2 2 6 7" xfId="33797"/>
    <cellStyle name="Normal 34 2 2 7" xfId="6926"/>
    <cellStyle name="Normal 34 2 2 7 2" xfId="10886"/>
    <cellStyle name="Normal 34 2 2 7 2 2" xfId="17855"/>
    <cellStyle name="Normal 34 2 2 7 2 3" xfId="24822"/>
    <cellStyle name="Normal 34 2 2 7 2 4" xfId="31789"/>
    <cellStyle name="Normal 34 2 2 7 2 5" xfId="38758"/>
    <cellStyle name="Normal 34 2 2 7 3" xfId="15535"/>
    <cellStyle name="Normal 34 2 2 7 3 2" xfId="22502"/>
    <cellStyle name="Normal 34 2 2 7 3 3" xfId="29469"/>
    <cellStyle name="Normal 34 2 2 7 3 4" xfId="36438"/>
    <cellStyle name="Normal 34 2 2 7 4" xfId="13213"/>
    <cellStyle name="Normal 34 2 2 7 5" xfId="20180"/>
    <cellStyle name="Normal 34 2 2 7 6" xfId="27147"/>
    <cellStyle name="Normal 34 2 2 7 7" xfId="34116"/>
    <cellStyle name="Normal 34 2 2 8" xfId="7224"/>
    <cellStyle name="Normal 34 2 2 8 2" xfId="15708"/>
    <cellStyle name="Normal 34 2 2 8 2 2" xfId="22675"/>
    <cellStyle name="Normal 34 2 2 8 2 3" xfId="29642"/>
    <cellStyle name="Normal 34 2 2 8 2 4" xfId="36611"/>
    <cellStyle name="Normal 34 2 2 8 3" xfId="13386"/>
    <cellStyle name="Normal 34 2 2 8 4" xfId="20353"/>
    <cellStyle name="Normal 34 2 2 8 5" xfId="27320"/>
    <cellStyle name="Normal 34 2 2 8 6" xfId="34289"/>
    <cellStyle name="Normal 34 2 2 9" xfId="8145"/>
    <cellStyle name="Normal 34 2 2 9 2" xfId="15881"/>
    <cellStyle name="Normal 34 2 2 9 2 2" xfId="22848"/>
    <cellStyle name="Normal 34 2 2 9 2 3" xfId="29815"/>
    <cellStyle name="Normal 34 2 2 9 2 4" xfId="36784"/>
    <cellStyle name="Normal 34 2 2 9 3" xfId="11237"/>
    <cellStyle name="Normal 34 2 2 9 4" xfId="18204"/>
    <cellStyle name="Normal 34 2 2 9 5" xfId="25171"/>
    <cellStyle name="Normal 34 2 2 9 6" xfId="32139"/>
    <cellStyle name="Normal 34 2 3" xfId="3367"/>
    <cellStyle name="Normal 34 2 3 2" xfId="5744"/>
    <cellStyle name="Normal 34 2 3 2 2" xfId="10548"/>
    <cellStyle name="Normal 34 2 3 2 2 2" xfId="17542"/>
    <cellStyle name="Normal 34 2 3 2 2 3" xfId="24509"/>
    <cellStyle name="Normal 34 2 3 2 2 4" xfId="31476"/>
    <cellStyle name="Normal 34 2 3 2 2 5" xfId="38445"/>
    <cellStyle name="Normal 34 2 3 2 3" xfId="15222"/>
    <cellStyle name="Normal 34 2 3 2 3 2" xfId="22189"/>
    <cellStyle name="Normal 34 2 3 2 3 3" xfId="29156"/>
    <cellStyle name="Normal 34 2 3 2 3 4" xfId="36125"/>
    <cellStyle name="Normal 34 2 3 2 4" xfId="12900"/>
    <cellStyle name="Normal 34 2 3 2 5" xfId="19867"/>
    <cellStyle name="Normal 34 2 3 2 6" xfId="26834"/>
    <cellStyle name="Normal 34 2 3 2 7" xfId="33802"/>
    <cellStyle name="Normal 34 2 3 3" xfId="9001"/>
    <cellStyle name="Normal 34 2 3 3 2" xfId="16050"/>
    <cellStyle name="Normal 34 2 3 3 3" xfId="23017"/>
    <cellStyle name="Normal 34 2 3 3 4" xfId="29984"/>
    <cellStyle name="Normal 34 2 3 3 5" xfId="36953"/>
    <cellStyle name="Normal 34 2 3 4" xfId="13728"/>
    <cellStyle name="Normal 34 2 3 4 2" xfId="20695"/>
    <cellStyle name="Normal 34 2 3 4 3" xfId="27662"/>
    <cellStyle name="Normal 34 2 3 4 4" xfId="34631"/>
    <cellStyle name="Normal 34 2 3 5" xfId="11406"/>
    <cellStyle name="Normal 34 2 3 6" xfId="18373"/>
    <cellStyle name="Normal 34 2 3 7" xfId="25340"/>
    <cellStyle name="Normal 34 2 3 8" xfId="32308"/>
    <cellStyle name="Normal 34 2 4" xfId="3566"/>
    <cellStyle name="Normal 34 2 4 2" xfId="5745"/>
    <cellStyle name="Normal 34 2 4 2 2" xfId="10549"/>
    <cellStyle name="Normal 34 2 4 2 2 2" xfId="17543"/>
    <cellStyle name="Normal 34 2 4 2 2 3" xfId="24510"/>
    <cellStyle name="Normal 34 2 4 2 2 4" xfId="31477"/>
    <cellStyle name="Normal 34 2 4 2 2 5" xfId="38446"/>
    <cellStyle name="Normal 34 2 4 2 3" xfId="15223"/>
    <cellStyle name="Normal 34 2 4 2 3 2" xfId="22190"/>
    <cellStyle name="Normal 34 2 4 2 3 3" xfId="29157"/>
    <cellStyle name="Normal 34 2 4 2 3 4" xfId="36126"/>
    <cellStyle name="Normal 34 2 4 2 4" xfId="12901"/>
    <cellStyle name="Normal 34 2 4 2 5" xfId="19868"/>
    <cellStyle name="Normal 34 2 4 2 6" xfId="26835"/>
    <cellStyle name="Normal 34 2 4 2 7" xfId="33803"/>
    <cellStyle name="Normal 34 2 4 3" xfId="9178"/>
    <cellStyle name="Normal 34 2 4 3 2" xfId="16217"/>
    <cellStyle name="Normal 34 2 4 3 3" xfId="23184"/>
    <cellStyle name="Normal 34 2 4 3 4" xfId="30151"/>
    <cellStyle name="Normal 34 2 4 3 5" xfId="37120"/>
    <cellStyle name="Normal 34 2 4 4" xfId="13897"/>
    <cellStyle name="Normal 34 2 4 4 2" xfId="20864"/>
    <cellStyle name="Normal 34 2 4 4 3" xfId="27831"/>
    <cellStyle name="Normal 34 2 4 4 4" xfId="34800"/>
    <cellStyle name="Normal 34 2 4 5" xfId="11575"/>
    <cellStyle name="Normal 34 2 4 6" xfId="18542"/>
    <cellStyle name="Normal 34 2 4 7" xfId="25509"/>
    <cellStyle name="Normal 34 2 4 8" xfId="32477"/>
    <cellStyle name="Normal 34 2 5" xfId="3741"/>
    <cellStyle name="Normal 34 2 5 2" xfId="5746"/>
    <cellStyle name="Normal 34 2 5 2 2" xfId="10550"/>
    <cellStyle name="Normal 34 2 5 2 2 2" xfId="17544"/>
    <cellStyle name="Normal 34 2 5 2 2 3" xfId="24511"/>
    <cellStyle name="Normal 34 2 5 2 2 4" xfId="31478"/>
    <cellStyle name="Normal 34 2 5 2 2 5" xfId="38447"/>
    <cellStyle name="Normal 34 2 5 2 3" xfId="15224"/>
    <cellStyle name="Normal 34 2 5 2 3 2" xfId="22191"/>
    <cellStyle name="Normal 34 2 5 2 3 3" xfId="29158"/>
    <cellStyle name="Normal 34 2 5 2 3 4" xfId="36127"/>
    <cellStyle name="Normal 34 2 5 2 4" xfId="12902"/>
    <cellStyle name="Normal 34 2 5 2 5" xfId="19869"/>
    <cellStyle name="Normal 34 2 5 2 6" xfId="26836"/>
    <cellStyle name="Normal 34 2 5 2 7" xfId="33804"/>
    <cellStyle name="Normal 34 2 5 3" xfId="9349"/>
    <cellStyle name="Normal 34 2 5 3 2" xfId="16388"/>
    <cellStyle name="Normal 34 2 5 3 3" xfId="23355"/>
    <cellStyle name="Normal 34 2 5 3 4" xfId="30322"/>
    <cellStyle name="Normal 34 2 5 3 5" xfId="37291"/>
    <cellStyle name="Normal 34 2 5 4" xfId="14068"/>
    <cellStyle name="Normal 34 2 5 4 2" xfId="21035"/>
    <cellStyle name="Normal 34 2 5 4 3" xfId="28002"/>
    <cellStyle name="Normal 34 2 5 4 4" xfId="34971"/>
    <cellStyle name="Normal 34 2 5 5" xfId="11746"/>
    <cellStyle name="Normal 34 2 5 6" xfId="18713"/>
    <cellStyle name="Normal 34 2 5 7" xfId="25680"/>
    <cellStyle name="Normal 34 2 5 8" xfId="32648"/>
    <cellStyle name="Normal 34 2 6" xfId="4019"/>
    <cellStyle name="Normal 34 2 6 2" xfId="5747"/>
    <cellStyle name="Normal 34 2 6 2 2" xfId="10551"/>
    <cellStyle name="Normal 34 2 6 2 2 2" xfId="17545"/>
    <cellStyle name="Normal 34 2 6 2 2 3" xfId="24512"/>
    <cellStyle name="Normal 34 2 6 2 2 4" xfId="31479"/>
    <cellStyle name="Normal 34 2 6 2 2 5" xfId="38448"/>
    <cellStyle name="Normal 34 2 6 2 3" xfId="15225"/>
    <cellStyle name="Normal 34 2 6 2 3 2" xfId="22192"/>
    <cellStyle name="Normal 34 2 6 2 3 3" xfId="29159"/>
    <cellStyle name="Normal 34 2 6 2 3 4" xfId="36128"/>
    <cellStyle name="Normal 34 2 6 2 4" xfId="12903"/>
    <cellStyle name="Normal 34 2 6 2 5" xfId="19870"/>
    <cellStyle name="Normal 34 2 6 2 6" xfId="26837"/>
    <cellStyle name="Normal 34 2 6 2 7" xfId="33805"/>
    <cellStyle name="Normal 34 2 6 3" xfId="9625"/>
    <cellStyle name="Normal 34 2 6 3 2" xfId="16661"/>
    <cellStyle name="Normal 34 2 6 3 3" xfId="23628"/>
    <cellStyle name="Normal 34 2 6 3 4" xfId="30595"/>
    <cellStyle name="Normal 34 2 6 3 5" xfId="37564"/>
    <cellStyle name="Normal 34 2 6 4" xfId="14341"/>
    <cellStyle name="Normal 34 2 6 4 2" xfId="21308"/>
    <cellStyle name="Normal 34 2 6 4 3" xfId="28275"/>
    <cellStyle name="Normal 34 2 6 4 4" xfId="35244"/>
    <cellStyle name="Normal 34 2 6 5" xfId="12019"/>
    <cellStyle name="Normal 34 2 6 6" xfId="18986"/>
    <cellStyle name="Normal 34 2 6 7" xfId="25953"/>
    <cellStyle name="Normal 34 2 6 8" xfId="32921"/>
    <cellStyle name="Normal 34 2 7" xfId="5738"/>
    <cellStyle name="Normal 34 2 7 2" xfId="10542"/>
    <cellStyle name="Normal 34 2 7 2 2" xfId="17536"/>
    <cellStyle name="Normal 34 2 7 2 3" xfId="24503"/>
    <cellStyle name="Normal 34 2 7 2 4" xfId="31470"/>
    <cellStyle name="Normal 34 2 7 2 5" xfId="38439"/>
    <cellStyle name="Normal 34 2 7 3" xfId="15216"/>
    <cellStyle name="Normal 34 2 7 3 2" xfId="22183"/>
    <cellStyle name="Normal 34 2 7 3 3" xfId="29150"/>
    <cellStyle name="Normal 34 2 7 3 4" xfId="36119"/>
    <cellStyle name="Normal 34 2 7 4" xfId="12894"/>
    <cellStyle name="Normal 34 2 7 5" xfId="19861"/>
    <cellStyle name="Normal 34 2 7 6" xfId="26828"/>
    <cellStyle name="Normal 34 2 7 7" xfId="33796"/>
    <cellStyle name="Normal 34 2 8" xfId="6925"/>
    <cellStyle name="Normal 34 2 8 2" xfId="10885"/>
    <cellStyle name="Normal 34 2 8 2 2" xfId="17854"/>
    <cellStyle name="Normal 34 2 8 2 3" xfId="24821"/>
    <cellStyle name="Normal 34 2 8 2 4" xfId="31788"/>
    <cellStyle name="Normal 34 2 8 2 5" xfId="38757"/>
    <cellStyle name="Normal 34 2 8 3" xfId="15534"/>
    <cellStyle name="Normal 34 2 8 3 2" xfId="22501"/>
    <cellStyle name="Normal 34 2 8 3 3" xfId="29468"/>
    <cellStyle name="Normal 34 2 8 3 4" xfId="36437"/>
    <cellStyle name="Normal 34 2 8 4" xfId="13212"/>
    <cellStyle name="Normal 34 2 8 5" xfId="20179"/>
    <cellStyle name="Normal 34 2 8 6" xfId="27146"/>
    <cellStyle name="Normal 34 2 8 7" xfId="34115"/>
    <cellStyle name="Normal 34 2 9" xfId="7223"/>
    <cellStyle name="Normal 34 2 9 2" xfId="15707"/>
    <cellStyle name="Normal 34 2 9 2 2" xfId="22674"/>
    <cellStyle name="Normal 34 2 9 2 3" xfId="29641"/>
    <cellStyle name="Normal 34 2 9 2 4" xfId="36610"/>
    <cellStyle name="Normal 34 2 9 3" xfId="13385"/>
    <cellStyle name="Normal 34 2 9 4" xfId="20352"/>
    <cellStyle name="Normal 34 2 9 5" xfId="27319"/>
    <cellStyle name="Normal 34 2 9 6" xfId="34288"/>
    <cellStyle name="Normal 34 3" xfId="1815"/>
    <cellStyle name="Normal 34 3 10" xfId="13560"/>
    <cellStyle name="Normal 34 3 10 2" xfId="20527"/>
    <cellStyle name="Normal 34 3 10 3" xfId="27494"/>
    <cellStyle name="Normal 34 3 10 4" xfId="34463"/>
    <cellStyle name="Normal 34 3 11" xfId="11065"/>
    <cellStyle name="Normal 34 3 12" xfId="18031"/>
    <cellStyle name="Normal 34 3 13" xfId="24999"/>
    <cellStyle name="Normal 34 3 14" xfId="31967"/>
    <cellStyle name="Normal 34 3 2" xfId="3369"/>
    <cellStyle name="Normal 34 3 2 2" xfId="5749"/>
    <cellStyle name="Normal 34 3 2 2 2" xfId="10553"/>
    <cellStyle name="Normal 34 3 2 2 2 2" xfId="17547"/>
    <cellStyle name="Normal 34 3 2 2 2 3" xfId="24514"/>
    <cellStyle name="Normal 34 3 2 2 2 4" xfId="31481"/>
    <cellStyle name="Normal 34 3 2 2 2 5" xfId="38450"/>
    <cellStyle name="Normal 34 3 2 2 3" xfId="15227"/>
    <cellStyle name="Normal 34 3 2 2 3 2" xfId="22194"/>
    <cellStyle name="Normal 34 3 2 2 3 3" xfId="29161"/>
    <cellStyle name="Normal 34 3 2 2 3 4" xfId="36130"/>
    <cellStyle name="Normal 34 3 2 2 4" xfId="12905"/>
    <cellStyle name="Normal 34 3 2 2 5" xfId="19872"/>
    <cellStyle name="Normal 34 3 2 2 6" xfId="26839"/>
    <cellStyle name="Normal 34 3 2 2 7" xfId="33807"/>
    <cellStyle name="Normal 34 3 2 3" xfId="9003"/>
    <cellStyle name="Normal 34 3 2 3 2" xfId="16052"/>
    <cellStyle name="Normal 34 3 2 3 3" xfId="23019"/>
    <cellStyle name="Normal 34 3 2 3 4" xfId="29986"/>
    <cellStyle name="Normal 34 3 2 3 5" xfId="36955"/>
    <cellStyle name="Normal 34 3 2 4" xfId="13730"/>
    <cellStyle name="Normal 34 3 2 4 2" xfId="20697"/>
    <cellStyle name="Normal 34 3 2 4 3" xfId="27664"/>
    <cellStyle name="Normal 34 3 2 4 4" xfId="34633"/>
    <cellStyle name="Normal 34 3 2 5" xfId="11408"/>
    <cellStyle name="Normal 34 3 2 6" xfId="18375"/>
    <cellStyle name="Normal 34 3 2 7" xfId="25342"/>
    <cellStyle name="Normal 34 3 2 8" xfId="32310"/>
    <cellStyle name="Normal 34 3 3" xfId="3568"/>
    <cellStyle name="Normal 34 3 3 2" xfId="5750"/>
    <cellStyle name="Normal 34 3 3 2 2" xfId="10554"/>
    <cellStyle name="Normal 34 3 3 2 2 2" xfId="17548"/>
    <cellStyle name="Normal 34 3 3 2 2 3" xfId="24515"/>
    <cellStyle name="Normal 34 3 3 2 2 4" xfId="31482"/>
    <cellStyle name="Normal 34 3 3 2 2 5" xfId="38451"/>
    <cellStyle name="Normal 34 3 3 2 3" xfId="15228"/>
    <cellStyle name="Normal 34 3 3 2 3 2" xfId="22195"/>
    <cellStyle name="Normal 34 3 3 2 3 3" xfId="29162"/>
    <cellStyle name="Normal 34 3 3 2 3 4" xfId="36131"/>
    <cellStyle name="Normal 34 3 3 2 4" xfId="12906"/>
    <cellStyle name="Normal 34 3 3 2 5" xfId="19873"/>
    <cellStyle name="Normal 34 3 3 2 6" xfId="26840"/>
    <cellStyle name="Normal 34 3 3 2 7" xfId="33808"/>
    <cellStyle name="Normal 34 3 3 3" xfId="9180"/>
    <cellStyle name="Normal 34 3 3 3 2" xfId="16219"/>
    <cellStyle name="Normal 34 3 3 3 3" xfId="23186"/>
    <cellStyle name="Normal 34 3 3 3 4" xfId="30153"/>
    <cellStyle name="Normal 34 3 3 3 5" xfId="37122"/>
    <cellStyle name="Normal 34 3 3 4" xfId="13899"/>
    <cellStyle name="Normal 34 3 3 4 2" xfId="20866"/>
    <cellStyle name="Normal 34 3 3 4 3" xfId="27833"/>
    <cellStyle name="Normal 34 3 3 4 4" xfId="34802"/>
    <cellStyle name="Normal 34 3 3 5" xfId="11577"/>
    <cellStyle name="Normal 34 3 3 6" xfId="18544"/>
    <cellStyle name="Normal 34 3 3 7" xfId="25511"/>
    <cellStyle name="Normal 34 3 3 8" xfId="32479"/>
    <cellStyle name="Normal 34 3 4" xfId="3743"/>
    <cellStyle name="Normal 34 3 4 2" xfId="5751"/>
    <cellStyle name="Normal 34 3 4 2 2" xfId="10555"/>
    <cellStyle name="Normal 34 3 4 2 2 2" xfId="17549"/>
    <cellStyle name="Normal 34 3 4 2 2 3" xfId="24516"/>
    <cellStyle name="Normal 34 3 4 2 2 4" xfId="31483"/>
    <cellStyle name="Normal 34 3 4 2 2 5" xfId="38452"/>
    <cellStyle name="Normal 34 3 4 2 3" xfId="15229"/>
    <cellStyle name="Normal 34 3 4 2 3 2" xfId="22196"/>
    <cellStyle name="Normal 34 3 4 2 3 3" xfId="29163"/>
    <cellStyle name="Normal 34 3 4 2 3 4" xfId="36132"/>
    <cellStyle name="Normal 34 3 4 2 4" xfId="12907"/>
    <cellStyle name="Normal 34 3 4 2 5" xfId="19874"/>
    <cellStyle name="Normal 34 3 4 2 6" xfId="26841"/>
    <cellStyle name="Normal 34 3 4 2 7" xfId="33809"/>
    <cellStyle name="Normal 34 3 4 3" xfId="9351"/>
    <cellStyle name="Normal 34 3 4 3 2" xfId="16390"/>
    <cellStyle name="Normal 34 3 4 3 3" xfId="23357"/>
    <cellStyle name="Normal 34 3 4 3 4" xfId="30324"/>
    <cellStyle name="Normal 34 3 4 3 5" xfId="37293"/>
    <cellStyle name="Normal 34 3 4 4" xfId="14070"/>
    <cellStyle name="Normal 34 3 4 4 2" xfId="21037"/>
    <cellStyle name="Normal 34 3 4 4 3" xfId="28004"/>
    <cellStyle name="Normal 34 3 4 4 4" xfId="34973"/>
    <cellStyle name="Normal 34 3 4 5" xfId="11748"/>
    <cellStyle name="Normal 34 3 4 6" xfId="18715"/>
    <cellStyle name="Normal 34 3 4 7" xfId="25682"/>
    <cellStyle name="Normal 34 3 4 8" xfId="32650"/>
    <cellStyle name="Normal 34 3 5" xfId="4021"/>
    <cellStyle name="Normal 34 3 5 2" xfId="5752"/>
    <cellStyle name="Normal 34 3 5 2 2" xfId="10556"/>
    <cellStyle name="Normal 34 3 5 2 2 2" xfId="17550"/>
    <cellStyle name="Normal 34 3 5 2 2 3" xfId="24517"/>
    <cellStyle name="Normal 34 3 5 2 2 4" xfId="31484"/>
    <cellStyle name="Normal 34 3 5 2 2 5" xfId="38453"/>
    <cellStyle name="Normal 34 3 5 2 3" xfId="15230"/>
    <cellStyle name="Normal 34 3 5 2 3 2" xfId="22197"/>
    <cellStyle name="Normal 34 3 5 2 3 3" xfId="29164"/>
    <cellStyle name="Normal 34 3 5 2 3 4" xfId="36133"/>
    <cellStyle name="Normal 34 3 5 2 4" xfId="12908"/>
    <cellStyle name="Normal 34 3 5 2 5" xfId="19875"/>
    <cellStyle name="Normal 34 3 5 2 6" xfId="26842"/>
    <cellStyle name="Normal 34 3 5 2 7" xfId="33810"/>
    <cellStyle name="Normal 34 3 5 3" xfId="9627"/>
    <cellStyle name="Normal 34 3 5 3 2" xfId="16663"/>
    <cellStyle name="Normal 34 3 5 3 3" xfId="23630"/>
    <cellStyle name="Normal 34 3 5 3 4" xfId="30597"/>
    <cellStyle name="Normal 34 3 5 3 5" xfId="37566"/>
    <cellStyle name="Normal 34 3 5 4" xfId="14343"/>
    <cellStyle name="Normal 34 3 5 4 2" xfId="21310"/>
    <cellStyle name="Normal 34 3 5 4 3" xfId="28277"/>
    <cellStyle name="Normal 34 3 5 4 4" xfId="35246"/>
    <cellStyle name="Normal 34 3 5 5" xfId="12021"/>
    <cellStyle name="Normal 34 3 5 6" xfId="18988"/>
    <cellStyle name="Normal 34 3 5 7" xfId="25955"/>
    <cellStyle name="Normal 34 3 5 8" xfId="32923"/>
    <cellStyle name="Normal 34 3 6" xfId="5748"/>
    <cellStyle name="Normal 34 3 6 2" xfId="10552"/>
    <cellStyle name="Normal 34 3 6 2 2" xfId="17546"/>
    <cellStyle name="Normal 34 3 6 2 3" xfId="24513"/>
    <cellStyle name="Normal 34 3 6 2 4" xfId="31480"/>
    <cellStyle name="Normal 34 3 6 2 5" xfId="38449"/>
    <cellStyle name="Normal 34 3 6 3" xfId="15226"/>
    <cellStyle name="Normal 34 3 6 3 2" xfId="22193"/>
    <cellStyle name="Normal 34 3 6 3 3" xfId="29160"/>
    <cellStyle name="Normal 34 3 6 3 4" xfId="36129"/>
    <cellStyle name="Normal 34 3 6 4" xfId="12904"/>
    <cellStyle name="Normal 34 3 6 5" xfId="19871"/>
    <cellStyle name="Normal 34 3 6 6" xfId="26838"/>
    <cellStyle name="Normal 34 3 6 7" xfId="33806"/>
    <cellStyle name="Normal 34 3 7" xfId="6927"/>
    <cellStyle name="Normal 34 3 7 2" xfId="10887"/>
    <cellStyle name="Normal 34 3 7 2 2" xfId="17856"/>
    <cellStyle name="Normal 34 3 7 2 3" xfId="24823"/>
    <cellStyle name="Normal 34 3 7 2 4" xfId="31790"/>
    <cellStyle name="Normal 34 3 7 2 5" xfId="38759"/>
    <cellStyle name="Normal 34 3 7 3" xfId="15536"/>
    <cellStyle name="Normal 34 3 7 3 2" xfId="22503"/>
    <cellStyle name="Normal 34 3 7 3 3" xfId="29470"/>
    <cellStyle name="Normal 34 3 7 3 4" xfId="36439"/>
    <cellStyle name="Normal 34 3 7 4" xfId="13214"/>
    <cellStyle name="Normal 34 3 7 5" xfId="20181"/>
    <cellStyle name="Normal 34 3 7 6" xfId="27148"/>
    <cellStyle name="Normal 34 3 7 7" xfId="34117"/>
    <cellStyle name="Normal 34 3 8" xfId="7225"/>
    <cellStyle name="Normal 34 3 8 2" xfId="15709"/>
    <cellStyle name="Normal 34 3 8 2 2" xfId="22676"/>
    <cellStyle name="Normal 34 3 8 2 3" xfId="29643"/>
    <cellStyle name="Normal 34 3 8 2 4" xfId="36612"/>
    <cellStyle name="Normal 34 3 8 3" xfId="13387"/>
    <cellStyle name="Normal 34 3 8 4" xfId="20354"/>
    <cellStyle name="Normal 34 3 8 5" xfId="27321"/>
    <cellStyle name="Normal 34 3 8 6" xfId="34290"/>
    <cellStyle name="Normal 34 3 9" xfId="8146"/>
    <cellStyle name="Normal 34 3 9 2" xfId="15882"/>
    <cellStyle name="Normal 34 3 9 2 2" xfId="22849"/>
    <cellStyle name="Normal 34 3 9 2 3" xfId="29816"/>
    <cellStyle name="Normal 34 3 9 2 4" xfId="36785"/>
    <cellStyle name="Normal 34 3 9 3" xfId="11238"/>
    <cellStyle name="Normal 34 3 9 4" xfId="18205"/>
    <cellStyle name="Normal 34 3 9 5" xfId="25172"/>
    <cellStyle name="Normal 34 3 9 6" xfId="32140"/>
    <cellStyle name="Normal 34 4" xfId="3366"/>
    <cellStyle name="Normal 34 4 2" xfId="5753"/>
    <cellStyle name="Normal 34 4 2 2" xfId="10557"/>
    <cellStyle name="Normal 34 4 2 2 2" xfId="17551"/>
    <cellStyle name="Normal 34 4 2 2 3" xfId="24518"/>
    <cellStyle name="Normal 34 4 2 2 4" xfId="31485"/>
    <cellStyle name="Normal 34 4 2 2 5" xfId="38454"/>
    <cellStyle name="Normal 34 4 2 3" xfId="15231"/>
    <cellStyle name="Normal 34 4 2 3 2" xfId="22198"/>
    <cellStyle name="Normal 34 4 2 3 3" xfId="29165"/>
    <cellStyle name="Normal 34 4 2 3 4" xfId="36134"/>
    <cellStyle name="Normal 34 4 2 4" xfId="12909"/>
    <cellStyle name="Normal 34 4 2 5" xfId="19876"/>
    <cellStyle name="Normal 34 4 2 6" xfId="26843"/>
    <cellStyle name="Normal 34 4 2 7" xfId="33811"/>
    <cellStyle name="Normal 34 4 3" xfId="9000"/>
    <cellStyle name="Normal 34 4 3 2" xfId="16049"/>
    <cellStyle name="Normal 34 4 3 3" xfId="23016"/>
    <cellStyle name="Normal 34 4 3 4" xfId="29983"/>
    <cellStyle name="Normal 34 4 3 5" xfId="36952"/>
    <cellStyle name="Normal 34 4 4" xfId="13727"/>
    <cellStyle name="Normal 34 4 4 2" xfId="20694"/>
    <cellStyle name="Normal 34 4 4 3" xfId="27661"/>
    <cellStyle name="Normal 34 4 4 4" xfId="34630"/>
    <cellStyle name="Normal 34 4 5" xfId="11405"/>
    <cellStyle name="Normal 34 4 6" xfId="18372"/>
    <cellStyle name="Normal 34 4 7" xfId="25339"/>
    <cellStyle name="Normal 34 4 8" xfId="32307"/>
    <cellStyle name="Normal 34 5" xfId="3565"/>
    <cellStyle name="Normal 34 5 2" xfId="5754"/>
    <cellStyle name="Normal 34 5 2 2" xfId="10558"/>
    <cellStyle name="Normal 34 5 2 2 2" xfId="17552"/>
    <cellStyle name="Normal 34 5 2 2 3" xfId="24519"/>
    <cellStyle name="Normal 34 5 2 2 4" xfId="31486"/>
    <cellStyle name="Normal 34 5 2 2 5" xfId="38455"/>
    <cellStyle name="Normal 34 5 2 3" xfId="15232"/>
    <cellStyle name="Normal 34 5 2 3 2" xfId="22199"/>
    <cellStyle name="Normal 34 5 2 3 3" xfId="29166"/>
    <cellStyle name="Normal 34 5 2 3 4" xfId="36135"/>
    <cellStyle name="Normal 34 5 2 4" xfId="12910"/>
    <cellStyle name="Normal 34 5 2 5" xfId="19877"/>
    <cellStyle name="Normal 34 5 2 6" xfId="26844"/>
    <cellStyle name="Normal 34 5 2 7" xfId="33812"/>
    <cellStyle name="Normal 34 5 3" xfId="9177"/>
    <cellStyle name="Normal 34 5 3 2" xfId="16216"/>
    <cellStyle name="Normal 34 5 3 3" xfId="23183"/>
    <cellStyle name="Normal 34 5 3 4" xfId="30150"/>
    <cellStyle name="Normal 34 5 3 5" xfId="37119"/>
    <cellStyle name="Normal 34 5 4" xfId="13896"/>
    <cellStyle name="Normal 34 5 4 2" xfId="20863"/>
    <cellStyle name="Normal 34 5 4 3" xfId="27830"/>
    <cellStyle name="Normal 34 5 4 4" xfId="34799"/>
    <cellStyle name="Normal 34 5 5" xfId="11574"/>
    <cellStyle name="Normal 34 5 6" xfId="18541"/>
    <cellStyle name="Normal 34 5 7" xfId="25508"/>
    <cellStyle name="Normal 34 5 8" xfId="32476"/>
    <cellStyle name="Normal 34 6" xfId="3740"/>
    <cellStyle name="Normal 34 6 2" xfId="5755"/>
    <cellStyle name="Normal 34 6 2 2" xfId="10559"/>
    <cellStyle name="Normal 34 6 2 2 2" xfId="17553"/>
    <cellStyle name="Normal 34 6 2 2 3" xfId="24520"/>
    <cellStyle name="Normal 34 6 2 2 4" xfId="31487"/>
    <cellStyle name="Normal 34 6 2 2 5" xfId="38456"/>
    <cellStyle name="Normal 34 6 2 3" xfId="15233"/>
    <cellStyle name="Normal 34 6 2 3 2" xfId="22200"/>
    <cellStyle name="Normal 34 6 2 3 3" xfId="29167"/>
    <cellStyle name="Normal 34 6 2 3 4" xfId="36136"/>
    <cellStyle name="Normal 34 6 2 4" xfId="12911"/>
    <cellStyle name="Normal 34 6 2 5" xfId="19878"/>
    <cellStyle name="Normal 34 6 2 6" xfId="26845"/>
    <cellStyle name="Normal 34 6 2 7" xfId="33813"/>
    <cellStyle name="Normal 34 6 3" xfId="9348"/>
    <cellStyle name="Normal 34 6 3 2" xfId="16387"/>
    <cellStyle name="Normal 34 6 3 3" xfId="23354"/>
    <cellStyle name="Normal 34 6 3 4" xfId="30321"/>
    <cellStyle name="Normal 34 6 3 5" xfId="37290"/>
    <cellStyle name="Normal 34 6 4" xfId="14067"/>
    <cellStyle name="Normal 34 6 4 2" xfId="21034"/>
    <cellStyle name="Normal 34 6 4 3" xfId="28001"/>
    <cellStyle name="Normal 34 6 4 4" xfId="34970"/>
    <cellStyle name="Normal 34 6 5" xfId="11745"/>
    <cellStyle name="Normal 34 6 6" xfId="18712"/>
    <cellStyle name="Normal 34 6 7" xfId="25679"/>
    <cellStyle name="Normal 34 6 8" xfId="32647"/>
    <cellStyle name="Normal 34 7" xfId="4018"/>
    <cellStyle name="Normal 34 7 2" xfId="5756"/>
    <cellStyle name="Normal 34 7 2 2" xfId="10560"/>
    <cellStyle name="Normal 34 7 2 2 2" xfId="17554"/>
    <cellStyle name="Normal 34 7 2 2 3" xfId="24521"/>
    <cellStyle name="Normal 34 7 2 2 4" xfId="31488"/>
    <cellStyle name="Normal 34 7 2 2 5" xfId="38457"/>
    <cellStyle name="Normal 34 7 2 3" xfId="15234"/>
    <cellStyle name="Normal 34 7 2 3 2" xfId="22201"/>
    <cellStyle name="Normal 34 7 2 3 3" xfId="29168"/>
    <cellStyle name="Normal 34 7 2 3 4" xfId="36137"/>
    <cellStyle name="Normal 34 7 2 4" xfId="12912"/>
    <cellStyle name="Normal 34 7 2 5" xfId="19879"/>
    <cellStyle name="Normal 34 7 2 6" xfId="26846"/>
    <cellStyle name="Normal 34 7 2 7" xfId="33814"/>
    <cellStyle name="Normal 34 7 3" xfId="9624"/>
    <cellStyle name="Normal 34 7 3 2" xfId="16660"/>
    <cellStyle name="Normal 34 7 3 3" xfId="23627"/>
    <cellStyle name="Normal 34 7 3 4" xfId="30594"/>
    <cellStyle name="Normal 34 7 3 5" xfId="37563"/>
    <cellStyle name="Normal 34 7 4" xfId="14340"/>
    <cellStyle name="Normal 34 7 4 2" xfId="21307"/>
    <cellStyle name="Normal 34 7 4 3" xfId="28274"/>
    <cellStyle name="Normal 34 7 4 4" xfId="35243"/>
    <cellStyle name="Normal 34 7 5" xfId="12018"/>
    <cellStyle name="Normal 34 7 6" xfId="18985"/>
    <cellStyle name="Normal 34 7 7" xfId="25952"/>
    <cellStyle name="Normal 34 7 8" xfId="32920"/>
    <cellStyle name="Normal 34 8" xfId="5737"/>
    <cellStyle name="Normal 34 8 2" xfId="10541"/>
    <cellStyle name="Normal 34 8 2 2" xfId="17535"/>
    <cellStyle name="Normal 34 8 2 3" xfId="24502"/>
    <cellStyle name="Normal 34 8 2 4" xfId="31469"/>
    <cellStyle name="Normal 34 8 2 5" xfId="38438"/>
    <cellStyle name="Normal 34 8 3" xfId="15215"/>
    <cellStyle name="Normal 34 8 3 2" xfId="22182"/>
    <cellStyle name="Normal 34 8 3 3" xfId="29149"/>
    <cellStyle name="Normal 34 8 3 4" xfId="36118"/>
    <cellStyle name="Normal 34 8 4" xfId="12893"/>
    <cellStyle name="Normal 34 8 5" xfId="19860"/>
    <cellStyle name="Normal 34 8 6" xfId="26827"/>
    <cellStyle name="Normal 34 8 7" xfId="33795"/>
    <cellStyle name="Normal 34 9" xfId="6924"/>
    <cellStyle name="Normal 34 9 2" xfId="10884"/>
    <cellStyle name="Normal 34 9 2 2" xfId="17853"/>
    <cellStyle name="Normal 34 9 2 3" xfId="24820"/>
    <cellStyle name="Normal 34 9 2 4" xfId="31787"/>
    <cellStyle name="Normal 34 9 2 5" xfId="38756"/>
    <cellStyle name="Normal 34 9 3" xfId="15533"/>
    <cellStyle name="Normal 34 9 3 2" xfId="22500"/>
    <cellStyle name="Normal 34 9 3 3" xfId="29467"/>
    <cellStyle name="Normal 34 9 3 4" xfId="36436"/>
    <cellStyle name="Normal 34 9 4" xfId="13211"/>
    <cellStyle name="Normal 34 9 5" xfId="20178"/>
    <cellStyle name="Normal 34 9 6" xfId="27145"/>
    <cellStyle name="Normal 34 9 7" xfId="34114"/>
    <cellStyle name="Normal 35" xfId="1816"/>
    <cellStyle name="Normal 35 2" xfId="1817"/>
    <cellStyle name="Normal 35 3" xfId="1818"/>
    <cellStyle name="Normal 35 4" xfId="6928"/>
    <cellStyle name="Normal 35 4 2" xfId="10888"/>
    <cellStyle name="Normal 36" xfId="1819"/>
    <cellStyle name="Normal 36 2" xfId="1820"/>
    <cellStyle name="Normal 36 3" xfId="1821"/>
    <cellStyle name="Normal 36 4" xfId="6929"/>
    <cellStyle name="Normal 36 4 2" xfId="10889"/>
    <cellStyle name="Normal 37" xfId="1822"/>
    <cellStyle name="Normal 37 2" xfId="1823"/>
    <cellStyle name="Normal 37 3" xfId="1824"/>
    <cellStyle name="Normal 37 4" xfId="6930"/>
    <cellStyle name="Normal 37 4 2" xfId="7226"/>
    <cellStyle name="Normal 37 4 2 2" xfId="15710"/>
    <cellStyle name="Normal 37 4 2 2 2" xfId="22677"/>
    <cellStyle name="Normal 37 4 2 2 3" xfId="29644"/>
    <cellStyle name="Normal 37 4 2 2 4" xfId="36613"/>
    <cellStyle name="Normal 37 4 2 3" xfId="13388"/>
    <cellStyle name="Normal 37 4 2 4" xfId="20355"/>
    <cellStyle name="Normal 37 4 2 5" xfId="27322"/>
    <cellStyle name="Normal 37 4 2 6" xfId="34291"/>
    <cellStyle name="Normal 37 4 3" xfId="10890"/>
    <cellStyle name="Normal 37 4 3 2" xfId="17857"/>
    <cellStyle name="Normal 37 4 3 2 2" xfId="24824"/>
    <cellStyle name="Normal 37 4 3 2 3" xfId="31791"/>
    <cellStyle name="Normal 37 4 3 2 4" xfId="38760"/>
    <cellStyle name="Normal 37 4 3 3" xfId="13215"/>
    <cellStyle name="Normal 37 4 3 4" xfId="20182"/>
    <cellStyle name="Normal 37 4 3 5" xfId="27149"/>
    <cellStyle name="Normal 37 4 3 6" xfId="34118"/>
    <cellStyle name="Normal 37 4 4" xfId="15537"/>
    <cellStyle name="Normal 37 4 4 2" xfId="22504"/>
    <cellStyle name="Normal 37 4 4 3" xfId="29471"/>
    <cellStyle name="Normal 37 4 4 4" xfId="36440"/>
    <cellStyle name="Normal 37 4 5" xfId="11066"/>
    <cellStyle name="Normal 37 4 6" xfId="18032"/>
    <cellStyle name="Normal 37 4 7" xfId="25000"/>
    <cellStyle name="Normal 37 4 8" xfId="31968"/>
    <cellStyle name="Normal 38" xfId="1825"/>
    <cellStyle name="Normal 38 2" xfId="1826"/>
    <cellStyle name="Normal 38 3" xfId="1827"/>
    <cellStyle name="Normal 38 4" xfId="6931"/>
    <cellStyle name="Normal 39" xfId="1828"/>
    <cellStyle name="Normal 39 2" xfId="1829"/>
    <cellStyle name="Normal 39 3" xfId="1830"/>
    <cellStyle name="Normal 39 4" xfId="6932"/>
    <cellStyle name="Normal 4" xfId="3370"/>
    <cellStyle name="Normal 4 2" xfId="1831"/>
    <cellStyle name="Normal 4 2 10" xfId="11067"/>
    <cellStyle name="Normal 4 2 11" xfId="18033"/>
    <cellStyle name="Normal 4 2 12" xfId="25001"/>
    <cellStyle name="Normal 4 2 13" xfId="31969"/>
    <cellStyle name="Normal 4 2 2" xfId="1832"/>
    <cellStyle name="Normal 4 2 3" xfId="1833"/>
    <cellStyle name="Normal 4 2 3 10" xfId="8148"/>
    <cellStyle name="Normal 4 2 3 10 2" xfId="15884"/>
    <cellStyle name="Normal 4 2 3 10 2 2" xfId="22851"/>
    <cellStyle name="Normal 4 2 3 10 2 3" xfId="29818"/>
    <cellStyle name="Normal 4 2 3 10 2 4" xfId="36787"/>
    <cellStyle name="Normal 4 2 3 10 3" xfId="11240"/>
    <cellStyle name="Normal 4 2 3 10 4" xfId="18207"/>
    <cellStyle name="Normal 4 2 3 10 5" xfId="25174"/>
    <cellStyle name="Normal 4 2 3 10 6" xfId="32142"/>
    <cellStyle name="Normal 4 2 3 11" xfId="13562"/>
    <cellStyle name="Normal 4 2 3 11 2" xfId="20529"/>
    <cellStyle name="Normal 4 2 3 11 3" xfId="27496"/>
    <cellStyle name="Normal 4 2 3 11 4" xfId="34465"/>
    <cellStyle name="Normal 4 2 3 12" xfId="11068"/>
    <cellStyle name="Normal 4 2 3 13" xfId="18034"/>
    <cellStyle name="Normal 4 2 3 14" xfId="25002"/>
    <cellStyle name="Normal 4 2 3 15" xfId="31970"/>
    <cellStyle name="Normal 4 2 3 2" xfId="1834"/>
    <cellStyle name="Normal 4 2 3 2 10" xfId="13563"/>
    <cellStyle name="Normal 4 2 3 2 10 2" xfId="20530"/>
    <cellStyle name="Normal 4 2 3 2 10 3" xfId="27497"/>
    <cellStyle name="Normal 4 2 3 2 10 4" xfId="34466"/>
    <cellStyle name="Normal 4 2 3 2 11" xfId="11069"/>
    <cellStyle name="Normal 4 2 3 2 12" xfId="18035"/>
    <cellStyle name="Normal 4 2 3 2 13" xfId="25003"/>
    <cellStyle name="Normal 4 2 3 2 14" xfId="31971"/>
    <cellStyle name="Normal 4 2 3 2 2" xfId="3372"/>
    <cellStyle name="Normal 4 2 3 2 2 2" xfId="5760"/>
    <cellStyle name="Normal 4 2 3 2 2 2 2" xfId="10564"/>
    <cellStyle name="Normal 4 2 3 2 2 2 2 2" xfId="17557"/>
    <cellStyle name="Normal 4 2 3 2 2 2 2 3" xfId="24524"/>
    <cellStyle name="Normal 4 2 3 2 2 2 2 4" xfId="31491"/>
    <cellStyle name="Normal 4 2 3 2 2 2 2 5" xfId="38460"/>
    <cellStyle name="Normal 4 2 3 2 2 2 3" xfId="15237"/>
    <cellStyle name="Normal 4 2 3 2 2 2 3 2" xfId="22204"/>
    <cellStyle name="Normal 4 2 3 2 2 2 3 3" xfId="29171"/>
    <cellStyle name="Normal 4 2 3 2 2 2 3 4" xfId="36140"/>
    <cellStyle name="Normal 4 2 3 2 2 2 4" xfId="12915"/>
    <cellStyle name="Normal 4 2 3 2 2 2 5" xfId="19882"/>
    <cellStyle name="Normal 4 2 3 2 2 2 6" xfId="26849"/>
    <cellStyle name="Normal 4 2 3 2 2 2 7" xfId="33817"/>
    <cellStyle name="Normal 4 2 3 2 2 3" xfId="9005"/>
    <cellStyle name="Normal 4 2 3 2 2 3 2" xfId="16054"/>
    <cellStyle name="Normal 4 2 3 2 2 3 3" xfId="23021"/>
    <cellStyle name="Normal 4 2 3 2 2 3 4" xfId="29988"/>
    <cellStyle name="Normal 4 2 3 2 2 3 5" xfId="36957"/>
    <cellStyle name="Normal 4 2 3 2 2 4" xfId="13732"/>
    <cellStyle name="Normal 4 2 3 2 2 4 2" xfId="20699"/>
    <cellStyle name="Normal 4 2 3 2 2 4 3" xfId="27666"/>
    <cellStyle name="Normal 4 2 3 2 2 4 4" xfId="34635"/>
    <cellStyle name="Normal 4 2 3 2 2 5" xfId="11410"/>
    <cellStyle name="Normal 4 2 3 2 2 6" xfId="18377"/>
    <cellStyle name="Normal 4 2 3 2 2 7" xfId="25344"/>
    <cellStyle name="Normal 4 2 3 2 2 8" xfId="32312"/>
    <cellStyle name="Normal 4 2 3 2 3" xfId="3570"/>
    <cellStyle name="Normal 4 2 3 2 3 2" xfId="5761"/>
    <cellStyle name="Normal 4 2 3 2 3 2 2" xfId="10565"/>
    <cellStyle name="Normal 4 2 3 2 3 2 2 2" xfId="17558"/>
    <cellStyle name="Normal 4 2 3 2 3 2 2 3" xfId="24525"/>
    <cellStyle name="Normal 4 2 3 2 3 2 2 4" xfId="31492"/>
    <cellStyle name="Normal 4 2 3 2 3 2 2 5" xfId="38461"/>
    <cellStyle name="Normal 4 2 3 2 3 2 3" xfId="15238"/>
    <cellStyle name="Normal 4 2 3 2 3 2 3 2" xfId="22205"/>
    <cellStyle name="Normal 4 2 3 2 3 2 3 3" xfId="29172"/>
    <cellStyle name="Normal 4 2 3 2 3 2 3 4" xfId="36141"/>
    <cellStyle name="Normal 4 2 3 2 3 2 4" xfId="12916"/>
    <cellStyle name="Normal 4 2 3 2 3 2 5" xfId="19883"/>
    <cellStyle name="Normal 4 2 3 2 3 2 6" xfId="26850"/>
    <cellStyle name="Normal 4 2 3 2 3 2 7" xfId="33818"/>
    <cellStyle name="Normal 4 2 3 2 3 3" xfId="9182"/>
    <cellStyle name="Normal 4 2 3 2 3 3 2" xfId="16221"/>
    <cellStyle name="Normal 4 2 3 2 3 3 3" xfId="23188"/>
    <cellStyle name="Normal 4 2 3 2 3 3 4" xfId="30155"/>
    <cellStyle name="Normal 4 2 3 2 3 3 5" xfId="37124"/>
    <cellStyle name="Normal 4 2 3 2 3 4" xfId="13901"/>
    <cellStyle name="Normal 4 2 3 2 3 4 2" xfId="20868"/>
    <cellStyle name="Normal 4 2 3 2 3 4 3" xfId="27835"/>
    <cellStyle name="Normal 4 2 3 2 3 4 4" xfId="34804"/>
    <cellStyle name="Normal 4 2 3 2 3 5" xfId="11579"/>
    <cellStyle name="Normal 4 2 3 2 3 6" xfId="18546"/>
    <cellStyle name="Normal 4 2 3 2 3 7" xfId="25513"/>
    <cellStyle name="Normal 4 2 3 2 3 8" xfId="32481"/>
    <cellStyle name="Normal 4 2 3 2 4" xfId="3745"/>
    <cellStyle name="Normal 4 2 3 2 4 2" xfId="5762"/>
    <cellStyle name="Normal 4 2 3 2 4 2 2" xfId="10566"/>
    <cellStyle name="Normal 4 2 3 2 4 2 2 2" xfId="17559"/>
    <cellStyle name="Normal 4 2 3 2 4 2 2 3" xfId="24526"/>
    <cellStyle name="Normal 4 2 3 2 4 2 2 4" xfId="31493"/>
    <cellStyle name="Normal 4 2 3 2 4 2 2 5" xfId="38462"/>
    <cellStyle name="Normal 4 2 3 2 4 2 3" xfId="15239"/>
    <cellStyle name="Normal 4 2 3 2 4 2 3 2" xfId="22206"/>
    <cellStyle name="Normal 4 2 3 2 4 2 3 3" xfId="29173"/>
    <cellStyle name="Normal 4 2 3 2 4 2 3 4" xfId="36142"/>
    <cellStyle name="Normal 4 2 3 2 4 2 4" xfId="12917"/>
    <cellStyle name="Normal 4 2 3 2 4 2 5" xfId="19884"/>
    <cellStyle name="Normal 4 2 3 2 4 2 6" xfId="26851"/>
    <cellStyle name="Normal 4 2 3 2 4 2 7" xfId="33819"/>
    <cellStyle name="Normal 4 2 3 2 4 3" xfId="9353"/>
    <cellStyle name="Normal 4 2 3 2 4 3 2" xfId="16392"/>
    <cellStyle name="Normal 4 2 3 2 4 3 3" xfId="23359"/>
    <cellStyle name="Normal 4 2 3 2 4 3 4" xfId="30326"/>
    <cellStyle name="Normal 4 2 3 2 4 3 5" xfId="37295"/>
    <cellStyle name="Normal 4 2 3 2 4 4" xfId="14072"/>
    <cellStyle name="Normal 4 2 3 2 4 4 2" xfId="21039"/>
    <cellStyle name="Normal 4 2 3 2 4 4 3" xfId="28006"/>
    <cellStyle name="Normal 4 2 3 2 4 4 4" xfId="34975"/>
    <cellStyle name="Normal 4 2 3 2 4 5" xfId="11750"/>
    <cellStyle name="Normal 4 2 3 2 4 6" xfId="18717"/>
    <cellStyle name="Normal 4 2 3 2 4 7" xfId="25684"/>
    <cellStyle name="Normal 4 2 3 2 4 8" xfId="32652"/>
    <cellStyle name="Normal 4 2 3 2 5" xfId="4023"/>
    <cellStyle name="Normal 4 2 3 2 5 2" xfId="5763"/>
    <cellStyle name="Normal 4 2 3 2 5 2 2" xfId="10567"/>
    <cellStyle name="Normal 4 2 3 2 5 2 2 2" xfId="17560"/>
    <cellStyle name="Normal 4 2 3 2 5 2 2 3" xfId="24527"/>
    <cellStyle name="Normal 4 2 3 2 5 2 2 4" xfId="31494"/>
    <cellStyle name="Normal 4 2 3 2 5 2 2 5" xfId="38463"/>
    <cellStyle name="Normal 4 2 3 2 5 2 3" xfId="15240"/>
    <cellStyle name="Normal 4 2 3 2 5 2 3 2" xfId="22207"/>
    <cellStyle name="Normal 4 2 3 2 5 2 3 3" xfId="29174"/>
    <cellStyle name="Normal 4 2 3 2 5 2 3 4" xfId="36143"/>
    <cellStyle name="Normal 4 2 3 2 5 2 4" xfId="12918"/>
    <cellStyle name="Normal 4 2 3 2 5 2 5" xfId="19885"/>
    <cellStyle name="Normal 4 2 3 2 5 2 6" xfId="26852"/>
    <cellStyle name="Normal 4 2 3 2 5 2 7" xfId="33820"/>
    <cellStyle name="Normal 4 2 3 2 5 3" xfId="9629"/>
    <cellStyle name="Normal 4 2 3 2 5 3 2" xfId="16665"/>
    <cellStyle name="Normal 4 2 3 2 5 3 3" xfId="23632"/>
    <cellStyle name="Normal 4 2 3 2 5 3 4" xfId="30599"/>
    <cellStyle name="Normal 4 2 3 2 5 3 5" xfId="37568"/>
    <cellStyle name="Normal 4 2 3 2 5 4" xfId="14345"/>
    <cellStyle name="Normal 4 2 3 2 5 4 2" xfId="21312"/>
    <cellStyle name="Normal 4 2 3 2 5 4 3" xfId="28279"/>
    <cellStyle name="Normal 4 2 3 2 5 4 4" xfId="35248"/>
    <cellStyle name="Normal 4 2 3 2 5 5" xfId="12023"/>
    <cellStyle name="Normal 4 2 3 2 5 6" xfId="18990"/>
    <cellStyle name="Normal 4 2 3 2 5 7" xfId="25957"/>
    <cellStyle name="Normal 4 2 3 2 5 8" xfId="32925"/>
    <cellStyle name="Normal 4 2 3 2 6" xfId="5759"/>
    <cellStyle name="Normal 4 2 3 2 6 2" xfId="10563"/>
    <cellStyle name="Normal 4 2 3 2 6 2 2" xfId="17556"/>
    <cellStyle name="Normal 4 2 3 2 6 2 3" xfId="24523"/>
    <cellStyle name="Normal 4 2 3 2 6 2 4" xfId="31490"/>
    <cellStyle name="Normal 4 2 3 2 6 2 5" xfId="38459"/>
    <cellStyle name="Normal 4 2 3 2 6 3" xfId="15236"/>
    <cellStyle name="Normal 4 2 3 2 6 3 2" xfId="22203"/>
    <cellStyle name="Normal 4 2 3 2 6 3 3" xfId="29170"/>
    <cellStyle name="Normal 4 2 3 2 6 3 4" xfId="36139"/>
    <cellStyle name="Normal 4 2 3 2 6 4" xfId="12914"/>
    <cellStyle name="Normal 4 2 3 2 6 5" xfId="19881"/>
    <cellStyle name="Normal 4 2 3 2 6 6" xfId="26848"/>
    <cellStyle name="Normal 4 2 3 2 6 7" xfId="33816"/>
    <cellStyle name="Normal 4 2 3 2 7" xfId="6935"/>
    <cellStyle name="Normal 4 2 3 2 7 2" xfId="10893"/>
    <cellStyle name="Normal 4 2 3 2 7 2 2" xfId="17860"/>
    <cellStyle name="Normal 4 2 3 2 7 2 3" xfId="24827"/>
    <cellStyle name="Normal 4 2 3 2 7 2 4" xfId="31794"/>
    <cellStyle name="Normal 4 2 3 2 7 2 5" xfId="38763"/>
    <cellStyle name="Normal 4 2 3 2 7 3" xfId="15540"/>
    <cellStyle name="Normal 4 2 3 2 7 3 2" xfId="22507"/>
    <cellStyle name="Normal 4 2 3 2 7 3 3" xfId="29474"/>
    <cellStyle name="Normal 4 2 3 2 7 3 4" xfId="36443"/>
    <cellStyle name="Normal 4 2 3 2 7 4" xfId="13218"/>
    <cellStyle name="Normal 4 2 3 2 7 5" xfId="20185"/>
    <cellStyle name="Normal 4 2 3 2 7 6" xfId="27152"/>
    <cellStyle name="Normal 4 2 3 2 7 7" xfId="34121"/>
    <cellStyle name="Normal 4 2 3 2 8" xfId="7229"/>
    <cellStyle name="Normal 4 2 3 2 8 2" xfId="15713"/>
    <cellStyle name="Normal 4 2 3 2 8 2 2" xfId="22680"/>
    <cellStyle name="Normal 4 2 3 2 8 2 3" xfId="29647"/>
    <cellStyle name="Normal 4 2 3 2 8 2 4" xfId="36616"/>
    <cellStyle name="Normal 4 2 3 2 8 3" xfId="13391"/>
    <cellStyle name="Normal 4 2 3 2 8 4" xfId="20358"/>
    <cellStyle name="Normal 4 2 3 2 8 5" xfId="27325"/>
    <cellStyle name="Normal 4 2 3 2 8 6" xfId="34294"/>
    <cellStyle name="Normal 4 2 3 2 9" xfId="8149"/>
    <cellStyle name="Normal 4 2 3 2 9 2" xfId="15885"/>
    <cellStyle name="Normal 4 2 3 2 9 2 2" xfId="22852"/>
    <cellStyle name="Normal 4 2 3 2 9 2 3" xfId="29819"/>
    <cellStyle name="Normal 4 2 3 2 9 2 4" xfId="36788"/>
    <cellStyle name="Normal 4 2 3 2 9 3" xfId="11241"/>
    <cellStyle name="Normal 4 2 3 2 9 4" xfId="18208"/>
    <cellStyle name="Normal 4 2 3 2 9 5" xfId="25175"/>
    <cellStyle name="Normal 4 2 3 2 9 6" xfId="32143"/>
    <cellStyle name="Normal 4 2 3 3" xfId="3371"/>
    <cellStyle name="Normal 4 2 3 3 2" xfId="5764"/>
    <cellStyle name="Normal 4 2 3 3 2 2" xfId="10568"/>
    <cellStyle name="Normal 4 2 3 3 2 2 2" xfId="17561"/>
    <cellStyle name="Normal 4 2 3 3 2 2 3" xfId="24528"/>
    <cellStyle name="Normal 4 2 3 3 2 2 4" xfId="31495"/>
    <cellStyle name="Normal 4 2 3 3 2 2 5" xfId="38464"/>
    <cellStyle name="Normal 4 2 3 3 2 3" xfId="15241"/>
    <cellStyle name="Normal 4 2 3 3 2 3 2" xfId="22208"/>
    <cellStyle name="Normal 4 2 3 3 2 3 3" xfId="29175"/>
    <cellStyle name="Normal 4 2 3 3 2 3 4" xfId="36144"/>
    <cellStyle name="Normal 4 2 3 3 2 4" xfId="12919"/>
    <cellStyle name="Normal 4 2 3 3 2 5" xfId="19886"/>
    <cellStyle name="Normal 4 2 3 3 2 6" xfId="26853"/>
    <cellStyle name="Normal 4 2 3 3 2 7" xfId="33821"/>
    <cellStyle name="Normal 4 2 3 3 3" xfId="9004"/>
    <cellStyle name="Normal 4 2 3 3 3 2" xfId="16053"/>
    <cellStyle name="Normal 4 2 3 3 3 3" xfId="23020"/>
    <cellStyle name="Normal 4 2 3 3 3 4" xfId="29987"/>
    <cellStyle name="Normal 4 2 3 3 3 5" xfId="36956"/>
    <cellStyle name="Normal 4 2 3 3 4" xfId="13731"/>
    <cellStyle name="Normal 4 2 3 3 4 2" xfId="20698"/>
    <cellStyle name="Normal 4 2 3 3 4 3" xfId="27665"/>
    <cellStyle name="Normal 4 2 3 3 4 4" xfId="34634"/>
    <cellStyle name="Normal 4 2 3 3 5" xfId="11409"/>
    <cellStyle name="Normal 4 2 3 3 6" xfId="18376"/>
    <cellStyle name="Normal 4 2 3 3 7" xfId="25343"/>
    <cellStyle name="Normal 4 2 3 3 8" xfId="32311"/>
    <cellStyle name="Normal 4 2 3 4" xfId="3569"/>
    <cellStyle name="Normal 4 2 3 4 2" xfId="5765"/>
    <cellStyle name="Normal 4 2 3 4 2 2" xfId="10569"/>
    <cellStyle name="Normal 4 2 3 4 2 2 2" xfId="17562"/>
    <cellStyle name="Normal 4 2 3 4 2 2 3" xfId="24529"/>
    <cellStyle name="Normal 4 2 3 4 2 2 4" xfId="31496"/>
    <cellStyle name="Normal 4 2 3 4 2 2 5" xfId="38465"/>
    <cellStyle name="Normal 4 2 3 4 2 3" xfId="15242"/>
    <cellStyle name="Normal 4 2 3 4 2 3 2" xfId="22209"/>
    <cellStyle name="Normal 4 2 3 4 2 3 3" xfId="29176"/>
    <cellStyle name="Normal 4 2 3 4 2 3 4" xfId="36145"/>
    <cellStyle name="Normal 4 2 3 4 2 4" xfId="12920"/>
    <cellStyle name="Normal 4 2 3 4 2 5" xfId="19887"/>
    <cellStyle name="Normal 4 2 3 4 2 6" xfId="26854"/>
    <cellStyle name="Normal 4 2 3 4 2 7" xfId="33822"/>
    <cellStyle name="Normal 4 2 3 4 3" xfId="9181"/>
    <cellStyle name="Normal 4 2 3 4 3 2" xfId="16220"/>
    <cellStyle name="Normal 4 2 3 4 3 3" xfId="23187"/>
    <cellStyle name="Normal 4 2 3 4 3 4" xfId="30154"/>
    <cellStyle name="Normal 4 2 3 4 3 5" xfId="37123"/>
    <cellStyle name="Normal 4 2 3 4 4" xfId="13900"/>
    <cellStyle name="Normal 4 2 3 4 4 2" xfId="20867"/>
    <cellStyle name="Normal 4 2 3 4 4 3" xfId="27834"/>
    <cellStyle name="Normal 4 2 3 4 4 4" xfId="34803"/>
    <cellStyle name="Normal 4 2 3 4 5" xfId="11578"/>
    <cellStyle name="Normal 4 2 3 4 6" xfId="18545"/>
    <cellStyle name="Normal 4 2 3 4 7" xfId="25512"/>
    <cellStyle name="Normal 4 2 3 4 8" xfId="32480"/>
    <cellStyle name="Normal 4 2 3 5" xfId="3744"/>
    <cellStyle name="Normal 4 2 3 5 2" xfId="5766"/>
    <cellStyle name="Normal 4 2 3 5 2 2" xfId="10570"/>
    <cellStyle name="Normal 4 2 3 5 2 2 2" xfId="17563"/>
    <cellStyle name="Normal 4 2 3 5 2 2 3" xfId="24530"/>
    <cellStyle name="Normal 4 2 3 5 2 2 4" xfId="31497"/>
    <cellStyle name="Normal 4 2 3 5 2 2 5" xfId="38466"/>
    <cellStyle name="Normal 4 2 3 5 2 3" xfId="15243"/>
    <cellStyle name="Normal 4 2 3 5 2 3 2" xfId="22210"/>
    <cellStyle name="Normal 4 2 3 5 2 3 3" xfId="29177"/>
    <cellStyle name="Normal 4 2 3 5 2 3 4" xfId="36146"/>
    <cellStyle name="Normal 4 2 3 5 2 4" xfId="12921"/>
    <cellStyle name="Normal 4 2 3 5 2 5" xfId="19888"/>
    <cellStyle name="Normal 4 2 3 5 2 6" xfId="26855"/>
    <cellStyle name="Normal 4 2 3 5 2 7" xfId="33823"/>
    <cellStyle name="Normal 4 2 3 5 3" xfId="9352"/>
    <cellStyle name="Normal 4 2 3 5 3 2" xfId="16391"/>
    <cellStyle name="Normal 4 2 3 5 3 3" xfId="23358"/>
    <cellStyle name="Normal 4 2 3 5 3 4" xfId="30325"/>
    <cellStyle name="Normal 4 2 3 5 3 5" xfId="37294"/>
    <cellStyle name="Normal 4 2 3 5 4" xfId="14071"/>
    <cellStyle name="Normal 4 2 3 5 4 2" xfId="21038"/>
    <cellStyle name="Normal 4 2 3 5 4 3" xfId="28005"/>
    <cellStyle name="Normal 4 2 3 5 4 4" xfId="34974"/>
    <cellStyle name="Normal 4 2 3 5 5" xfId="11749"/>
    <cellStyle name="Normal 4 2 3 5 6" xfId="18716"/>
    <cellStyle name="Normal 4 2 3 5 7" xfId="25683"/>
    <cellStyle name="Normal 4 2 3 5 8" xfId="32651"/>
    <cellStyle name="Normal 4 2 3 6" xfId="4022"/>
    <cellStyle name="Normal 4 2 3 6 2" xfId="5767"/>
    <cellStyle name="Normal 4 2 3 6 2 2" xfId="10571"/>
    <cellStyle name="Normal 4 2 3 6 2 2 2" xfId="17564"/>
    <cellStyle name="Normal 4 2 3 6 2 2 3" xfId="24531"/>
    <cellStyle name="Normal 4 2 3 6 2 2 4" xfId="31498"/>
    <cellStyle name="Normal 4 2 3 6 2 2 5" xfId="38467"/>
    <cellStyle name="Normal 4 2 3 6 2 3" xfId="15244"/>
    <cellStyle name="Normal 4 2 3 6 2 3 2" xfId="22211"/>
    <cellStyle name="Normal 4 2 3 6 2 3 3" xfId="29178"/>
    <cellStyle name="Normal 4 2 3 6 2 3 4" xfId="36147"/>
    <cellStyle name="Normal 4 2 3 6 2 4" xfId="12922"/>
    <cellStyle name="Normal 4 2 3 6 2 5" xfId="19889"/>
    <cellStyle name="Normal 4 2 3 6 2 6" xfId="26856"/>
    <cellStyle name="Normal 4 2 3 6 2 7" xfId="33824"/>
    <cellStyle name="Normal 4 2 3 6 3" xfId="9628"/>
    <cellStyle name="Normal 4 2 3 6 3 2" xfId="16664"/>
    <cellStyle name="Normal 4 2 3 6 3 3" xfId="23631"/>
    <cellStyle name="Normal 4 2 3 6 3 4" xfId="30598"/>
    <cellStyle name="Normal 4 2 3 6 3 5" xfId="37567"/>
    <cellStyle name="Normal 4 2 3 6 4" xfId="14344"/>
    <cellStyle name="Normal 4 2 3 6 4 2" xfId="21311"/>
    <cellStyle name="Normal 4 2 3 6 4 3" xfId="28278"/>
    <cellStyle name="Normal 4 2 3 6 4 4" xfId="35247"/>
    <cellStyle name="Normal 4 2 3 6 5" xfId="12022"/>
    <cellStyle name="Normal 4 2 3 6 6" xfId="18989"/>
    <cellStyle name="Normal 4 2 3 6 7" xfId="25956"/>
    <cellStyle name="Normal 4 2 3 6 8" xfId="32924"/>
    <cellStyle name="Normal 4 2 3 7" xfId="5758"/>
    <cellStyle name="Normal 4 2 3 7 2" xfId="10562"/>
    <cellStyle name="Normal 4 2 3 7 2 2" xfId="17555"/>
    <cellStyle name="Normal 4 2 3 7 2 3" xfId="24522"/>
    <cellStyle name="Normal 4 2 3 7 2 4" xfId="31489"/>
    <cellStyle name="Normal 4 2 3 7 2 5" xfId="38458"/>
    <cellStyle name="Normal 4 2 3 7 3" xfId="15235"/>
    <cellStyle name="Normal 4 2 3 7 3 2" xfId="22202"/>
    <cellStyle name="Normal 4 2 3 7 3 3" xfId="29169"/>
    <cellStyle name="Normal 4 2 3 7 3 4" xfId="36138"/>
    <cellStyle name="Normal 4 2 3 7 4" xfId="12913"/>
    <cellStyle name="Normal 4 2 3 7 5" xfId="19880"/>
    <cellStyle name="Normal 4 2 3 7 6" xfId="26847"/>
    <cellStyle name="Normal 4 2 3 7 7" xfId="33815"/>
    <cellStyle name="Normal 4 2 3 8" xfId="6934"/>
    <cellStyle name="Normal 4 2 3 8 2" xfId="10892"/>
    <cellStyle name="Normal 4 2 3 8 2 2" xfId="17859"/>
    <cellStyle name="Normal 4 2 3 8 2 3" xfId="24826"/>
    <cellStyle name="Normal 4 2 3 8 2 4" xfId="31793"/>
    <cellStyle name="Normal 4 2 3 8 2 5" xfId="38762"/>
    <cellStyle name="Normal 4 2 3 8 3" xfId="15539"/>
    <cellStyle name="Normal 4 2 3 8 3 2" xfId="22506"/>
    <cellStyle name="Normal 4 2 3 8 3 3" xfId="29473"/>
    <cellStyle name="Normal 4 2 3 8 3 4" xfId="36442"/>
    <cellStyle name="Normal 4 2 3 8 4" xfId="13217"/>
    <cellStyle name="Normal 4 2 3 8 5" xfId="20184"/>
    <cellStyle name="Normal 4 2 3 8 6" xfId="27151"/>
    <cellStyle name="Normal 4 2 3 8 7" xfId="34120"/>
    <cellStyle name="Normal 4 2 3 9" xfId="7228"/>
    <cellStyle name="Normal 4 2 3 9 2" xfId="15712"/>
    <cellStyle name="Normal 4 2 3 9 2 2" xfId="22679"/>
    <cellStyle name="Normal 4 2 3 9 2 3" xfId="29646"/>
    <cellStyle name="Normal 4 2 3 9 2 4" xfId="36615"/>
    <cellStyle name="Normal 4 2 3 9 3" xfId="13390"/>
    <cellStyle name="Normal 4 2 3 9 4" xfId="20357"/>
    <cellStyle name="Normal 4 2 3 9 5" xfId="27324"/>
    <cellStyle name="Normal 4 2 3 9 6" xfId="34293"/>
    <cellStyle name="Normal 4 2 4" xfId="1835"/>
    <cellStyle name="Normal 4 2 4 10" xfId="13564"/>
    <cellStyle name="Normal 4 2 4 10 2" xfId="20531"/>
    <cellStyle name="Normal 4 2 4 10 3" xfId="27498"/>
    <cellStyle name="Normal 4 2 4 10 4" xfId="34467"/>
    <cellStyle name="Normal 4 2 4 11" xfId="11070"/>
    <cellStyle name="Normal 4 2 4 12" xfId="18036"/>
    <cellStyle name="Normal 4 2 4 13" xfId="25004"/>
    <cellStyle name="Normal 4 2 4 14" xfId="31972"/>
    <cellStyle name="Normal 4 2 4 2" xfId="3373"/>
    <cellStyle name="Normal 4 2 4 2 2" xfId="5769"/>
    <cellStyle name="Normal 4 2 4 2 2 2" xfId="10573"/>
    <cellStyle name="Normal 4 2 4 2 2 2 2" xfId="17566"/>
    <cellStyle name="Normal 4 2 4 2 2 2 3" xfId="24533"/>
    <cellStyle name="Normal 4 2 4 2 2 2 4" xfId="31500"/>
    <cellStyle name="Normal 4 2 4 2 2 2 5" xfId="38469"/>
    <cellStyle name="Normal 4 2 4 2 2 3" xfId="15246"/>
    <cellStyle name="Normal 4 2 4 2 2 3 2" xfId="22213"/>
    <cellStyle name="Normal 4 2 4 2 2 3 3" xfId="29180"/>
    <cellStyle name="Normal 4 2 4 2 2 3 4" xfId="36149"/>
    <cellStyle name="Normal 4 2 4 2 2 4" xfId="12924"/>
    <cellStyle name="Normal 4 2 4 2 2 5" xfId="19891"/>
    <cellStyle name="Normal 4 2 4 2 2 6" xfId="26858"/>
    <cellStyle name="Normal 4 2 4 2 2 7" xfId="33826"/>
    <cellStyle name="Normal 4 2 4 2 3" xfId="6937"/>
    <cellStyle name="Normal 4 2 4 2 4" xfId="9006"/>
    <cellStyle name="Normal 4 2 4 2 4 2" xfId="16055"/>
    <cellStyle name="Normal 4 2 4 2 4 2 2" xfId="23022"/>
    <cellStyle name="Normal 4 2 4 2 4 2 3" xfId="29989"/>
    <cellStyle name="Normal 4 2 4 2 4 2 4" xfId="36958"/>
    <cellStyle name="Normal 4 2 4 2 4 3" xfId="11411"/>
    <cellStyle name="Normal 4 2 4 2 4 4" xfId="18378"/>
    <cellStyle name="Normal 4 2 4 2 4 5" xfId="25345"/>
    <cellStyle name="Normal 4 2 4 2 4 6" xfId="32313"/>
    <cellStyle name="Normal 4 2 4 2 5" xfId="13733"/>
    <cellStyle name="Normal 4 2 4 2 5 2" xfId="20700"/>
    <cellStyle name="Normal 4 2 4 2 5 3" xfId="27667"/>
    <cellStyle name="Normal 4 2 4 2 5 4" xfId="34636"/>
    <cellStyle name="Normal 4 2 4 3" xfId="3571"/>
    <cellStyle name="Normal 4 2 4 3 2" xfId="5770"/>
    <cellStyle name="Normal 4 2 4 3 2 2" xfId="10574"/>
    <cellStyle name="Normal 4 2 4 3 2 2 2" xfId="17567"/>
    <cellStyle name="Normal 4 2 4 3 2 2 3" xfId="24534"/>
    <cellStyle name="Normal 4 2 4 3 2 2 4" xfId="31501"/>
    <cellStyle name="Normal 4 2 4 3 2 2 5" xfId="38470"/>
    <cellStyle name="Normal 4 2 4 3 2 3" xfId="15247"/>
    <cellStyle name="Normal 4 2 4 3 2 3 2" xfId="22214"/>
    <cellStyle name="Normal 4 2 4 3 2 3 3" xfId="29181"/>
    <cellStyle name="Normal 4 2 4 3 2 3 4" xfId="36150"/>
    <cellStyle name="Normal 4 2 4 3 2 4" xfId="12925"/>
    <cellStyle name="Normal 4 2 4 3 2 5" xfId="19892"/>
    <cellStyle name="Normal 4 2 4 3 2 6" xfId="26859"/>
    <cellStyle name="Normal 4 2 4 3 2 7" xfId="33827"/>
    <cellStyle name="Normal 4 2 4 3 3" xfId="9183"/>
    <cellStyle name="Normal 4 2 4 3 3 2" xfId="16222"/>
    <cellStyle name="Normal 4 2 4 3 3 3" xfId="23189"/>
    <cellStyle name="Normal 4 2 4 3 3 4" xfId="30156"/>
    <cellStyle name="Normal 4 2 4 3 3 5" xfId="37125"/>
    <cellStyle name="Normal 4 2 4 3 4" xfId="13902"/>
    <cellStyle name="Normal 4 2 4 3 4 2" xfId="20869"/>
    <cellStyle name="Normal 4 2 4 3 4 3" xfId="27836"/>
    <cellStyle name="Normal 4 2 4 3 4 4" xfId="34805"/>
    <cellStyle name="Normal 4 2 4 3 5" xfId="11580"/>
    <cellStyle name="Normal 4 2 4 3 6" xfId="18547"/>
    <cellStyle name="Normal 4 2 4 3 7" xfId="25514"/>
    <cellStyle name="Normal 4 2 4 3 8" xfId="32482"/>
    <cellStyle name="Normal 4 2 4 4" xfId="3746"/>
    <cellStyle name="Normal 4 2 4 4 2" xfId="5771"/>
    <cellStyle name="Normal 4 2 4 4 2 2" xfId="10575"/>
    <cellStyle name="Normal 4 2 4 4 2 2 2" xfId="17568"/>
    <cellStyle name="Normal 4 2 4 4 2 2 3" xfId="24535"/>
    <cellStyle name="Normal 4 2 4 4 2 2 4" xfId="31502"/>
    <cellStyle name="Normal 4 2 4 4 2 2 5" xfId="38471"/>
    <cellStyle name="Normal 4 2 4 4 2 3" xfId="15248"/>
    <cellStyle name="Normal 4 2 4 4 2 3 2" xfId="22215"/>
    <cellStyle name="Normal 4 2 4 4 2 3 3" xfId="29182"/>
    <cellStyle name="Normal 4 2 4 4 2 3 4" xfId="36151"/>
    <cellStyle name="Normal 4 2 4 4 2 4" xfId="12926"/>
    <cellStyle name="Normal 4 2 4 4 2 5" xfId="19893"/>
    <cellStyle name="Normal 4 2 4 4 2 6" xfId="26860"/>
    <cellStyle name="Normal 4 2 4 4 2 7" xfId="33828"/>
    <cellStyle name="Normal 4 2 4 4 3" xfId="9354"/>
    <cellStyle name="Normal 4 2 4 4 3 2" xfId="16393"/>
    <cellStyle name="Normal 4 2 4 4 3 3" xfId="23360"/>
    <cellStyle name="Normal 4 2 4 4 3 4" xfId="30327"/>
    <cellStyle name="Normal 4 2 4 4 3 5" xfId="37296"/>
    <cellStyle name="Normal 4 2 4 4 4" xfId="14073"/>
    <cellStyle name="Normal 4 2 4 4 4 2" xfId="21040"/>
    <cellStyle name="Normal 4 2 4 4 4 3" xfId="28007"/>
    <cellStyle name="Normal 4 2 4 4 4 4" xfId="34976"/>
    <cellStyle name="Normal 4 2 4 4 5" xfId="11751"/>
    <cellStyle name="Normal 4 2 4 4 6" xfId="18718"/>
    <cellStyle name="Normal 4 2 4 4 7" xfId="25685"/>
    <cellStyle name="Normal 4 2 4 4 8" xfId="32653"/>
    <cellStyle name="Normal 4 2 4 5" xfId="4024"/>
    <cellStyle name="Normal 4 2 4 5 2" xfId="5772"/>
    <cellStyle name="Normal 4 2 4 5 2 2" xfId="10576"/>
    <cellStyle name="Normal 4 2 4 5 2 2 2" xfId="17569"/>
    <cellStyle name="Normal 4 2 4 5 2 2 3" xfId="24536"/>
    <cellStyle name="Normal 4 2 4 5 2 2 4" xfId="31503"/>
    <cellStyle name="Normal 4 2 4 5 2 2 5" xfId="38472"/>
    <cellStyle name="Normal 4 2 4 5 2 3" xfId="15249"/>
    <cellStyle name="Normal 4 2 4 5 2 3 2" xfId="22216"/>
    <cellStyle name="Normal 4 2 4 5 2 3 3" xfId="29183"/>
    <cellStyle name="Normal 4 2 4 5 2 3 4" xfId="36152"/>
    <cellStyle name="Normal 4 2 4 5 2 4" xfId="12927"/>
    <cellStyle name="Normal 4 2 4 5 2 5" xfId="19894"/>
    <cellStyle name="Normal 4 2 4 5 2 6" xfId="26861"/>
    <cellStyle name="Normal 4 2 4 5 2 7" xfId="33829"/>
    <cellStyle name="Normal 4 2 4 5 3" xfId="9630"/>
    <cellStyle name="Normal 4 2 4 5 3 2" xfId="16666"/>
    <cellStyle name="Normal 4 2 4 5 3 3" xfId="23633"/>
    <cellStyle name="Normal 4 2 4 5 3 4" xfId="30600"/>
    <cellStyle name="Normal 4 2 4 5 3 5" xfId="37569"/>
    <cellStyle name="Normal 4 2 4 5 4" xfId="14346"/>
    <cellStyle name="Normal 4 2 4 5 4 2" xfId="21313"/>
    <cellStyle name="Normal 4 2 4 5 4 3" xfId="28280"/>
    <cellStyle name="Normal 4 2 4 5 4 4" xfId="35249"/>
    <cellStyle name="Normal 4 2 4 5 5" xfId="12024"/>
    <cellStyle name="Normal 4 2 4 5 6" xfId="18991"/>
    <cellStyle name="Normal 4 2 4 5 7" xfId="25958"/>
    <cellStyle name="Normal 4 2 4 5 8" xfId="32926"/>
    <cellStyle name="Normal 4 2 4 6" xfId="5768"/>
    <cellStyle name="Normal 4 2 4 6 2" xfId="10572"/>
    <cellStyle name="Normal 4 2 4 6 2 2" xfId="17565"/>
    <cellStyle name="Normal 4 2 4 6 2 3" xfId="24532"/>
    <cellStyle name="Normal 4 2 4 6 2 4" xfId="31499"/>
    <cellStyle name="Normal 4 2 4 6 2 5" xfId="38468"/>
    <cellStyle name="Normal 4 2 4 6 3" xfId="15245"/>
    <cellStyle name="Normal 4 2 4 6 3 2" xfId="22212"/>
    <cellStyle name="Normal 4 2 4 6 3 3" xfId="29179"/>
    <cellStyle name="Normal 4 2 4 6 3 4" xfId="36148"/>
    <cellStyle name="Normal 4 2 4 6 4" xfId="12923"/>
    <cellStyle name="Normal 4 2 4 6 5" xfId="19890"/>
    <cellStyle name="Normal 4 2 4 6 6" xfId="26857"/>
    <cellStyle name="Normal 4 2 4 6 7" xfId="33825"/>
    <cellStyle name="Normal 4 2 4 7" xfId="6936"/>
    <cellStyle name="Normal 4 2 4 7 2" xfId="10894"/>
    <cellStyle name="Normal 4 2 4 7 2 2" xfId="17861"/>
    <cellStyle name="Normal 4 2 4 7 2 3" xfId="24828"/>
    <cellStyle name="Normal 4 2 4 7 2 4" xfId="31795"/>
    <cellStyle name="Normal 4 2 4 7 2 5" xfId="38764"/>
    <cellStyle name="Normal 4 2 4 7 3" xfId="15541"/>
    <cellStyle name="Normal 4 2 4 7 3 2" xfId="22508"/>
    <cellStyle name="Normal 4 2 4 7 3 3" xfId="29475"/>
    <cellStyle name="Normal 4 2 4 7 3 4" xfId="36444"/>
    <cellStyle name="Normal 4 2 4 7 4" xfId="13219"/>
    <cellStyle name="Normal 4 2 4 7 5" xfId="20186"/>
    <cellStyle name="Normal 4 2 4 7 6" xfId="27153"/>
    <cellStyle name="Normal 4 2 4 7 7" xfId="34122"/>
    <cellStyle name="Normal 4 2 4 8" xfId="7230"/>
    <cellStyle name="Normal 4 2 4 8 2" xfId="15714"/>
    <cellStyle name="Normal 4 2 4 8 2 2" xfId="22681"/>
    <cellStyle name="Normal 4 2 4 8 2 3" xfId="29648"/>
    <cellStyle name="Normal 4 2 4 8 2 4" xfId="36617"/>
    <cellStyle name="Normal 4 2 4 8 3" xfId="13392"/>
    <cellStyle name="Normal 4 2 4 8 4" xfId="20359"/>
    <cellStyle name="Normal 4 2 4 8 5" xfId="27326"/>
    <cellStyle name="Normal 4 2 4 8 6" xfId="34295"/>
    <cellStyle name="Normal 4 2 4 9" xfId="8150"/>
    <cellStyle name="Normal 4 2 4 9 2" xfId="15886"/>
    <cellStyle name="Normal 4 2 4 9 2 2" xfId="22853"/>
    <cellStyle name="Normal 4 2 4 9 2 3" xfId="29820"/>
    <cellStyle name="Normal 4 2 4 9 2 4" xfId="36789"/>
    <cellStyle name="Normal 4 2 4 9 3" xfId="11242"/>
    <cellStyle name="Normal 4 2 4 9 4" xfId="18209"/>
    <cellStyle name="Normal 4 2 4 9 5" xfId="25176"/>
    <cellStyle name="Normal 4 2 4 9 6" xfId="32144"/>
    <cellStyle name="Normal 4 2 5" xfId="4100"/>
    <cellStyle name="Normal 4 2 5 10" xfId="31973"/>
    <cellStyle name="Normal 4 2 5 2" xfId="6645"/>
    <cellStyle name="Normal 4 2 5 2 2" xfId="10717"/>
    <cellStyle name="Normal 4 2 5 2 2 2" xfId="17695"/>
    <cellStyle name="Normal 4 2 5 2 2 3" xfId="24662"/>
    <cellStyle name="Normal 4 2 5 2 2 4" xfId="31629"/>
    <cellStyle name="Normal 4 2 5 2 2 5" xfId="38598"/>
    <cellStyle name="Normal 4 2 5 2 3" xfId="15375"/>
    <cellStyle name="Normal 4 2 5 2 3 2" xfId="22342"/>
    <cellStyle name="Normal 4 2 5 2 3 3" xfId="29309"/>
    <cellStyle name="Normal 4 2 5 2 3 4" xfId="36278"/>
    <cellStyle name="Normal 4 2 5 2 4" xfId="13053"/>
    <cellStyle name="Normal 4 2 5 2 5" xfId="20020"/>
    <cellStyle name="Normal 4 2 5 2 6" xfId="26987"/>
    <cellStyle name="Normal 4 2 5 2 7" xfId="33956"/>
    <cellStyle name="Normal 4 2 5 3" xfId="6938"/>
    <cellStyle name="Normal 4 2 5 3 2" xfId="10895"/>
    <cellStyle name="Normal 4 2 5 3 2 2" xfId="17862"/>
    <cellStyle name="Normal 4 2 5 3 2 3" xfId="24829"/>
    <cellStyle name="Normal 4 2 5 3 2 4" xfId="31796"/>
    <cellStyle name="Normal 4 2 5 3 2 5" xfId="38765"/>
    <cellStyle name="Normal 4 2 5 3 3" xfId="15542"/>
    <cellStyle name="Normal 4 2 5 3 3 2" xfId="22509"/>
    <cellStyle name="Normal 4 2 5 3 3 3" xfId="29476"/>
    <cellStyle name="Normal 4 2 5 3 3 4" xfId="36445"/>
    <cellStyle name="Normal 4 2 5 3 4" xfId="13220"/>
    <cellStyle name="Normal 4 2 5 3 5" xfId="20187"/>
    <cellStyle name="Normal 4 2 5 3 6" xfId="27154"/>
    <cellStyle name="Normal 4 2 5 3 7" xfId="34123"/>
    <cellStyle name="Normal 4 2 5 4" xfId="7231"/>
    <cellStyle name="Normal 4 2 5 4 2" xfId="15715"/>
    <cellStyle name="Normal 4 2 5 4 2 2" xfId="22682"/>
    <cellStyle name="Normal 4 2 5 4 2 3" xfId="29649"/>
    <cellStyle name="Normal 4 2 5 4 2 4" xfId="36618"/>
    <cellStyle name="Normal 4 2 5 4 3" xfId="13393"/>
    <cellStyle name="Normal 4 2 5 4 4" xfId="20360"/>
    <cellStyle name="Normal 4 2 5 4 5" xfId="27327"/>
    <cellStyle name="Normal 4 2 5 4 6" xfId="34296"/>
    <cellStyle name="Normal 4 2 5 5" xfId="9694"/>
    <cellStyle name="Normal 4 2 5 5 2" xfId="16712"/>
    <cellStyle name="Normal 4 2 5 5 2 2" xfId="23679"/>
    <cellStyle name="Normal 4 2 5 5 2 3" xfId="30646"/>
    <cellStyle name="Normal 4 2 5 5 2 4" xfId="37615"/>
    <cellStyle name="Normal 4 2 5 5 3" xfId="12070"/>
    <cellStyle name="Normal 4 2 5 5 4" xfId="19037"/>
    <cellStyle name="Normal 4 2 5 5 5" xfId="26004"/>
    <cellStyle name="Normal 4 2 5 5 6" xfId="32972"/>
    <cellStyle name="Normal 4 2 5 6" xfId="14392"/>
    <cellStyle name="Normal 4 2 5 6 2" xfId="21359"/>
    <cellStyle name="Normal 4 2 5 6 3" xfId="28326"/>
    <cellStyle name="Normal 4 2 5 6 4" xfId="35295"/>
    <cellStyle name="Normal 4 2 5 7" xfId="11071"/>
    <cellStyle name="Normal 4 2 5 8" xfId="18037"/>
    <cellStyle name="Normal 4 2 5 9" xfId="25005"/>
    <cellStyle name="Normal 4 2 6" xfId="6933"/>
    <cellStyle name="Normal 4 2 6 2" xfId="10891"/>
    <cellStyle name="Normal 4 2 6 2 2" xfId="17858"/>
    <cellStyle name="Normal 4 2 6 2 3" xfId="24825"/>
    <cellStyle name="Normal 4 2 6 2 4" xfId="31792"/>
    <cellStyle name="Normal 4 2 6 2 5" xfId="38761"/>
    <cellStyle name="Normal 4 2 6 3" xfId="15538"/>
    <cellStyle name="Normal 4 2 6 3 2" xfId="22505"/>
    <cellStyle name="Normal 4 2 6 3 3" xfId="29472"/>
    <cellStyle name="Normal 4 2 6 3 4" xfId="36441"/>
    <cellStyle name="Normal 4 2 6 4" xfId="13216"/>
    <cellStyle name="Normal 4 2 6 5" xfId="20183"/>
    <cellStyle name="Normal 4 2 6 6" xfId="27150"/>
    <cellStyle name="Normal 4 2 6 7" xfId="34119"/>
    <cellStyle name="Normal 4 2 7" xfId="7227"/>
    <cellStyle name="Normal 4 2 7 2" xfId="15711"/>
    <cellStyle name="Normal 4 2 7 2 2" xfId="22678"/>
    <cellStyle name="Normal 4 2 7 2 3" xfId="29645"/>
    <cellStyle name="Normal 4 2 7 2 4" xfId="36614"/>
    <cellStyle name="Normal 4 2 7 3" xfId="13389"/>
    <cellStyle name="Normal 4 2 7 4" xfId="20356"/>
    <cellStyle name="Normal 4 2 7 5" xfId="27323"/>
    <cellStyle name="Normal 4 2 7 6" xfId="34292"/>
    <cellStyle name="Normal 4 2 8" xfId="8147"/>
    <cellStyle name="Normal 4 2 8 2" xfId="15883"/>
    <cellStyle name="Normal 4 2 8 2 2" xfId="22850"/>
    <cellStyle name="Normal 4 2 8 2 3" xfId="29817"/>
    <cellStyle name="Normal 4 2 8 2 4" xfId="36786"/>
    <cellStyle name="Normal 4 2 8 3" xfId="11239"/>
    <cellStyle name="Normal 4 2 8 4" xfId="18206"/>
    <cellStyle name="Normal 4 2 8 5" xfId="25173"/>
    <cellStyle name="Normal 4 2 8 6" xfId="32141"/>
    <cellStyle name="Normal 4 2 9" xfId="13561"/>
    <cellStyle name="Normal 4 2 9 2" xfId="20528"/>
    <cellStyle name="Normal 4 2 9 3" xfId="27495"/>
    <cellStyle name="Normal 4 2 9 4" xfId="34464"/>
    <cellStyle name="Normal 4 3" xfId="1836"/>
    <cellStyle name="Normal 4 3 2" xfId="1837"/>
    <cellStyle name="Normal 4 3 3" xfId="1838"/>
    <cellStyle name="Normal 4 3 3 2" xfId="5773"/>
    <cellStyle name="Normal 4 3 3 3" xfId="8152"/>
    <cellStyle name="Normal 4 3 4" xfId="1839"/>
    <cellStyle name="Normal 4 3 4 2" xfId="5774"/>
    <cellStyle name="Normal 4 3 4 3" xfId="8153"/>
    <cellStyle name="Normal 4 3 5" xfId="8151"/>
    <cellStyle name="Normal 4 3_Excess Estimate" xfId="1840"/>
    <cellStyle name="Normal 4 4" xfId="1841"/>
    <cellStyle name="Normal 4 5" xfId="1842"/>
    <cellStyle name="Normal 4 6" xfId="4091"/>
    <cellStyle name="Normal 4 6 10" xfId="31974"/>
    <cellStyle name="Normal 4 6 2" xfId="6642"/>
    <cellStyle name="Normal 4 6 2 2" xfId="10714"/>
    <cellStyle name="Normal 4 6 2 2 2" xfId="17692"/>
    <cellStyle name="Normal 4 6 2 2 3" xfId="24659"/>
    <cellStyle name="Normal 4 6 2 2 4" xfId="31626"/>
    <cellStyle name="Normal 4 6 2 2 5" xfId="38595"/>
    <cellStyle name="Normal 4 6 2 3" xfId="15372"/>
    <cellStyle name="Normal 4 6 2 3 2" xfId="22339"/>
    <cellStyle name="Normal 4 6 2 3 3" xfId="29306"/>
    <cellStyle name="Normal 4 6 2 3 4" xfId="36275"/>
    <cellStyle name="Normal 4 6 2 4" xfId="13050"/>
    <cellStyle name="Normal 4 6 2 5" xfId="20017"/>
    <cellStyle name="Normal 4 6 2 6" xfId="26984"/>
    <cellStyle name="Normal 4 6 2 7" xfId="33953"/>
    <cellStyle name="Normal 4 6 3" xfId="6939"/>
    <cellStyle name="Normal 4 6 3 2" xfId="10896"/>
    <cellStyle name="Normal 4 6 3 2 2" xfId="17863"/>
    <cellStyle name="Normal 4 6 3 2 3" xfId="24830"/>
    <cellStyle name="Normal 4 6 3 2 4" xfId="31797"/>
    <cellStyle name="Normal 4 6 3 2 5" xfId="38766"/>
    <cellStyle name="Normal 4 6 3 3" xfId="15543"/>
    <cellStyle name="Normal 4 6 3 3 2" xfId="22510"/>
    <cellStyle name="Normal 4 6 3 3 3" xfId="29477"/>
    <cellStyle name="Normal 4 6 3 3 4" xfId="36446"/>
    <cellStyle name="Normal 4 6 3 4" xfId="13221"/>
    <cellStyle name="Normal 4 6 3 5" xfId="20188"/>
    <cellStyle name="Normal 4 6 3 6" xfId="27155"/>
    <cellStyle name="Normal 4 6 3 7" xfId="34124"/>
    <cellStyle name="Normal 4 6 4" xfId="7232"/>
    <cellStyle name="Normal 4 6 4 2" xfId="15716"/>
    <cellStyle name="Normal 4 6 4 2 2" xfId="22683"/>
    <cellStyle name="Normal 4 6 4 2 3" xfId="29650"/>
    <cellStyle name="Normal 4 6 4 2 4" xfId="36619"/>
    <cellStyle name="Normal 4 6 4 3" xfId="13394"/>
    <cellStyle name="Normal 4 6 4 4" xfId="20361"/>
    <cellStyle name="Normal 4 6 4 5" xfId="27328"/>
    <cellStyle name="Normal 4 6 4 6" xfId="34297"/>
    <cellStyle name="Normal 4 6 5" xfId="9690"/>
    <cellStyle name="Normal 4 6 5 2" xfId="16709"/>
    <cellStyle name="Normal 4 6 5 2 2" xfId="23676"/>
    <cellStyle name="Normal 4 6 5 2 3" xfId="30643"/>
    <cellStyle name="Normal 4 6 5 2 4" xfId="37612"/>
    <cellStyle name="Normal 4 6 5 3" xfId="12067"/>
    <cellStyle name="Normal 4 6 5 4" xfId="19034"/>
    <cellStyle name="Normal 4 6 5 5" xfId="26001"/>
    <cellStyle name="Normal 4 6 5 6" xfId="32969"/>
    <cellStyle name="Normal 4 6 6" xfId="14389"/>
    <cellStyle name="Normal 4 6 6 2" xfId="21356"/>
    <cellStyle name="Normal 4 6 6 3" xfId="28323"/>
    <cellStyle name="Normal 4 6 6 4" xfId="35292"/>
    <cellStyle name="Normal 4 6 7" xfId="11072"/>
    <cellStyle name="Normal 4 6 8" xfId="18038"/>
    <cellStyle name="Normal 4 6 9" xfId="25006"/>
    <cellStyle name="Normal 4 7" xfId="5757"/>
    <cellStyle name="Normal 4 7 2" xfId="6940"/>
    <cellStyle name="Normal 4 7 3" xfId="10561"/>
    <cellStyle name="Normal 40" xfId="1843"/>
    <cellStyle name="Normal 40 2" xfId="1844"/>
    <cellStyle name="Normal 40 3" xfId="1845"/>
    <cellStyle name="Normal 40 4" xfId="6941"/>
    <cellStyle name="Normal 41" xfId="1846"/>
    <cellStyle name="Normal 41 2" xfId="1847"/>
    <cellStyle name="Normal 41 3" xfId="1848"/>
    <cellStyle name="Normal 41 4" xfId="6942"/>
    <cellStyle name="Normal 42" xfId="1849"/>
    <cellStyle name="Normal 42 2" xfId="1850"/>
    <cellStyle name="Normal 42 3" xfId="1851"/>
    <cellStyle name="Normal 42 4" xfId="6943"/>
    <cellStyle name="Normal 42 4 2" xfId="10897"/>
    <cellStyle name="Normal 43" xfId="1852"/>
    <cellStyle name="Normal 43 2" xfId="1853"/>
    <cellStyle name="Normal 43 3" xfId="1854"/>
    <cellStyle name="Normal 44" xfId="1855"/>
    <cellStyle name="Normal 44 2" xfId="1856"/>
    <cellStyle name="Normal 44 3" xfId="1857"/>
    <cellStyle name="Normal 45" xfId="1858"/>
    <cellStyle name="Normal 45 2" xfId="1859"/>
    <cellStyle name="Normal 45 3" xfId="1860"/>
    <cellStyle name="Normal 46" xfId="1861"/>
    <cellStyle name="Normal 46 2" xfId="1862"/>
    <cellStyle name="Normal 46 3" xfId="1863"/>
    <cellStyle name="Normal 47" xfId="1864"/>
    <cellStyle name="Normal 47 2" xfId="1865"/>
    <cellStyle name="Normal 47 3" xfId="1866"/>
    <cellStyle name="Normal 48" xfId="1867"/>
    <cellStyle name="Normal 48 2" xfId="1868"/>
    <cellStyle name="Normal 48 3" xfId="1869"/>
    <cellStyle name="Normal 49" xfId="1870"/>
    <cellStyle name="Normal 49 2" xfId="1871"/>
    <cellStyle name="Normal 49 3" xfId="1872"/>
    <cellStyle name="Normal 5" xfId="3374"/>
    <cellStyle name="Normal 5 10" xfId="11412"/>
    <cellStyle name="Normal 5 11" xfId="18379"/>
    <cellStyle name="Normal 5 12" xfId="25346"/>
    <cellStyle name="Normal 5 13" xfId="32314"/>
    <cellStyle name="Normal 5 2" xfId="1873"/>
    <cellStyle name="Normal 5 2 10" xfId="11073"/>
    <cellStyle name="Normal 5 2 11" xfId="18039"/>
    <cellStyle name="Normal 5 2 12" xfId="25007"/>
    <cellStyle name="Normal 5 2 13" xfId="31975"/>
    <cellStyle name="Normal 5 2 2" xfId="1874"/>
    <cellStyle name="Normal 5 2 2 2" xfId="5777"/>
    <cellStyle name="Normal 5 2 2 3" xfId="8155"/>
    <cellStyle name="Normal 5 2 3" xfId="1875"/>
    <cellStyle name="Normal 5 2 3 10" xfId="8156"/>
    <cellStyle name="Normal 5 2 3 10 2" xfId="15888"/>
    <cellStyle name="Normal 5 2 3 10 2 2" xfId="22855"/>
    <cellStyle name="Normal 5 2 3 10 2 3" xfId="29822"/>
    <cellStyle name="Normal 5 2 3 10 2 4" xfId="36791"/>
    <cellStyle name="Normal 5 2 3 10 3" xfId="11244"/>
    <cellStyle name="Normal 5 2 3 10 4" xfId="18211"/>
    <cellStyle name="Normal 5 2 3 10 5" xfId="25178"/>
    <cellStyle name="Normal 5 2 3 10 6" xfId="32146"/>
    <cellStyle name="Normal 5 2 3 11" xfId="13566"/>
    <cellStyle name="Normal 5 2 3 11 2" xfId="20533"/>
    <cellStyle name="Normal 5 2 3 11 3" xfId="27500"/>
    <cellStyle name="Normal 5 2 3 11 4" xfId="34469"/>
    <cellStyle name="Normal 5 2 3 12" xfId="11074"/>
    <cellStyle name="Normal 5 2 3 13" xfId="18040"/>
    <cellStyle name="Normal 5 2 3 14" xfId="25008"/>
    <cellStyle name="Normal 5 2 3 15" xfId="31976"/>
    <cellStyle name="Normal 5 2 3 2" xfId="1876"/>
    <cellStyle name="Normal 5 2 3 2 10" xfId="13567"/>
    <cellStyle name="Normal 5 2 3 2 10 2" xfId="20534"/>
    <cellStyle name="Normal 5 2 3 2 10 3" xfId="27501"/>
    <cellStyle name="Normal 5 2 3 2 10 4" xfId="34470"/>
    <cellStyle name="Normal 5 2 3 2 11" xfId="11075"/>
    <cellStyle name="Normal 5 2 3 2 12" xfId="18041"/>
    <cellStyle name="Normal 5 2 3 2 13" xfId="25009"/>
    <cellStyle name="Normal 5 2 3 2 14" xfId="31977"/>
    <cellStyle name="Normal 5 2 3 2 2" xfId="3376"/>
    <cellStyle name="Normal 5 2 3 2 2 2" xfId="5780"/>
    <cellStyle name="Normal 5 2 3 2 2 2 2" xfId="10581"/>
    <cellStyle name="Normal 5 2 3 2 2 2 2 2" xfId="17573"/>
    <cellStyle name="Normal 5 2 3 2 2 2 2 3" xfId="24540"/>
    <cellStyle name="Normal 5 2 3 2 2 2 2 4" xfId="31507"/>
    <cellStyle name="Normal 5 2 3 2 2 2 2 5" xfId="38476"/>
    <cellStyle name="Normal 5 2 3 2 2 2 3" xfId="15253"/>
    <cellStyle name="Normal 5 2 3 2 2 2 3 2" xfId="22220"/>
    <cellStyle name="Normal 5 2 3 2 2 2 3 3" xfId="29187"/>
    <cellStyle name="Normal 5 2 3 2 2 2 3 4" xfId="36156"/>
    <cellStyle name="Normal 5 2 3 2 2 2 4" xfId="12931"/>
    <cellStyle name="Normal 5 2 3 2 2 2 5" xfId="19898"/>
    <cellStyle name="Normal 5 2 3 2 2 2 6" xfId="26865"/>
    <cellStyle name="Normal 5 2 3 2 2 2 7" xfId="33833"/>
    <cellStyle name="Normal 5 2 3 2 2 3" xfId="9008"/>
    <cellStyle name="Normal 5 2 3 2 2 3 2" xfId="16057"/>
    <cellStyle name="Normal 5 2 3 2 2 3 3" xfId="23024"/>
    <cellStyle name="Normal 5 2 3 2 2 3 4" xfId="29991"/>
    <cellStyle name="Normal 5 2 3 2 2 3 5" xfId="36960"/>
    <cellStyle name="Normal 5 2 3 2 2 4" xfId="13736"/>
    <cellStyle name="Normal 5 2 3 2 2 4 2" xfId="20703"/>
    <cellStyle name="Normal 5 2 3 2 2 4 3" xfId="27670"/>
    <cellStyle name="Normal 5 2 3 2 2 4 4" xfId="34639"/>
    <cellStyle name="Normal 5 2 3 2 2 5" xfId="11414"/>
    <cellStyle name="Normal 5 2 3 2 2 6" xfId="18381"/>
    <cellStyle name="Normal 5 2 3 2 2 7" xfId="25348"/>
    <cellStyle name="Normal 5 2 3 2 2 8" xfId="32316"/>
    <cellStyle name="Normal 5 2 3 2 3" xfId="3574"/>
    <cellStyle name="Normal 5 2 3 2 3 2" xfId="5781"/>
    <cellStyle name="Normal 5 2 3 2 3 2 2" xfId="10582"/>
    <cellStyle name="Normal 5 2 3 2 3 2 2 2" xfId="17574"/>
    <cellStyle name="Normal 5 2 3 2 3 2 2 3" xfId="24541"/>
    <cellStyle name="Normal 5 2 3 2 3 2 2 4" xfId="31508"/>
    <cellStyle name="Normal 5 2 3 2 3 2 2 5" xfId="38477"/>
    <cellStyle name="Normal 5 2 3 2 3 2 3" xfId="15254"/>
    <cellStyle name="Normal 5 2 3 2 3 2 3 2" xfId="22221"/>
    <cellStyle name="Normal 5 2 3 2 3 2 3 3" xfId="29188"/>
    <cellStyle name="Normal 5 2 3 2 3 2 3 4" xfId="36157"/>
    <cellStyle name="Normal 5 2 3 2 3 2 4" xfId="12932"/>
    <cellStyle name="Normal 5 2 3 2 3 2 5" xfId="19899"/>
    <cellStyle name="Normal 5 2 3 2 3 2 6" xfId="26866"/>
    <cellStyle name="Normal 5 2 3 2 3 2 7" xfId="33834"/>
    <cellStyle name="Normal 5 2 3 2 3 3" xfId="9186"/>
    <cellStyle name="Normal 5 2 3 2 3 3 2" xfId="16225"/>
    <cellStyle name="Normal 5 2 3 2 3 3 3" xfId="23192"/>
    <cellStyle name="Normal 5 2 3 2 3 3 4" xfId="30159"/>
    <cellStyle name="Normal 5 2 3 2 3 3 5" xfId="37128"/>
    <cellStyle name="Normal 5 2 3 2 3 4" xfId="13905"/>
    <cellStyle name="Normal 5 2 3 2 3 4 2" xfId="20872"/>
    <cellStyle name="Normal 5 2 3 2 3 4 3" xfId="27839"/>
    <cellStyle name="Normal 5 2 3 2 3 4 4" xfId="34808"/>
    <cellStyle name="Normal 5 2 3 2 3 5" xfId="11583"/>
    <cellStyle name="Normal 5 2 3 2 3 6" xfId="18550"/>
    <cellStyle name="Normal 5 2 3 2 3 7" xfId="25517"/>
    <cellStyle name="Normal 5 2 3 2 3 8" xfId="32485"/>
    <cellStyle name="Normal 5 2 3 2 4" xfId="3749"/>
    <cellStyle name="Normal 5 2 3 2 4 2" xfId="5782"/>
    <cellStyle name="Normal 5 2 3 2 4 2 2" xfId="10583"/>
    <cellStyle name="Normal 5 2 3 2 4 2 2 2" xfId="17575"/>
    <cellStyle name="Normal 5 2 3 2 4 2 2 3" xfId="24542"/>
    <cellStyle name="Normal 5 2 3 2 4 2 2 4" xfId="31509"/>
    <cellStyle name="Normal 5 2 3 2 4 2 2 5" xfId="38478"/>
    <cellStyle name="Normal 5 2 3 2 4 2 3" xfId="15255"/>
    <cellStyle name="Normal 5 2 3 2 4 2 3 2" xfId="22222"/>
    <cellStyle name="Normal 5 2 3 2 4 2 3 3" xfId="29189"/>
    <cellStyle name="Normal 5 2 3 2 4 2 3 4" xfId="36158"/>
    <cellStyle name="Normal 5 2 3 2 4 2 4" xfId="12933"/>
    <cellStyle name="Normal 5 2 3 2 4 2 5" xfId="19900"/>
    <cellStyle name="Normal 5 2 3 2 4 2 6" xfId="26867"/>
    <cellStyle name="Normal 5 2 3 2 4 2 7" xfId="33835"/>
    <cellStyle name="Normal 5 2 3 2 4 3" xfId="9357"/>
    <cellStyle name="Normal 5 2 3 2 4 3 2" xfId="16396"/>
    <cellStyle name="Normal 5 2 3 2 4 3 3" xfId="23363"/>
    <cellStyle name="Normal 5 2 3 2 4 3 4" xfId="30330"/>
    <cellStyle name="Normal 5 2 3 2 4 3 5" xfId="37299"/>
    <cellStyle name="Normal 5 2 3 2 4 4" xfId="14076"/>
    <cellStyle name="Normal 5 2 3 2 4 4 2" xfId="21043"/>
    <cellStyle name="Normal 5 2 3 2 4 4 3" xfId="28010"/>
    <cellStyle name="Normal 5 2 3 2 4 4 4" xfId="34979"/>
    <cellStyle name="Normal 5 2 3 2 4 5" xfId="11754"/>
    <cellStyle name="Normal 5 2 3 2 4 6" xfId="18721"/>
    <cellStyle name="Normal 5 2 3 2 4 7" xfId="25688"/>
    <cellStyle name="Normal 5 2 3 2 4 8" xfId="32656"/>
    <cellStyle name="Normal 5 2 3 2 5" xfId="4027"/>
    <cellStyle name="Normal 5 2 3 2 5 2" xfId="5783"/>
    <cellStyle name="Normal 5 2 3 2 5 2 2" xfId="10584"/>
    <cellStyle name="Normal 5 2 3 2 5 2 2 2" xfId="17576"/>
    <cellStyle name="Normal 5 2 3 2 5 2 2 3" xfId="24543"/>
    <cellStyle name="Normal 5 2 3 2 5 2 2 4" xfId="31510"/>
    <cellStyle name="Normal 5 2 3 2 5 2 2 5" xfId="38479"/>
    <cellStyle name="Normal 5 2 3 2 5 2 3" xfId="15256"/>
    <cellStyle name="Normal 5 2 3 2 5 2 3 2" xfId="22223"/>
    <cellStyle name="Normal 5 2 3 2 5 2 3 3" xfId="29190"/>
    <cellStyle name="Normal 5 2 3 2 5 2 3 4" xfId="36159"/>
    <cellStyle name="Normal 5 2 3 2 5 2 4" xfId="12934"/>
    <cellStyle name="Normal 5 2 3 2 5 2 5" xfId="19901"/>
    <cellStyle name="Normal 5 2 3 2 5 2 6" xfId="26868"/>
    <cellStyle name="Normal 5 2 3 2 5 2 7" xfId="33836"/>
    <cellStyle name="Normal 5 2 3 2 5 3" xfId="9633"/>
    <cellStyle name="Normal 5 2 3 2 5 3 2" xfId="16669"/>
    <cellStyle name="Normal 5 2 3 2 5 3 3" xfId="23636"/>
    <cellStyle name="Normal 5 2 3 2 5 3 4" xfId="30603"/>
    <cellStyle name="Normal 5 2 3 2 5 3 5" xfId="37572"/>
    <cellStyle name="Normal 5 2 3 2 5 4" xfId="14349"/>
    <cellStyle name="Normal 5 2 3 2 5 4 2" xfId="21316"/>
    <cellStyle name="Normal 5 2 3 2 5 4 3" xfId="28283"/>
    <cellStyle name="Normal 5 2 3 2 5 4 4" xfId="35252"/>
    <cellStyle name="Normal 5 2 3 2 5 5" xfId="12027"/>
    <cellStyle name="Normal 5 2 3 2 5 6" xfId="18994"/>
    <cellStyle name="Normal 5 2 3 2 5 7" xfId="25961"/>
    <cellStyle name="Normal 5 2 3 2 5 8" xfId="32929"/>
    <cellStyle name="Normal 5 2 3 2 6" xfId="5779"/>
    <cellStyle name="Normal 5 2 3 2 6 2" xfId="10580"/>
    <cellStyle name="Normal 5 2 3 2 6 2 2" xfId="17572"/>
    <cellStyle name="Normal 5 2 3 2 6 2 3" xfId="24539"/>
    <cellStyle name="Normal 5 2 3 2 6 2 4" xfId="31506"/>
    <cellStyle name="Normal 5 2 3 2 6 2 5" xfId="38475"/>
    <cellStyle name="Normal 5 2 3 2 6 3" xfId="15252"/>
    <cellStyle name="Normal 5 2 3 2 6 3 2" xfId="22219"/>
    <cellStyle name="Normal 5 2 3 2 6 3 3" xfId="29186"/>
    <cellStyle name="Normal 5 2 3 2 6 3 4" xfId="36155"/>
    <cellStyle name="Normal 5 2 3 2 6 4" xfId="12930"/>
    <cellStyle name="Normal 5 2 3 2 6 5" xfId="19897"/>
    <cellStyle name="Normal 5 2 3 2 6 6" xfId="26864"/>
    <cellStyle name="Normal 5 2 3 2 6 7" xfId="33832"/>
    <cellStyle name="Normal 5 2 3 2 7" xfId="6946"/>
    <cellStyle name="Normal 5 2 3 2 7 2" xfId="10900"/>
    <cellStyle name="Normal 5 2 3 2 7 2 2" xfId="17866"/>
    <cellStyle name="Normal 5 2 3 2 7 2 3" xfId="24833"/>
    <cellStyle name="Normal 5 2 3 2 7 2 4" xfId="31800"/>
    <cellStyle name="Normal 5 2 3 2 7 2 5" xfId="38769"/>
    <cellStyle name="Normal 5 2 3 2 7 3" xfId="15546"/>
    <cellStyle name="Normal 5 2 3 2 7 3 2" xfId="22513"/>
    <cellStyle name="Normal 5 2 3 2 7 3 3" xfId="29480"/>
    <cellStyle name="Normal 5 2 3 2 7 3 4" xfId="36449"/>
    <cellStyle name="Normal 5 2 3 2 7 4" xfId="13224"/>
    <cellStyle name="Normal 5 2 3 2 7 5" xfId="20191"/>
    <cellStyle name="Normal 5 2 3 2 7 6" xfId="27158"/>
    <cellStyle name="Normal 5 2 3 2 7 7" xfId="34127"/>
    <cellStyle name="Normal 5 2 3 2 8" xfId="7235"/>
    <cellStyle name="Normal 5 2 3 2 8 2" xfId="15719"/>
    <cellStyle name="Normal 5 2 3 2 8 2 2" xfId="22686"/>
    <cellStyle name="Normal 5 2 3 2 8 2 3" xfId="29653"/>
    <cellStyle name="Normal 5 2 3 2 8 2 4" xfId="36622"/>
    <cellStyle name="Normal 5 2 3 2 8 3" xfId="13397"/>
    <cellStyle name="Normal 5 2 3 2 8 4" xfId="20364"/>
    <cellStyle name="Normal 5 2 3 2 8 5" xfId="27331"/>
    <cellStyle name="Normal 5 2 3 2 8 6" xfId="34300"/>
    <cellStyle name="Normal 5 2 3 2 9" xfId="8157"/>
    <cellStyle name="Normal 5 2 3 2 9 2" xfId="15889"/>
    <cellStyle name="Normal 5 2 3 2 9 2 2" xfId="22856"/>
    <cellStyle name="Normal 5 2 3 2 9 2 3" xfId="29823"/>
    <cellStyle name="Normal 5 2 3 2 9 2 4" xfId="36792"/>
    <cellStyle name="Normal 5 2 3 2 9 3" xfId="11245"/>
    <cellStyle name="Normal 5 2 3 2 9 4" xfId="18212"/>
    <cellStyle name="Normal 5 2 3 2 9 5" xfId="25179"/>
    <cellStyle name="Normal 5 2 3 2 9 6" xfId="32147"/>
    <cellStyle name="Normal 5 2 3 3" xfId="3375"/>
    <cellStyle name="Normal 5 2 3 3 2" xfId="5784"/>
    <cellStyle name="Normal 5 2 3 3 2 2" xfId="10585"/>
    <cellStyle name="Normal 5 2 3 3 2 2 2" xfId="17577"/>
    <cellStyle name="Normal 5 2 3 3 2 2 3" xfId="24544"/>
    <cellStyle name="Normal 5 2 3 3 2 2 4" xfId="31511"/>
    <cellStyle name="Normal 5 2 3 3 2 2 5" xfId="38480"/>
    <cellStyle name="Normal 5 2 3 3 2 3" xfId="15257"/>
    <cellStyle name="Normal 5 2 3 3 2 3 2" xfId="22224"/>
    <cellStyle name="Normal 5 2 3 3 2 3 3" xfId="29191"/>
    <cellStyle name="Normal 5 2 3 3 2 3 4" xfId="36160"/>
    <cellStyle name="Normal 5 2 3 3 2 4" xfId="12935"/>
    <cellStyle name="Normal 5 2 3 3 2 5" xfId="19902"/>
    <cellStyle name="Normal 5 2 3 3 2 6" xfId="26869"/>
    <cellStyle name="Normal 5 2 3 3 2 7" xfId="33837"/>
    <cellStyle name="Normal 5 2 3 3 3" xfId="9007"/>
    <cellStyle name="Normal 5 2 3 3 3 2" xfId="16056"/>
    <cellStyle name="Normal 5 2 3 3 3 3" xfId="23023"/>
    <cellStyle name="Normal 5 2 3 3 3 4" xfId="29990"/>
    <cellStyle name="Normal 5 2 3 3 3 5" xfId="36959"/>
    <cellStyle name="Normal 5 2 3 3 4" xfId="13735"/>
    <cellStyle name="Normal 5 2 3 3 4 2" xfId="20702"/>
    <cellStyle name="Normal 5 2 3 3 4 3" xfId="27669"/>
    <cellStyle name="Normal 5 2 3 3 4 4" xfId="34638"/>
    <cellStyle name="Normal 5 2 3 3 5" xfId="11413"/>
    <cellStyle name="Normal 5 2 3 3 6" xfId="18380"/>
    <cellStyle name="Normal 5 2 3 3 7" xfId="25347"/>
    <cellStyle name="Normal 5 2 3 3 8" xfId="32315"/>
    <cellStyle name="Normal 5 2 3 4" xfId="3573"/>
    <cellStyle name="Normal 5 2 3 4 2" xfId="5785"/>
    <cellStyle name="Normal 5 2 3 4 2 2" xfId="10586"/>
    <cellStyle name="Normal 5 2 3 4 2 2 2" xfId="17578"/>
    <cellStyle name="Normal 5 2 3 4 2 2 3" xfId="24545"/>
    <cellStyle name="Normal 5 2 3 4 2 2 4" xfId="31512"/>
    <cellStyle name="Normal 5 2 3 4 2 2 5" xfId="38481"/>
    <cellStyle name="Normal 5 2 3 4 2 3" xfId="15258"/>
    <cellStyle name="Normal 5 2 3 4 2 3 2" xfId="22225"/>
    <cellStyle name="Normal 5 2 3 4 2 3 3" xfId="29192"/>
    <cellStyle name="Normal 5 2 3 4 2 3 4" xfId="36161"/>
    <cellStyle name="Normal 5 2 3 4 2 4" xfId="12936"/>
    <cellStyle name="Normal 5 2 3 4 2 5" xfId="19903"/>
    <cellStyle name="Normal 5 2 3 4 2 6" xfId="26870"/>
    <cellStyle name="Normal 5 2 3 4 2 7" xfId="33838"/>
    <cellStyle name="Normal 5 2 3 4 3" xfId="9185"/>
    <cellStyle name="Normal 5 2 3 4 3 2" xfId="16224"/>
    <cellStyle name="Normal 5 2 3 4 3 3" xfId="23191"/>
    <cellStyle name="Normal 5 2 3 4 3 4" xfId="30158"/>
    <cellStyle name="Normal 5 2 3 4 3 5" xfId="37127"/>
    <cellStyle name="Normal 5 2 3 4 4" xfId="13904"/>
    <cellStyle name="Normal 5 2 3 4 4 2" xfId="20871"/>
    <cellStyle name="Normal 5 2 3 4 4 3" xfId="27838"/>
    <cellStyle name="Normal 5 2 3 4 4 4" xfId="34807"/>
    <cellStyle name="Normal 5 2 3 4 5" xfId="11582"/>
    <cellStyle name="Normal 5 2 3 4 6" xfId="18549"/>
    <cellStyle name="Normal 5 2 3 4 7" xfId="25516"/>
    <cellStyle name="Normal 5 2 3 4 8" xfId="32484"/>
    <cellStyle name="Normal 5 2 3 5" xfId="3748"/>
    <cellStyle name="Normal 5 2 3 5 2" xfId="5786"/>
    <cellStyle name="Normal 5 2 3 5 2 2" xfId="10587"/>
    <cellStyle name="Normal 5 2 3 5 2 2 2" xfId="17579"/>
    <cellStyle name="Normal 5 2 3 5 2 2 3" xfId="24546"/>
    <cellStyle name="Normal 5 2 3 5 2 2 4" xfId="31513"/>
    <cellStyle name="Normal 5 2 3 5 2 2 5" xfId="38482"/>
    <cellStyle name="Normal 5 2 3 5 2 3" xfId="15259"/>
    <cellStyle name="Normal 5 2 3 5 2 3 2" xfId="22226"/>
    <cellStyle name="Normal 5 2 3 5 2 3 3" xfId="29193"/>
    <cellStyle name="Normal 5 2 3 5 2 3 4" xfId="36162"/>
    <cellStyle name="Normal 5 2 3 5 2 4" xfId="12937"/>
    <cellStyle name="Normal 5 2 3 5 2 5" xfId="19904"/>
    <cellStyle name="Normal 5 2 3 5 2 6" xfId="26871"/>
    <cellStyle name="Normal 5 2 3 5 2 7" xfId="33839"/>
    <cellStyle name="Normal 5 2 3 5 3" xfId="9356"/>
    <cellStyle name="Normal 5 2 3 5 3 2" xfId="16395"/>
    <cellStyle name="Normal 5 2 3 5 3 3" xfId="23362"/>
    <cellStyle name="Normal 5 2 3 5 3 4" xfId="30329"/>
    <cellStyle name="Normal 5 2 3 5 3 5" xfId="37298"/>
    <cellStyle name="Normal 5 2 3 5 4" xfId="14075"/>
    <cellStyle name="Normal 5 2 3 5 4 2" xfId="21042"/>
    <cellStyle name="Normal 5 2 3 5 4 3" xfId="28009"/>
    <cellStyle name="Normal 5 2 3 5 4 4" xfId="34978"/>
    <cellStyle name="Normal 5 2 3 5 5" xfId="11753"/>
    <cellStyle name="Normal 5 2 3 5 6" xfId="18720"/>
    <cellStyle name="Normal 5 2 3 5 7" xfId="25687"/>
    <cellStyle name="Normal 5 2 3 5 8" xfId="32655"/>
    <cellStyle name="Normal 5 2 3 6" xfId="4026"/>
    <cellStyle name="Normal 5 2 3 6 2" xfId="5787"/>
    <cellStyle name="Normal 5 2 3 6 2 2" xfId="10588"/>
    <cellStyle name="Normal 5 2 3 6 2 2 2" xfId="17580"/>
    <cellStyle name="Normal 5 2 3 6 2 2 3" xfId="24547"/>
    <cellStyle name="Normal 5 2 3 6 2 2 4" xfId="31514"/>
    <cellStyle name="Normal 5 2 3 6 2 2 5" xfId="38483"/>
    <cellStyle name="Normal 5 2 3 6 2 3" xfId="15260"/>
    <cellStyle name="Normal 5 2 3 6 2 3 2" xfId="22227"/>
    <cellStyle name="Normal 5 2 3 6 2 3 3" xfId="29194"/>
    <cellStyle name="Normal 5 2 3 6 2 3 4" xfId="36163"/>
    <cellStyle name="Normal 5 2 3 6 2 4" xfId="12938"/>
    <cellStyle name="Normal 5 2 3 6 2 5" xfId="19905"/>
    <cellStyle name="Normal 5 2 3 6 2 6" xfId="26872"/>
    <cellStyle name="Normal 5 2 3 6 2 7" xfId="33840"/>
    <cellStyle name="Normal 5 2 3 6 3" xfId="9632"/>
    <cellStyle name="Normal 5 2 3 6 3 2" xfId="16668"/>
    <cellStyle name="Normal 5 2 3 6 3 3" xfId="23635"/>
    <cellStyle name="Normal 5 2 3 6 3 4" xfId="30602"/>
    <cellStyle name="Normal 5 2 3 6 3 5" xfId="37571"/>
    <cellStyle name="Normal 5 2 3 6 4" xfId="14348"/>
    <cellStyle name="Normal 5 2 3 6 4 2" xfId="21315"/>
    <cellStyle name="Normal 5 2 3 6 4 3" xfId="28282"/>
    <cellStyle name="Normal 5 2 3 6 4 4" xfId="35251"/>
    <cellStyle name="Normal 5 2 3 6 5" xfId="12026"/>
    <cellStyle name="Normal 5 2 3 6 6" xfId="18993"/>
    <cellStyle name="Normal 5 2 3 6 7" xfId="25960"/>
    <cellStyle name="Normal 5 2 3 6 8" xfId="32928"/>
    <cellStyle name="Normal 5 2 3 7" xfId="5778"/>
    <cellStyle name="Normal 5 2 3 7 2" xfId="10579"/>
    <cellStyle name="Normal 5 2 3 7 2 2" xfId="17571"/>
    <cellStyle name="Normal 5 2 3 7 2 3" xfId="24538"/>
    <cellStyle name="Normal 5 2 3 7 2 4" xfId="31505"/>
    <cellStyle name="Normal 5 2 3 7 2 5" xfId="38474"/>
    <cellStyle name="Normal 5 2 3 7 3" xfId="15251"/>
    <cellStyle name="Normal 5 2 3 7 3 2" xfId="22218"/>
    <cellStyle name="Normal 5 2 3 7 3 3" xfId="29185"/>
    <cellStyle name="Normal 5 2 3 7 3 4" xfId="36154"/>
    <cellStyle name="Normal 5 2 3 7 4" xfId="12929"/>
    <cellStyle name="Normal 5 2 3 7 5" xfId="19896"/>
    <cellStyle name="Normal 5 2 3 7 6" xfId="26863"/>
    <cellStyle name="Normal 5 2 3 7 7" xfId="33831"/>
    <cellStyle name="Normal 5 2 3 8" xfId="6945"/>
    <cellStyle name="Normal 5 2 3 8 2" xfId="10899"/>
    <cellStyle name="Normal 5 2 3 8 2 2" xfId="17865"/>
    <cellStyle name="Normal 5 2 3 8 2 3" xfId="24832"/>
    <cellStyle name="Normal 5 2 3 8 2 4" xfId="31799"/>
    <cellStyle name="Normal 5 2 3 8 2 5" xfId="38768"/>
    <cellStyle name="Normal 5 2 3 8 3" xfId="15545"/>
    <cellStyle name="Normal 5 2 3 8 3 2" xfId="22512"/>
    <cellStyle name="Normal 5 2 3 8 3 3" xfId="29479"/>
    <cellStyle name="Normal 5 2 3 8 3 4" xfId="36448"/>
    <cellStyle name="Normal 5 2 3 8 4" xfId="13223"/>
    <cellStyle name="Normal 5 2 3 8 5" xfId="20190"/>
    <cellStyle name="Normal 5 2 3 8 6" xfId="27157"/>
    <cellStyle name="Normal 5 2 3 8 7" xfId="34126"/>
    <cellStyle name="Normal 5 2 3 9" xfId="7234"/>
    <cellStyle name="Normal 5 2 3 9 2" xfId="15718"/>
    <cellStyle name="Normal 5 2 3 9 2 2" xfId="22685"/>
    <cellStyle name="Normal 5 2 3 9 2 3" xfId="29652"/>
    <cellStyle name="Normal 5 2 3 9 2 4" xfId="36621"/>
    <cellStyle name="Normal 5 2 3 9 3" xfId="13396"/>
    <cellStyle name="Normal 5 2 3 9 4" xfId="20363"/>
    <cellStyle name="Normal 5 2 3 9 5" xfId="27330"/>
    <cellStyle name="Normal 5 2 3 9 6" xfId="34299"/>
    <cellStyle name="Normal 5 2 4" xfId="1877"/>
    <cellStyle name="Normal 5 2 4 10" xfId="13568"/>
    <cellStyle name="Normal 5 2 4 10 2" xfId="20535"/>
    <cellStyle name="Normal 5 2 4 10 3" xfId="27502"/>
    <cellStyle name="Normal 5 2 4 10 4" xfId="34471"/>
    <cellStyle name="Normal 5 2 4 11" xfId="11076"/>
    <cellStyle name="Normal 5 2 4 12" xfId="18042"/>
    <cellStyle name="Normal 5 2 4 13" xfId="25010"/>
    <cellStyle name="Normal 5 2 4 14" xfId="31978"/>
    <cellStyle name="Normal 5 2 4 2" xfId="3377"/>
    <cellStyle name="Normal 5 2 4 2 2" xfId="5789"/>
    <cellStyle name="Normal 5 2 4 2 2 2" xfId="10590"/>
    <cellStyle name="Normal 5 2 4 2 2 2 2" xfId="17582"/>
    <cellStyle name="Normal 5 2 4 2 2 2 3" xfId="24549"/>
    <cellStyle name="Normal 5 2 4 2 2 2 4" xfId="31516"/>
    <cellStyle name="Normal 5 2 4 2 2 2 5" xfId="38485"/>
    <cellStyle name="Normal 5 2 4 2 2 3" xfId="15262"/>
    <cellStyle name="Normal 5 2 4 2 2 3 2" xfId="22229"/>
    <cellStyle name="Normal 5 2 4 2 2 3 3" xfId="29196"/>
    <cellStyle name="Normal 5 2 4 2 2 3 4" xfId="36165"/>
    <cellStyle name="Normal 5 2 4 2 2 4" xfId="12940"/>
    <cellStyle name="Normal 5 2 4 2 2 5" xfId="19907"/>
    <cellStyle name="Normal 5 2 4 2 2 6" xfId="26874"/>
    <cellStyle name="Normal 5 2 4 2 2 7" xfId="33842"/>
    <cellStyle name="Normal 5 2 4 2 3" xfId="9009"/>
    <cellStyle name="Normal 5 2 4 2 3 2" xfId="16058"/>
    <cellStyle name="Normal 5 2 4 2 3 3" xfId="23025"/>
    <cellStyle name="Normal 5 2 4 2 3 4" xfId="29992"/>
    <cellStyle name="Normal 5 2 4 2 3 5" xfId="36961"/>
    <cellStyle name="Normal 5 2 4 2 4" xfId="13737"/>
    <cellStyle name="Normal 5 2 4 2 4 2" xfId="20704"/>
    <cellStyle name="Normal 5 2 4 2 4 3" xfId="27671"/>
    <cellStyle name="Normal 5 2 4 2 4 4" xfId="34640"/>
    <cellStyle name="Normal 5 2 4 2 5" xfId="11415"/>
    <cellStyle name="Normal 5 2 4 2 6" xfId="18382"/>
    <cellStyle name="Normal 5 2 4 2 7" xfId="25349"/>
    <cellStyle name="Normal 5 2 4 2 8" xfId="32317"/>
    <cellStyle name="Normal 5 2 4 3" xfId="3575"/>
    <cellStyle name="Normal 5 2 4 3 2" xfId="5790"/>
    <cellStyle name="Normal 5 2 4 3 2 2" xfId="10591"/>
    <cellStyle name="Normal 5 2 4 3 2 2 2" xfId="17583"/>
    <cellStyle name="Normal 5 2 4 3 2 2 3" xfId="24550"/>
    <cellStyle name="Normal 5 2 4 3 2 2 4" xfId="31517"/>
    <cellStyle name="Normal 5 2 4 3 2 2 5" xfId="38486"/>
    <cellStyle name="Normal 5 2 4 3 2 3" xfId="15263"/>
    <cellStyle name="Normal 5 2 4 3 2 3 2" xfId="22230"/>
    <cellStyle name="Normal 5 2 4 3 2 3 3" xfId="29197"/>
    <cellStyle name="Normal 5 2 4 3 2 3 4" xfId="36166"/>
    <cellStyle name="Normal 5 2 4 3 2 4" xfId="12941"/>
    <cellStyle name="Normal 5 2 4 3 2 5" xfId="19908"/>
    <cellStyle name="Normal 5 2 4 3 2 6" xfId="26875"/>
    <cellStyle name="Normal 5 2 4 3 2 7" xfId="33843"/>
    <cellStyle name="Normal 5 2 4 3 3" xfId="9187"/>
    <cellStyle name="Normal 5 2 4 3 3 2" xfId="16226"/>
    <cellStyle name="Normal 5 2 4 3 3 3" xfId="23193"/>
    <cellStyle name="Normal 5 2 4 3 3 4" xfId="30160"/>
    <cellStyle name="Normal 5 2 4 3 3 5" xfId="37129"/>
    <cellStyle name="Normal 5 2 4 3 4" xfId="13906"/>
    <cellStyle name="Normal 5 2 4 3 4 2" xfId="20873"/>
    <cellStyle name="Normal 5 2 4 3 4 3" xfId="27840"/>
    <cellStyle name="Normal 5 2 4 3 4 4" xfId="34809"/>
    <cellStyle name="Normal 5 2 4 3 5" xfId="11584"/>
    <cellStyle name="Normal 5 2 4 3 6" xfId="18551"/>
    <cellStyle name="Normal 5 2 4 3 7" xfId="25518"/>
    <cellStyle name="Normal 5 2 4 3 8" xfId="32486"/>
    <cellStyle name="Normal 5 2 4 4" xfId="3750"/>
    <cellStyle name="Normal 5 2 4 4 2" xfId="5791"/>
    <cellStyle name="Normal 5 2 4 4 2 2" xfId="10592"/>
    <cellStyle name="Normal 5 2 4 4 2 2 2" xfId="17584"/>
    <cellStyle name="Normal 5 2 4 4 2 2 3" xfId="24551"/>
    <cellStyle name="Normal 5 2 4 4 2 2 4" xfId="31518"/>
    <cellStyle name="Normal 5 2 4 4 2 2 5" xfId="38487"/>
    <cellStyle name="Normal 5 2 4 4 2 3" xfId="15264"/>
    <cellStyle name="Normal 5 2 4 4 2 3 2" xfId="22231"/>
    <cellStyle name="Normal 5 2 4 4 2 3 3" xfId="29198"/>
    <cellStyle name="Normal 5 2 4 4 2 3 4" xfId="36167"/>
    <cellStyle name="Normal 5 2 4 4 2 4" xfId="12942"/>
    <cellStyle name="Normal 5 2 4 4 2 5" xfId="19909"/>
    <cellStyle name="Normal 5 2 4 4 2 6" xfId="26876"/>
    <cellStyle name="Normal 5 2 4 4 2 7" xfId="33844"/>
    <cellStyle name="Normal 5 2 4 4 3" xfId="9358"/>
    <cellStyle name="Normal 5 2 4 4 3 2" xfId="16397"/>
    <cellStyle name="Normal 5 2 4 4 3 3" xfId="23364"/>
    <cellStyle name="Normal 5 2 4 4 3 4" xfId="30331"/>
    <cellStyle name="Normal 5 2 4 4 3 5" xfId="37300"/>
    <cellStyle name="Normal 5 2 4 4 4" xfId="14077"/>
    <cellStyle name="Normal 5 2 4 4 4 2" xfId="21044"/>
    <cellStyle name="Normal 5 2 4 4 4 3" xfId="28011"/>
    <cellStyle name="Normal 5 2 4 4 4 4" xfId="34980"/>
    <cellStyle name="Normal 5 2 4 4 5" xfId="11755"/>
    <cellStyle name="Normal 5 2 4 4 6" xfId="18722"/>
    <cellStyle name="Normal 5 2 4 4 7" xfId="25689"/>
    <cellStyle name="Normal 5 2 4 4 8" xfId="32657"/>
    <cellStyle name="Normal 5 2 4 5" xfId="4028"/>
    <cellStyle name="Normal 5 2 4 5 2" xfId="5792"/>
    <cellStyle name="Normal 5 2 4 5 2 2" xfId="10593"/>
    <cellStyle name="Normal 5 2 4 5 2 2 2" xfId="17585"/>
    <cellStyle name="Normal 5 2 4 5 2 2 3" xfId="24552"/>
    <cellStyle name="Normal 5 2 4 5 2 2 4" xfId="31519"/>
    <cellStyle name="Normal 5 2 4 5 2 2 5" xfId="38488"/>
    <cellStyle name="Normal 5 2 4 5 2 3" xfId="15265"/>
    <cellStyle name="Normal 5 2 4 5 2 3 2" xfId="22232"/>
    <cellStyle name="Normal 5 2 4 5 2 3 3" xfId="29199"/>
    <cellStyle name="Normal 5 2 4 5 2 3 4" xfId="36168"/>
    <cellStyle name="Normal 5 2 4 5 2 4" xfId="12943"/>
    <cellStyle name="Normal 5 2 4 5 2 5" xfId="19910"/>
    <cellStyle name="Normal 5 2 4 5 2 6" xfId="26877"/>
    <cellStyle name="Normal 5 2 4 5 2 7" xfId="33845"/>
    <cellStyle name="Normal 5 2 4 5 3" xfId="9634"/>
    <cellStyle name="Normal 5 2 4 5 3 2" xfId="16670"/>
    <cellStyle name="Normal 5 2 4 5 3 3" xfId="23637"/>
    <cellStyle name="Normal 5 2 4 5 3 4" xfId="30604"/>
    <cellStyle name="Normal 5 2 4 5 3 5" xfId="37573"/>
    <cellStyle name="Normal 5 2 4 5 4" xfId="14350"/>
    <cellStyle name="Normal 5 2 4 5 4 2" xfId="21317"/>
    <cellStyle name="Normal 5 2 4 5 4 3" xfId="28284"/>
    <cellStyle name="Normal 5 2 4 5 4 4" xfId="35253"/>
    <cellStyle name="Normal 5 2 4 5 5" xfId="12028"/>
    <cellStyle name="Normal 5 2 4 5 6" xfId="18995"/>
    <cellStyle name="Normal 5 2 4 5 7" xfId="25962"/>
    <cellStyle name="Normal 5 2 4 5 8" xfId="32930"/>
    <cellStyle name="Normal 5 2 4 6" xfId="5788"/>
    <cellStyle name="Normal 5 2 4 6 2" xfId="10589"/>
    <cellStyle name="Normal 5 2 4 6 2 2" xfId="17581"/>
    <cellStyle name="Normal 5 2 4 6 2 3" xfId="24548"/>
    <cellStyle name="Normal 5 2 4 6 2 4" xfId="31515"/>
    <cellStyle name="Normal 5 2 4 6 2 5" xfId="38484"/>
    <cellStyle name="Normal 5 2 4 6 3" xfId="15261"/>
    <cellStyle name="Normal 5 2 4 6 3 2" xfId="22228"/>
    <cellStyle name="Normal 5 2 4 6 3 3" xfId="29195"/>
    <cellStyle name="Normal 5 2 4 6 3 4" xfId="36164"/>
    <cellStyle name="Normal 5 2 4 6 4" xfId="12939"/>
    <cellStyle name="Normal 5 2 4 6 5" xfId="19906"/>
    <cellStyle name="Normal 5 2 4 6 6" xfId="26873"/>
    <cellStyle name="Normal 5 2 4 6 7" xfId="33841"/>
    <cellStyle name="Normal 5 2 4 7" xfId="6947"/>
    <cellStyle name="Normal 5 2 4 7 2" xfId="10901"/>
    <cellStyle name="Normal 5 2 4 7 2 2" xfId="17867"/>
    <cellStyle name="Normal 5 2 4 7 2 3" xfId="24834"/>
    <cellStyle name="Normal 5 2 4 7 2 4" xfId="31801"/>
    <cellStyle name="Normal 5 2 4 7 2 5" xfId="38770"/>
    <cellStyle name="Normal 5 2 4 7 3" xfId="15547"/>
    <cellStyle name="Normal 5 2 4 7 3 2" xfId="22514"/>
    <cellStyle name="Normal 5 2 4 7 3 3" xfId="29481"/>
    <cellStyle name="Normal 5 2 4 7 3 4" xfId="36450"/>
    <cellStyle name="Normal 5 2 4 7 4" xfId="13225"/>
    <cellStyle name="Normal 5 2 4 7 5" xfId="20192"/>
    <cellStyle name="Normal 5 2 4 7 6" xfId="27159"/>
    <cellStyle name="Normal 5 2 4 7 7" xfId="34128"/>
    <cellStyle name="Normal 5 2 4 8" xfId="7236"/>
    <cellStyle name="Normal 5 2 4 8 2" xfId="15720"/>
    <cellStyle name="Normal 5 2 4 8 2 2" xfId="22687"/>
    <cellStyle name="Normal 5 2 4 8 2 3" xfId="29654"/>
    <cellStyle name="Normal 5 2 4 8 2 4" xfId="36623"/>
    <cellStyle name="Normal 5 2 4 8 3" xfId="13398"/>
    <cellStyle name="Normal 5 2 4 8 4" xfId="20365"/>
    <cellStyle name="Normal 5 2 4 8 5" xfId="27332"/>
    <cellStyle name="Normal 5 2 4 8 6" xfId="34301"/>
    <cellStyle name="Normal 5 2 4 9" xfId="8158"/>
    <cellStyle name="Normal 5 2 4 9 2" xfId="15890"/>
    <cellStyle name="Normal 5 2 4 9 2 2" xfId="22857"/>
    <cellStyle name="Normal 5 2 4 9 2 3" xfId="29824"/>
    <cellStyle name="Normal 5 2 4 9 2 4" xfId="36793"/>
    <cellStyle name="Normal 5 2 4 9 3" xfId="11246"/>
    <cellStyle name="Normal 5 2 4 9 4" xfId="18213"/>
    <cellStyle name="Normal 5 2 4 9 5" xfId="25180"/>
    <cellStyle name="Normal 5 2 4 9 6" xfId="32148"/>
    <cellStyle name="Normal 5 2 5" xfId="5776"/>
    <cellStyle name="Normal 5 2 5 2" xfId="6948"/>
    <cellStyle name="Normal 5 2 5 3" xfId="10578"/>
    <cellStyle name="Normal 5 2 6" xfId="6944"/>
    <cellStyle name="Normal 5 2 6 2" xfId="10898"/>
    <cellStyle name="Normal 5 2 6 2 2" xfId="17864"/>
    <cellStyle name="Normal 5 2 6 2 3" xfId="24831"/>
    <cellStyle name="Normal 5 2 6 2 4" xfId="31798"/>
    <cellStyle name="Normal 5 2 6 2 5" xfId="38767"/>
    <cellStyle name="Normal 5 2 6 3" xfId="15544"/>
    <cellStyle name="Normal 5 2 6 3 2" xfId="22511"/>
    <cellStyle name="Normal 5 2 6 3 3" xfId="29478"/>
    <cellStyle name="Normal 5 2 6 3 4" xfId="36447"/>
    <cellStyle name="Normal 5 2 6 4" xfId="13222"/>
    <cellStyle name="Normal 5 2 6 5" xfId="20189"/>
    <cellStyle name="Normal 5 2 6 6" xfId="27156"/>
    <cellStyle name="Normal 5 2 6 7" xfId="34125"/>
    <cellStyle name="Normal 5 2 7" xfId="7233"/>
    <cellStyle name="Normal 5 2 7 2" xfId="15717"/>
    <cellStyle name="Normal 5 2 7 2 2" xfId="22684"/>
    <cellStyle name="Normal 5 2 7 2 3" xfId="29651"/>
    <cellStyle name="Normal 5 2 7 2 4" xfId="36620"/>
    <cellStyle name="Normal 5 2 7 3" xfId="13395"/>
    <cellStyle name="Normal 5 2 7 4" xfId="20362"/>
    <cellStyle name="Normal 5 2 7 5" xfId="27329"/>
    <cellStyle name="Normal 5 2 7 6" xfId="34298"/>
    <cellStyle name="Normal 5 2 8" xfId="8154"/>
    <cellStyle name="Normal 5 2 8 2" xfId="15887"/>
    <cellStyle name="Normal 5 2 8 2 2" xfId="22854"/>
    <cellStyle name="Normal 5 2 8 2 3" xfId="29821"/>
    <cellStyle name="Normal 5 2 8 2 4" xfId="36790"/>
    <cellStyle name="Normal 5 2 8 3" xfId="11243"/>
    <cellStyle name="Normal 5 2 8 4" xfId="18210"/>
    <cellStyle name="Normal 5 2 8 5" xfId="25177"/>
    <cellStyle name="Normal 5 2 8 6" xfId="32145"/>
    <cellStyle name="Normal 5 2 9" xfId="13565"/>
    <cellStyle name="Normal 5 2 9 2" xfId="20532"/>
    <cellStyle name="Normal 5 2 9 3" xfId="27499"/>
    <cellStyle name="Normal 5 2 9 4" xfId="34468"/>
    <cellStyle name="Normal 5 3" xfId="1878"/>
    <cellStyle name="Normal 5 3 10" xfId="8159"/>
    <cellStyle name="Normal 5 3 10 2" xfId="15891"/>
    <cellStyle name="Normal 5 3 10 2 2" xfId="22858"/>
    <cellStyle name="Normal 5 3 10 2 3" xfId="29825"/>
    <cellStyle name="Normal 5 3 10 2 4" xfId="36794"/>
    <cellStyle name="Normal 5 3 10 3" xfId="11247"/>
    <cellStyle name="Normal 5 3 10 4" xfId="18214"/>
    <cellStyle name="Normal 5 3 10 5" xfId="25181"/>
    <cellStyle name="Normal 5 3 10 6" xfId="32149"/>
    <cellStyle name="Normal 5 3 11" xfId="13569"/>
    <cellStyle name="Normal 5 3 11 2" xfId="20536"/>
    <cellStyle name="Normal 5 3 11 3" xfId="27503"/>
    <cellStyle name="Normal 5 3 11 4" xfId="34472"/>
    <cellStyle name="Normal 5 3 2" xfId="1879"/>
    <cellStyle name="Normal 5 3 2 10" xfId="8160"/>
    <cellStyle name="Normal 5 3 2 10 2" xfId="15892"/>
    <cellStyle name="Normal 5 3 2 10 2 2" xfId="22859"/>
    <cellStyle name="Normal 5 3 2 10 2 3" xfId="29826"/>
    <cellStyle name="Normal 5 3 2 10 2 4" xfId="36795"/>
    <cellStyle name="Normal 5 3 2 10 3" xfId="11248"/>
    <cellStyle name="Normal 5 3 2 10 4" xfId="18215"/>
    <cellStyle name="Normal 5 3 2 10 5" xfId="25182"/>
    <cellStyle name="Normal 5 3 2 10 6" xfId="32150"/>
    <cellStyle name="Normal 5 3 2 11" xfId="13570"/>
    <cellStyle name="Normal 5 3 2 11 2" xfId="20537"/>
    <cellStyle name="Normal 5 3 2 11 3" xfId="27504"/>
    <cellStyle name="Normal 5 3 2 11 4" xfId="34473"/>
    <cellStyle name="Normal 5 3 2 12" xfId="11077"/>
    <cellStyle name="Normal 5 3 2 13" xfId="18043"/>
    <cellStyle name="Normal 5 3 2 14" xfId="25011"/>
    <cellStyle name="Normal 5 3 2 15" xfId="31979"/>
    <cellStyle name="Normal 5 3 2 2" xfId="1880"/>
    <cellStyle name="Normal 5 3 2 2 10" xfId="13571"/>
    <cellStyle name="Normal 5 3 2 2 10 2" xfId="20538"/>
    <cellStyle name="Normal 5 3 2 2 10 3" xfId="27505"/>
    <cellStyle name="Normal 5 3 2 2 10 4" xfId="34474"/>
    <cellStyle name="Normal 5 3 2 2 11" xfId="11078"/>
    <cellStyle name="Normal 5 3 2 2 12" xfId="18044"/>
    <cellStyle name="Normal 5 3 2 2 13" xfId="25012"/>
    <cellStyle name="Normal 5 3 2 2 14" xfId="31980"/>
    <cellStyle name="Normal 5 3 2 2 2" xfId="3380"/>
    <cellStyle name="Normal 5 3 2 2 2 2" xfId="5796"/>
    <cellStyle name="Normal 5 3 2 2 2 2 2" xfId="10597"/>
    <cellStyle name="Normal 5 3 2 2 2 2 2 2" xfId="17589"/>
    <cellStyle name="Normal 5 3 2 2 2 2 2 3" xfId="24556"/>
    <cellStyle name="Normal 5 3 2 2 2 2 2 4" xfId="31523"/>
    <cellStyle name="Normal 5 3 2 2 2 2 2 5" xfId="38492"/>
    <cellStyle name="Normal 5 3 2 2 2 2 3" xfId="15269"/>
    <cellStyle name="Normal 5 3 2 2 2 2 3 2" xfId="22236"/>
    <cellStyle name="Normal 5 3 2 2 2 2 3 3" xfId="29203"/>
    <cellStyle name="Normal 5 3 2 2 2 2 3 4" xfId="36172"/>
    <cellStyle name="Normal 5 3 2 2 2 2 4" xfId="12947"/>
    <cellStyle name="Normal 5 3 2 2 2 2 5" xfId="19914"/>
    <cellStyle name="Normal 5 3 2 2 2 2 6" xfId="26881"/>
    <cellStyle name="Normal 5 3 2 2 2 2 7" xfId="33849"/>
    <cellStyle name="Normal 5 3 2 2 2 3" xfId="9012"/>
    <cellStyle name="Normal 5 3 2 2 2 3 2" xfId="16061"/>
    <cellStyle name="Normal 5 3 2 2 2 3 3" xfId="23028"/>
    <cellStyle name="Normal 5 3 2 2 2 3 4" xfId="29995"/>
    <cellStyle name="Normal 5 3 2 2 2 3 5" xfId="36964"/>
    <cellStyle name="Normal 5 3 2 2 2 4" xfId="13740"/>
    <cellStyle name="Normal 5 3 2 2 2 4 2" xfId="20707"/>
    <cellStyle name="Normal 5 3 2 2 2 4 3" xfId="27674"/>
    <cellStyle name="Normal 5 3 2 2 2 4 4" xfId="34643"/>
    <cellStyle name="Normal 5 3 2 2 2 5" xfId="11418"/>
    <cellStyle name="Normal 5 3 2 2 2 6" xfId="18385"/>
    <cellStyle name="Normal 5 3 2 2 2 7" xfId="25352"/>
    <cellStyle name="Normal 5 3 2 2 2 8" xfId="32320"/>
    <cellStyle name="Normal 5 3 2 2 3" xfId="3578"/>
    <cellStyle name="Normal 5 3 2 2 3 2" xfId="5797"/>
    <cellStyle name="Normal 5 3 2 2 3 2 2" xfId="10598"/>
    <cellStyle name="Normal 5 3 2 2 3 2 2 2" xfId="17590"/>
    <cellStyle name="Normal 5 3 2 2 3 2 2 3" xfId="24557"/>
    <cellStyle name="Normal 5 3 2 2 3 2 2 4" xfId="31524"/>
    <cellStyle name="Normal 5 3 2 2 3 2 2 5" xfId="38493"/>
    <cellStyle name="Normal 5 3 2 2 3 2 3" xfId="15270"/>
    <cellStyle name="Normal 5 3 2 2 3 2 3 2" xfId="22237"/>
    <cellStyle name="Normal 5 3 2 2 3 2 3 3" xfId="29204"/>
    <cellStyle name="Normal 5 3 2 2 3 2 3 4" xfId="36173"/>
    <cellStyle name="Normal 5 3 2 2 3 2 4" xfId="12948"/>
    <cellStyle name="Normal 5 3 2 2 3 2 5" xfId="19915"/>
    <cellStyle name="Normal 5 3 2 2 3 2 6" xfId="26882"/>
    <cellStyle name="Normal 5 3 2 2 3 2 7" xfId="33850"/>
    <cellStyle name="Normal 5 3 2 2 3 3" xfId="9190"/>
    <cellStyle name="Normal 5 3 2 2 3 3 2" xfId="16229"/>
    <cellStyle name="Normal 5 3 2 2 3 3 3" xfId="23196"/>
    <cellStyle name="Normal 5 3 2 2 3 3 4" xfId="30163"/>
    <cellStyle name="Normal 5 3 2 2 3 3 5" xfId="37132"/>
    <cellStyle name="Normal 5 3 2 2 3 4" xfId="13909"/>
    <cellStyle name="Normal 5 3 2 2 3 4 2" xfId="20876"/>
    <cellStyle name="Normal 5 3 2 2 3 4 3" xfId="27843"/>
    <cellStyle name="Normal 5 3 2 2 3 4 4" xfId="34812"/>
    <cellStyle name="Normal 5 3 2 2 3 5" xfId="11587"/>
    <cellStyle name="Normal 5 3 2 2 3 6" xfId="18554"/>
    <cellStyle name="Normal 5 3 2 2 3 7" xfId="25521"/>
    <cellStyle name="Normal 5 3 2 2 3 8" xfId="32489"/>
    <cellStyle name="Normal 5 3 2 2 4" xfId="3753"/>
    <cellStyle name="Normal 5 3 2 2 4 2" xfId="5798"/>
    <cellStyle name="Normal 5 3 2 2 4 2 2" xfId="10599"/>
    <cellStyle name="Normal 5 3 2 2 4 2 2 2" xfId="17591"/>
    <cellStyle name="Normal 5 3 2 2 4 2 2 3" xfId="24558"/>
    <cellStyle name="Normal 5 3 2 2 4 2 2 4" xfId="31525"/>
    <cellStyle name="Normal 5 3 2 2 4 2 2 5" xfId="38494"/>
    <cellStyle name="Normal 5 3 2 2 4 2 3" xfId="15271"/>
    <cellStyle name="Normal 5 3 2 2 4 2 3 2" xfId="22238"/>
    <cellStyle name="Normal 5 3 2 2 4 2 3 3" xfId="29205"/>
    <cellStyle name="Normal 5 3 2 2 4 2 3 4" xfId="36174"/>
    <cellStyle name="Normal 5 3 2 2 4 2 4" xfId="12949"/>
    <cellStyle name="Normal 5 3 2 2 4 2 5" xfId="19916"/>
    <cellStyle name="Normal 5 3 2 2 4 2 6" xfId="26883"/>
    <cellStyle name="Normal 5 3 2 2 4 2 7" xfId="33851"/>
    <cellStyle name="Normal 5 3 2 2 4 3" xfId="9361"/>
    <cellStyle name="Normal 5 3 2 2 4 3 2" xfId="16400"/>
    <cellStyle name="Normal 5 3 2 2 4 3 3" xfId="23367"/>
    <cellStyle name="Normal 5 3 2 2 4 3 4" xfId="30334"/>
    <cellStyle name="Normal 5 3 2 2 4 3 5" xfId="37303"/>
    <cellStyle name="Normal 5 3 2 2 4 4" xfId="14080"/>
    <cellStyle name="Normal 5 3 2 2 4 4 2" xfId="21047"/>
    <cellStyle name="Normal 5 3 2 2 4 4 3" xfId="28014"/>
    <cellStyle name="Normal 5 3 2 2 4 4 4" xfId="34983"/>
    <cellStyle name="Normal 5 3 2 2 4 5" xfId="11758"/>
    <cellStyle name="Normal 5 3 2 2 4 6" xfId="18725"/>
    <cellStyle name="Normal 5 3 2 2 4 7" xfId="25692"/>
    <cellStyle name="Normal 5 3 2 2 4 8" xfId="32660"/>
    <cellStyle name="Normal 5 3 2 2 5" xfId="4031"/>
    <cellStyle name="Normal 5 3 2 2 5 2" xfId="5799"/>
    <cellStyle name="Normal 5 3 2 2 5 2 2" xfId="10600"/>
    <cellStyle name="Normal 5 3 2 2 5 2 2 2" xfId="17592"/>
    <cellStyle name="Normal 5 3 2 2 5 2 2 3" xfId="24559"/>
    <cellStyle name="Normal 5 3 2 2 5 2 2 4" xfId="31526"/>
    <cellStyle name="Normal 5 3 2 2 5 2 2 5" xfId="38495"/>
    <cellStyle name="Normal 5 3 2 2 5 2 3" xfId="15272"/>
    <cellStyle name="Normal 5 3 2 2 5 2 3 2" xfId="22239"/>
    <cellStyle name="Normal 5 3 2 2 5 2 3 3" xfId="29206"/>
    <cellStyle name="Normal 5 3 2 2 5 2 3 4" xfId="36175"/>
    <cellStyle name="Normal 5 3 2 2 5 2 4" xfId="12950"/>
    <cellStyle name="Normal 5 3 2 2 5 2 5" xfId="19917"/>
    <cellStyle name="Normal 5 3 2 2 5 2 6" xfId="26884"/>
    <cellStyle name="Normal 5 3 2 2 5 2 7" xfId="33852"/>
    <cellStyle name="Normal 5 3 2 2 5 3" xfId="9637"/>
    <cellStyle name="Normal 5 3 2 2 5 3 2" xfId="16673"/>
    <cellStyle name="Normal 5 3 2 2 5 3 3" xfId="23640"/>
    <cellStyle name="Normal 5 3 2 2 5 3 4" xfId="30607"/>
    <cellStyle name="Normal 5 3 2 2 5 3 5" xfId="37576"/>
    <cellStyle name="Normal 5 3 2 2 5 4" xfId="14353"/>
    <cellStyle name="Normal 5 3 2 2 5 4 2" xfId="21320"/>
    <cellStyle name="Normal 5 3 2 2 5 4 3" xfId="28287"/>
    <cellStyle name="Normal 5 3 2 2 5 4 4" xfId="35256"/>
    <cellStyle name="Normal 5 3 2 2 5 5" xfId="12031"/>
    <cellStyle name="Normal 5 3 2 2 5 6" xfId="18998"/>
    <cellStyle name="Normal 5 3 2 2 5 7" xfId="25965"/>
    <cellStyle name="Normal 5 3 2 2 5 8" xfId="32933"/>
    <cellStyle name="Normal 5 3 2 2 6" xfId="5795"/>
    <cellStyle name="Normal 5 3 2 2 6 2" xfId="10596"/>
    <cellStyle name="Normal 5 3 2 2 6 2 2" xfId="17588"/>
    <cellStyle name="Normal 5 3 2 2 6 2 3" xfId="24555"/>
    <cellStyle name="Normal 5 3 2 2 6 2 4" xfId="31522"/>
    <cellStyle name="Normal 5 3 2 2 6 2 5" xfId="38491"/>
    <cellStyle name="Normal 5 3 2 2 6 3" xfId="15268"/>
    <cellStyle name="Normal 5 3 2 2 6 3 2" xfId="22235"/>
    <cellStyle name="Normal 5 3 2 2 6 3 3" xfId="29202"/>
    <cellStyle name="Normal 5 3 2 2 6 3 4" xfId="36171"/>
    <cellStyle name="Normal 5 3 2 2 6 4" xfId="12946"/>
    <cellStyle name="Normal 5 3 2 2 6 5" xfId="19913"/>
    <cellStyle name="Normal 5 3 2 2 6 6" xfId="26880"/>
    <cellStyle name="Normal 5 3 2 2 6 7" xfId="33848"/>
    <cellStyle name="Normal 5 3 2 2 7" xfId="6950"/>
    <cellStyle name="Normal 5 3 2 2 7 2" xfId="10903"/>
    <cellStyle name="Normal 5 3 2 2 7 2 2" xfId="17869"/>
    <cellStyle name="Normal 5 3 2 2 7 2 3" xfId="24836"/>
    <cellStyle name="Normal 5 3 2 2 7 2 4" xfId="31803"/>
    <cellStyle name="Normal 5 3 2 2 7 2 5" xfId="38772"/>
    <cellStyle name="Normal 5 3 2 2 7 3" xfId="15549"/>
    <cellStyle name="Normal 5 3 2 2 7 3 2" xfId="22516"/>
    <cellStyle name="Normal 5 3 2 2 7 3 3" xfId="29483"/>
    <cellStyle name="Normal 5 3 2 2 7 3 4" xfId="36452"/>
    <cellStyle name="Normal 5 3 2 2 7 4" xfId="13227"/>
    <cellStyle name="Normal 5 3 2 2 7 5" xfId="20194"/>
    <cellStyle name="Normal 5 3 2 2 7 6" xfId="27161"/>
    <cellStyle name="Normal 5 3 2 2 7 7" xfId="34130"/>
    <cellStyle name="Normal 5 3 2 2 8" xfId="7238"/>
    <cellStyle name="Normal 5 3 2 2 8 2" xfId="15722"/>
    <cellStyle name="Normal 5 3 2 2 8 2 2" xfId="22689"/>
    <cellStyle name="Normal 5 3 2 2 8 2 3" xfId="29656"/>
    <cellStyle name="Normal 5 3 2 2 8 2 4" xfId="36625"/>
    <cellStyle name="Normal 5 3 2 2 8 3" xfId="13400"/>
    <cellStyle name="Normal 5 3 2 2 8 4" xfId="20367"/>
    <cellStyle name="Normal 5 3 2 2 8 5" xfId="27334"/>
    <cellStyle name="Normal 5 3 2 2 8 6" xfId="34303"/>
    <cellStyle name="Normal 5 3 2 2 9" xfId="8161"/>
    <cellStyle name="Normal 5 3 2 2 9 2" xfId="15893"/>
    <cellStyle name="Normal 5 3 2 2 9 2 2" xfId="22860"/>
    <cellStyle name="Normal 5 3 2 2 9 2 3" xfId="29827"/>
    <cellStyle name="Normal 5 3 2 2 9 2 4" xfId="36796"/>
    <cellStyle name="Normal 5 3 2 2 9 3" xfId="11249"/>
    <cellStyle name="Normal 5 3 2 2 9 4" xfId="18216"/>
    <cellStyle name="Normal 5 3 2 2 9 5" xfId="25183"/>
    <cellStyle name="Normal 5 3 2 2 9 6" xfId="32151"/>
    <cellStyle name="Normal 5 3 2 3" xfId="3379"/>
    <cellStyle name="Normal 5 3 2 3 2" xfId="5800"/>
    <cellStyle name="Normal 5 3 2 3 2 2" xfId="10601"/>
    <cellStyle name="Normal 5 3 2 3 2 2 2" xfId="17593"/>
    <cellStyle name="Normal 5 3 2 3 2 2 3" xfId="24560"/>
    <cellStyle name="Normal 5 3 2 3 2 2 4" xfId="31527"/>
    <cellStyle name="Normal 5 3 2 3 2 2 5" xfId="38496"/>
    <cellStyle name="Normal 5 3 2 3 2 3" xfId="15273"/>
    <cellStyle name="Normal 5 3 2 3 2 3 2" xfId="22240"/>
    <cellStyle name="Normal 5 3 2 3 2 3 3" xfId="29207"/>
    <cellStyle name="Normal 5 3 2 3 2 3 4" xfId="36176"/>
    <cellStyle name="Normal 5 3 2 3 2 4" xfId="12951"/>
    <cellStyle name="Normal 5 3 2 3 2 5" xfId="19918"/>
    <cellStyle name="Normal 5 3 2 3 2 6" xfId="26885"/>
    <cellStyle name="Normal 5 3 2 3 2 7" xfId="33853"/>
    <cellStyle name="Normal 5 3 2 3 3" xfId="9011"/>
    <cellStyle name="Normal 5 3 2 3 3 2" xfId="16060"/>
    <cellStyle name="Normal 5 3 2 3 3 3" xfId="23027"/>
    <cellStyle name="Normal 5 3 2 3 3 4" xfId="29994"/>
    <cellStyle name="Normal 5 3 2 3 3 5" xfId="36963"/>
    <cellStyle name="Normal 5 3 2 3 4" xfId="13739"/>
    <cellStyle name="Normal 5 3 2 3 4 2" xfId="20706"/>
    <cellStyle name="Normal 5 3 2 3 4 3" xfId="27673"/>
    <cellStyle name="Normal 5 3 2 3 4 4" xfId="34642"/>
    <cellStyle name="Normal 5 3 2 3 5" xfId="11417"/>
    <cellStyle name="Normal 5 3 2 3 6" xfId="18384"/>
    <cellStyle name="Normal 5 3 2 3 7" xfId="25351"/>
    <cellStyle name="Normal 5 3 2 3 8" xfId="32319"/>
    <cellStyle name="Normal 5 3 2 4" xfId="3577"/>
    <cellStyle name="Normal 5 3 2 4 2" xfId="5801"/>
    <cellStyle name="Normal 5 3 2 4 2 2" xfId="10602"/>
    <cellStyle name="Normal 5 3 2 4 2 2 2" xfId="17594"/>
    <cellStyle name="Normal 5 3 2 4 2 2 3" xfId="24561"/>
    <cellStyle name="Normal 5 3 2 4 2 2 4" xfId="31528"/>
    <cellStyle name="Normal 5 3 2 4 2 2 5" xfId="38497"/>
    <cellStyle name="Normal 5 3 2 4 2 3" xfId="15274"/>
    <cellStyle name="Normal 5 3 2 4 2 3 2" xfId="22241"/>
    <cellStyle name="Normal 5 3 2 4 2 3 3" xfId="29208"/>
    <cellStyle name="Normal 5 3 2 4 2 3 4" xfId="36177"/>
    <cellStyle name="Normal 5 3 2 4 2 4" xfId="12952"/>
    <cellStyle name="Normal 5 3 2 4 2 5" xfId="19919"/>
    <cellStyle name="Normal 5 3 2 4 2 6" xfId="26886"/>
    <cellStyle name="Normal 5 3 2 4 2 7" xfId="33854"/>
    <cellStyle name="Normal 5 3 2 4 3" xfId="9189"/>
    <cellStyle name="Normal 5 3 2 4 3 2" xfId="16228"/>
    <cellStyle name="Normal 5 3 2 4 3 3" xfId="23195"/>
    <cellStyle name="Normal 5 3 2 4 3 4" xfId="30162"/>
    <cellStyle name="Normal 5 3 2 4 3 5" xfId="37131"/>
    <cellStyle name="Normal 5 3 2 4 4" xfId="13908"/>
    <cellStyle name="Normal 5 3 2 4 4 2" xfId="20875"/>
    <cellStyle name="Normal 5 3 2 4 4 3" xfId="27842"/>
    <cellStyle name="Normal 5 3 2 4 4 4" xfId="34811"/>
    <cellStyle name="Normal 5 3 2 4 5" xfId="11586"/>
    <cellStyle name="Normal 5 3 2 4 6" xfId="18553"/>
    <cellStyle name="Normal 5 3 2 4 7" xfId="25520"/>
    <cellStyle name="Normal 5 3 2 4 8" xfId="32488"/>
    <cellStyle name="Normal 5 3 2 5" xfId="3752"/>
    <cellStyle name="Normal 5 3 2 5 2" xfId="5802"/>
    <cellStyle name="Normal 5 3 2 5 2 2" xfId="10603"/>
    <cellStyle name="Normal 5 3 2 5 2 2 2" xfId="17595"/>
    <cellStyle name="Normal 5 3 2 5 2 2 3" xfId="24562"/>
    <cellStyle name="Normal 5 3 2 5 2 2 4" xfId="31529"/>
    <cellStyle name="Normal 5 3 2 5 2 2 5" xfId="38498"/>
    <cellStyle name="Normal 5 3 2 5 2 3" xfId="15275"/>
    <cellStyle name="Normal 5 3 2 5 2 3 2" xfId="22242"/>
    <cellStyle name="Normal 5 3 2 5 2 3 3" xfId="29209"/>
    <cellStyle name="Normal 5 3 2 5 2 3 4" xfId="36178"/>
    <cellStyle name="Normal 5 3 2 5 2 4" xfId="12953"/>
    <cellStyle name="Normal 5 3 2 5 2 5" xfId="19920"/>
    <cellStyle name="Normal 5 3 2 5 2 6" xfId="26887"/>
    <cellStyle name="Normal 5 3 2 5 2 7" xfId="33855"/>
    <cellStyle name="Normal 5 3 2 5 3" xfId="9360"/>
    <cellStyle name="Normal 5 3 2 5 3 2" xfId="16399"/>
    <cellStyle name="Normal 5 3 2 5 3 3" xfId="23366"/>
    <cellStyle name="Normal 5 3 2 5 3 4" xfId="30333"/>
    <cellStyle name="Normal 5 3 2 5 3 5" xfId="37302"/>
    <cellStyle name="Normal 5 3 2 5 4" xfId="14079"/>
    <cellStyle name="Normal 5 3 2 5 4 2" xfId="21046"/>
    <cellStyle name="Normal 5 3 2 5 4 3" xfId="28013"/>
    <cellStyle name="Normal 5 3 2 5 4 4" xfId="34982"/>
    <cellStyle name="Normal 5 3 2 5 5" xfId="11757"/>
    <cellStyle name="Normal 5 3 2 5 6" xfId="18724"/>
    <cellStyle name="Normal 5 3 2 5 7" xfId="25691"/>
    <cellStyle name="Normal 5 3 2 5 8" xfId="32659"/>
    <cellStyle name="Normal 5 3 2 6" xfId="4030"/>
    <cellStyle name="Normal 5 3 2 6 2" xfId="5803"/>
    <cellStyle name="Normal 5 3 2 6 2 2" xfId="10604"/>
    <cellStyle name="Normal 5 3 2 6 2 2 2" xfId="17596"/>
    <cellStyle name="Normal 5 3 2 6 2 2 3" xfId="24563"/>
    <cellStyle name="Normal 5 3 2 6 2 2 4" xfId="31530"/>
    <cellStyle name="Normal 5 3 2 6 2 2 5" xfId="38499"/>
    <cellStyle name="Normal 5 3 2 6 2 3" xfId="15276"/>
    <cellStyle name="Normal 5 3 2 6 2 3 2" xfId="22243"/>
    <cellStyle name="Normal 5 3 2 6 2 3 3" xfId="29210"/>
    <cellStyle name="Normal 5 3 2 6 2 3 4" xfId="36179"/>
    <cellStyle name="Normal 5 3 2 6 2 4" xfId="12954"/>
    <cellStyle name="Normal 5 3 2 6 2 5" xfId="19921"/>
    <cellStyle name="Normal 5 3 2 6 2 6" xfId="26888"/>
    <cellStyle name="Normal 5 3 2 6 2 7" xfId="33856"/>
    <cellStyle name="Normal 5 3 2 6 3" xfId="9636"/>
    <cellStyle name="Normal 5 3 2 6 3 2" xfId="16672"/>
    <cellStyle name="Normal 5 3 2 6 3 3" xfId="23639"/>
    <cellStyle name="Normal 5 3 2 6 3 4" xfId="30606"/>
    <cellStyle name="Normal 5 3 2 6 3 5" xfId="37575"/>
    <cellStyle name="Normal 5 3 2 6 4" xfId="14352"/>
    <cellStyle name="Normal 5 3 2 6 4 2" xfId="21319"/>
    <cellStyle name="Normal 5 3 2 6 4 3" xfId="28286"/>
    <cellStyle name="Normal 5 3 2 6 4 4" xfId="35255"/>
    <cellStyle name="Normal 5 3 2 6 5" xfId="12030"/>
    <cellStyle name="Normal 5 3 2 6 6" xfId="18997"/>
    <cellStyle name="Normal 5 3 2 6 7" xfId="25964"/>
    <cellStyle name="Normal 5 3 2 6 8" xfId="32932"/>
    <cellStyle name="Normal 5 3 2 7" xfId="5794"/>
    <cellStyle name="Normal 5 3 2 7 2" xfId="10595"/>
    <cellStyle name="Normal 5 3 2 7 2 2" xfId="17587"/>
    <cellStyle name="Normal 5 3 2 7 2 3" xfId="24554"/>
    <cellStyle name="Normal 5 3 2 7 2 4" xfId="31521"/>
    <cellStyle name="Normal 5 3 2 7 2 5" xfId="38490"/>
    <cellStyle name="Normal 5 3 2 7 3" xfId="15267"/>
    <cellStyle name="Normal 5 3 2 7 3 2" xfId="22234"/>
    <cellStyle name="Normal 5 3 2 7 3 3" xfId="29201"/>
    <cellStyle name="Normal 5 3 2 7 3 4" xfId="36170"/>
    <cellStyle name="Normal 5 3 2 7 4" xfId="12945"/>
    <cellStyle name="Normal 5 3 2 7 5" xfId="19912"/>
    <cellStyle name="Normal 5 3 2 7 6" xfId="26879"/>
    <cellStyle name="Normal 5 3 2 7 7" xfId="33847"/>
    <cellStyle name="Normal 5 3 2 8" xfId="6949"/>
    <cellStyle name="Normal 5 3 2 8 2" xfId="10902"/>
    <cellStyle name="Normal 5 3 2 8 2 2" xfId="17868"/>
    <cellStyle name="Normal 5 3 2 8 2 3" xfId="24835"/>
    <cellStyle name="Normal 5 3 2 8 2 4" xfId="31802"/>
    <cellStyle name="Normal 5 3 2 8 2 5" xfId="38771"/>
    <cellStyle name="Normal 5 3 2 8 3" xfId="15548"/>
    <cellStyle name="Normal 5 3 2 8 3 2" xfId="22515"/>
    <cellStyle name="Normal 5 3 2 8 3 3" xfId="29482"/>
    <cellStyle name="Normal 5 3 2 8 3 4" xfId="36451"/>
    <cellStyle name="Normal 5 3 2 8 4" xfId="13226"/>
    <cellStyle name="Normal 5 3 2 8 5" xfId="20193"/>
    <cellStyle name="Normal 5 3 2 8 6" xfId="27160"/>
    <cellStyle name="Normal 5 3 2 8 7" xfId="34129"/>
    <cellStyle name="Normal 5 3 2 9" xfId="7237"/>
    <cellStyle name="Normal 5 3 2 9 2" xfId="15721"/>
    <cellStyle name="Normal 5 3 2 9 2 2" xfId="22688"/>
    <cellStyle name="Normal 5 3 2 9 2 3" xfId="29655"/>
    <cellStyle name="Normal 5 3 2 9 2 4" xfId="36624"/>
    <cellStyle name="Normal 5 3 2 9 3" xfId="13399"/>
    <cellStyle name="Normal 5 3 2 9 4" xfId="20366"/>
    <cellStyle name="Normal 5 3 2 9 5" xfId="27333"/>
    <cellStyle name="Normal 5 3 2 9 6" xfId="34302"/>
    <cellStyle name="Normal 5 3 3" xfId="1881"/>
    <cellStyle name="Normal 5 3 3 2" xfId="5804"/>
    <cellStyle name="Normal 5 3 3 3" xfId="8162"/>
    <cellStyle name="Normal 5 3 4" xfId="1882"/>
    <cellStyle name="Normal 5 3 4 10" xfId="13572"/>
    <cellStyle name="Normal 5 3 4 10 2" xfId="20539"/>
    <cellStyle name="Normal 5 3 4 10 3" xfId="27506"/>
    <cellStyle name="Normal 5 3 4 10 4" xfId="34475"/>
    <cellStyle name="Normal 5 3 4 11" xfId="11079"/>
    <cellStyle name="Normal 5 3 4 12" xfId="18045"/>
    <cellStyle name="Normal 5 3 4 13" xfId="25013"/>
    <cellStyle name="Normal 5 3 4 14" xfId="31981"/>
    <cellStyle name="Normal 5 3 4 2" xfId="3381"/>
    <cellStyle name="Normal 5 3 4 2 2" xfId="5806"/>
    <cellStyle name="Normal 5 3 4 2 2 2" xfId="10606"/>
    <cellStyle name="Normal 5 3 4 2 2 2 2" xfId="17598"/>
    <cellStyle name="Normal 5 3 4 2 2 2 3" xfId="24565"/>
    <cellStyle name="Normal 5 3 4 2 2 2 4" xfId="31532"/>
    <cellStyle name="Normal 5 3 4 2 2 2 5" xfId="38501"/>
    <cellStyle name="Normal 5 3 4 2 2 3" xfId="15278"/>
    <cellStyle name="Normal 5 3 4 2 2 3 2" xfId="22245"/>
    <cellStyle name="Normal 5 3 4 2 2 3 3" xfId="29212"/>
    <cellStyle name="Normal 5 3 4 2 2 3 4" xfId="36181"/>
    <cellStyle name="Normal 5 3 4 2 2 4" xfId="12956"/>
    <cellStyle name="Normal 5 3 4 2 2 5" xfId="19923"/>
    <cellStyle name="Normal 5 3 4 2 2 6" xfId="26890"/>
    <cellStyle name="Normal 5 3 4 2 2 7" xfId="33858"/>
    <cellStyle name="Normal 5 3 4 2 3" xfId="9013"/>
    <cellStyle name="Normal 5 3 4 2 3 2" xfId="16062"/>
    <cellStyle name="Normal 5 3 4 2 3 3" xfId="23029"/>
    <cellStyle name="Normal 5 3 4 2 3 4" xfId="29996"/>
    <cellStyle name="Normal 5 3 4 2 3 5" xfId="36965"/>
    <cellStyle name="Normal 5 3 4 2 4" xfId="13741"/>
    <cellStyle name="Normal 5 3 4 2 4 2" xfId="20708"/>
    <cellStyle name="Normal 5 3 4 2 4 3" xfId="27675"/>
    <cellStyle name="Normal 5 3 4 2 4 4" xfId="34644"/>
    <cellStyle name="Normal 5 3 4 2 5" xfId="11419"/>
    <cellStyle name="Normal 5 3 4 2 6" xfId="18386"/>
    <cellStyle name="Normal 5 3 4 2 7" xfId="25353"/>
    <cellStyle name="Normal 5 3 4 2 8" xfId="32321"/>
    <cellStyle name="Normal 5 3 4 3" xfId="3579"/>
    <cellStyle name="Normal 5 3 4 3 2" xfId="5807"/>
    <cellStyle name="Normal 5 3 4 3 2 2" xfId="10607"/>
    <cellStyle name="Normal 5 3 4 3 2 2 2" xfId="17599"/>
    <cellStyle name="Normal 5 3 4 3 2 2 3" xfId="24566"/>
    <cellStyle name="Normal 5 3 4 3 2 2 4" xfId="31533"/>
    <cellStyle name="Normal 5 3 4 3 2 2 5" xfId="38502"/>
    <cellStyle name="Normal 5 3 4 3 2 3" xfId="15279"/>
    <cellStyle name="Normal 5 3 4 3 2 3 2" xfId="22246"/>
    <cellStyle name="Normal 5 3 4 3 2 3 3" xfId="29213"/>
    <cellStyle name="Normal 5 3 4 3 2 3 4" xfId="36182"/>
    <cellStyle name="Normal 5 3 4 3 2 4" xfId="12957"/>
    <cellStyle name="Normal 5 3 4 3 2 5" xfId="19924"/>
    <cellStyle name="Normal 5 3 4 3 2 6" xfId="26891"/>
    <cellStyle name="Normal 5 3 4 3 2 7" xfId="33859"/>
    <cellStyle name="Normal 5 3 4 3 3" xfId="9191"/>
    <cellStyle name="Normal 5 3 4 3 3 2" xfId="16230"/>
    <cellStyle name="Normal 5 3 4 3 3 3" xfId="23197"/>
    <cellStyle name="Normal 5 3 4 3 3 4" xfId="30164"/>
    <cellStyle name="Normal 5 3 4 3 3 5" xfId="37133"/>
    <cellStyle name="Normal 5 3 4 3 4" xfId="13910"/>
    <cellStyle name="Normal 5 3 4 3 4 2" xfId="20877"/>
    <cellStyle name="Normal 5 3 4 3 4 3" xfId="27844"/>
    <cellStyle name="Normal 5 3 4 3 4 4" xfId="34813"/>
    <cellStyle name="Normal 5 3 4 3 5" xfId="11588"/>
    <cellStyle name="Normal 5 3 4 3 6" xfId="18555"/>
    <cellStyle name="Normal 5 3 4 3 7" xfId="25522"/>
    <cellStyle name="Normal 5 3 4 3 8" xfId="32490"/>
    <cellStyle name="Normal 5 3 4 4" xfId="3754"/>
    <cellStyle name="Normal 5 3 4 4 2" xfId="5808"/>
    <cellStyle name="Normal 5 3 4 4 2 2" xfId="10608"/>
    <cellStyle name="Normal 5 3 4 4 2 2 2" xfId="17600"/>
    <cellStyle name="Normal 5 3 4 4 2 2 3" xfId="24567"/>
    <cellStyle name="Normal 5 3 4 4 2 2 4" xfId="31534"/>
    <cellStyle name="Normal 5 3 4 4 2 2 5" xfId="38503"/>
    <cellStyle name="Normal 5 3 4 4 2 3" xfId="15280"/>
    <cellStyle name="Normal 5 3 4 4 2 3 2" xfId="22247"/>
    <cellStyle name="Normal 5 3 4 4 2 3 3" xfId="29214"/>
    <cellStyle name="Normal 5 3 4 4 2 3 4" xfId="36183"/>
    <cellStyle name="Normal 5 3 4 4 2 4" xfId="12958"/>
    <cellStyle name="Normal 5 3 4 4 2 5" xfId="19925"/>
    <cellStyle name="Normal 5 3 4 4 2 6" xfId="26892"/>
    <cellStyle name="Normal 5 3 4 4 2 7" xfId="33860"/>
    <cellStyle name="Normal 5 3 4 4 3" xfId="9362"/>
    <cellStyle name="Normal 5 3 4 4 3 2" xfId="16401"/>
    <cellStyle name="Normal 5 3 4 4 3 3" xfId="23368"/>
    <cellStyle name="Normal 5 3 4 4 3 4" xfId="30335"/>
    <cellStyle name="Normal 5 3 4 4 3 5" xfId="37304"/>
    <cellStyle name="Normal 5 3 4 4 4" xfId="14081"/>
    <cellStyle name="Normal 5 3 4 4 4 2" xfId="21048"/>
    <cellStyle name="Normal 5 3 4 4 4 3" xfId="28015"/>
    <cellStyle name="Normal 5 3 4 4 4 4" xfId="34984"/>
    <cellStyle name="Normal 5 3 4 4 5" xfId="11759"/>
    <cellStyle name="Normal 5 3 4 4 6" xfId="18726"/>
    <cellStyle name="Normal 5 3 4 4 7" xfId="25693"/>
    <cellStyle name="Normal 5 3 4 4 8" xfId="32661"/>
    <cellStyle name="Normal 5 3 4 5" xfId="4032"/>
    <cellStyle name="Normal 5 3 4 5 2" xfId="5809"/>
    <cellStyle name="Normal 5 3 4 5 2 2" xfId="10609"/>
    <cellStyle name="Normal 5 3 4 5 2 2 2" xfId="17601"/>
    <cellStyle name="Normal 5 3 4 5 2 2 3" xfId="24568"/>
    <cellStyle name="Normal 5 3 4 5 2 2 4" xfId="31535"/>
    <cellStyle name="Normal 5 3 4 5 2 2 5" xfId="38504"/>
    <cellStyle name="Normal 5 3 4 5 2 3" xfId="15281"/>
    <cellStyle name="Normal 5 3 4 5 2 3 2" xfId="22248"/>
    <cellStyle name="Normal 5 3 4 5 2 3 3" xfId="29215"/>
    <cellStyle name="Normal 5 3 4 5 2 3 4" xfId="36184"/>
    <cellStyle name="Normal 5 3 4 5 2 4" xfId="12959"/>
    <cellStyle name="Normal 5 3 4 5 2 5" xfId="19926"/>
    <cellStyle name="Normal 5 3 4 5 2 6" xfId="26893"/>
    <cellStyle name="Normal 5 3 4 5 2 7" xfId="33861"/>
    <cellStyle name="Normal 5 3 4 5 3" xfId="9638"/>
    <cellStyle name="Normal 5 3 4 5 3 2" xfId="16674"/>
    <cellStyle name="Normal 5 3 4 5 3 3" xfId="23641"/>
    <cellStyle name="Normal 5 3 4 5 3 4" xfId="30608"/>
    <cellStyle name="Normal 5 3 4 5 3 5" xfId="37577"/>
    <cellStyle name="Normal 5 3 4 5 4" xfId="14354"/>
    <cellStyle name="Normal 5 3 4 5 4 2" xfId="21321"/>
    <cellStyle name="Normal 5 3 4 5 4 3" xfId="28288"/>
    <cellStyle name="Normal 5 3 4 5 4 4" xfId="35257"/>
    <cellStyle name="Normal 5 3 4 5 5" xfId="12032"/>
    <cellStyle name="Normal 5 3 4 5 6" xfId="18999"/>
    <cellStyle name="Normal 5 3 4 5 7" xfId="25966"/>
    <cellStyle name="Normal 5 3 4 5 8" xfId="32934"/>
    <cellStyle name="Normal 5 3 4 6" xfId="5805"/>
    <cellStyle name="Normal 5 3 4 6 2" xfId="10605"/>
    <cellStyle name="Normal 5 3 4 6 2 2" xfId="17597"/>
    <cellStyle name="Normal 5 3 4 6 2 3" xfId="24564"/>
    <cellStyle name="Normal 5 3 4 6 2 4" xfId="31531"/>
    <cellStyle name="Normal 5 3 4 6 2 5" xfId="38500"/>
    <cellStyle name="Normal 5 3 4 6 3" xfId="15277"/>
    <cellStyle name="Normal 5 3 4 6 3 2" xfId="22244"/>
    <cellStyle name="Normal 5 3 4 6 3 3" xfId="29211"/>
    <cellStyle name="Normal 5 3 4 6 3 4" xfId="36180"/>
    <cellStyle name="Normal 5 3 4 6 4" xfId="12955"/>
    <cellStyle name="Normal 5 3 4 6 5" xfId="19922"/>
    <cellStyle name="Normal 5 3 4 6 6" xfId="26889"/>
    <cellStyle name="Normal 5 3 4 6 7" xfId="33857"/>
    <cellStyle name="Normal 5 3 4 7" xfId="6951"/>
    <cellStyle name="Normal 5 3 4 7 2" xfId="10904"/>
    <cellStyle name="Normal 5 3 4 7 2 2" xfId="17870"/>
    <cellStyle name="Normal 5 3 4 7 2 3" xfId="24837"/>
    <cellStyle name="Normal 5 3 4 7 2 4" xfId="31804"/>
    <cellStyle name="Normal 5 3 4 7 2 5" xfId="38773"/>
    <cellStyle name="Normal 5 3 4 7 3" xfId="15550"/>
    <cellStyle name="Normal 5 3 4 7 3 2" xfId="22517"/>
    <cellStyle name="Normal 5 3 4 7 3 3" xfId="29484"/>
    <cellStyle name="Normal 5 3 4 7 3 4" xfId="36453"/>
    <cellStyle name="Normal 5 3 4 7 4" xfId="13228"/>
    <cellStyle name="Normal 5 3 4 7 5" xfId="20195"/>
    <cellStyle name="Normal 5 3 4 7 6" xfId="27162"/>
    <cellStyle name="Normal 5 3 4 7 7" xfId="34131"/>
    <cellStyle name="Normal 5 3 4 8" xfId="7239"/>
    <cellStyle name="Normal 5 3 4 8 2" xfId="15723"/>
    <cellStyle name="Normal 5 3 4 8 2 2" xfId="22690"/>
    <cellStyle name="Normal 5 3 4 8 2 3" xfId="29657"/>
    <cellStyle name="Normal 5 3 4 8 2 4" xfId="36626"/>
    <cellStyle name="Normal 5 3 4 8 3" xfId="13401"/>
    <cellStyle name="Normal 5 3 4 8 4" xfId="20368"/>
    <cellStyle name="Normal 5 3 4 8 5" xfId="27335"/>
    <cellStyle name="Normal 5 3 4 8 6" xfId="34304"/>
    <cellStyle name="Normal 5 3 4 9" xfId="8163"/>
    <cellStyle name="Normal 5 3 4 9 2" xfId="15894"/>
    <cellStyle name="Normal 5 3 4 9 2 2" xfId="22861"/>
    <cellStyle name="Normal 5 3 4 9 2 3" xfId="29828"/>
    <cellStyle name="Normal 5 3 4 9 2 4" xfId="36797"/>
    <cellStyle name="Normal 5 3 4 9 3" xfId="11250"/>
    <cellStyle name="Normal 5 3 4 9 4" xfId="18217"/>
    <cellStyle name="Normal 5 3 4 9 5" xfId="25184"/>
    <cellStyle name="Normal 5 3 4 9 6" xfId="32152"/>
    <cellStyle name="Normal 5 3 5" xfId="3378"/>
    <cellStyle name="Normal 5 3 5 2" xfId="5810"/>
    <cellStyle name="Normal 5 3 5 2 2" xfId="10610"/>
    <cellStyle name="Normal 5 3 5 2 2 2" xfId="17602"/>
    <cellStyle name="Normal 5 3 5 2 2 3" xfId="24569"/>
    <cellStyle name="Normal 5 3 5 2 2 4" xfId="31536"/>
    <cellStyle name="Normal 5 3 5 2 2 5" xfId="38505"/>
    <cellStyle name="Normal 5 3 5 2 3" xfId="15282"/>
    <cellStyle name="Normal 5 3 5 2 3 2" xfId="22249"/>
    <cellStyle name="Normal 5 3 5 2 3 3" xfId="29216"/>
    <cellStyle name="Normal 5 3 5 2 3 4" xfId="36185"/>
    <cellStyle name="Normal 5 3 5 2 4" xfId="12960"/>
    <cellStyle name="Normal 5 3 5 2 5" xfId="19927"/>
    <cellStyle name="Normal 5 3 5 2 6" xfId="26894"/>
    <cellStyle name="Normal 5 3 5 2 7" xfId="33862"/>
    <cellStyle name="Normal 5 3 5 3" xfId="9010"/>
    <cellStyle name="Normal 5 3 5 3 2" xfId="16059"/>
    <cellStyle name="Normal 5 3 5 3 3" xfId="23026"/>
    <cellStyle name="Normal 5 3 5 3 4" xfId="29993"/>
    <cellStyle name="Normal 5 3 5 3 5" xfId="36962"/>
    <cellStyle name="Normal 5 3 5 4" xfId="13738"/>
    <cellStyle name="Normal 5 3 5 4 2" xfId="20705"/>
    <cellStyle name="Normal 5 3 5 4 3" xfId="27672"/>
    <cellStyle name="Normal 5 3 5 4 4" xfId="34641"/>
    <cellStyle name="Normal 5 3 5 5" xfId="11416"/>
    <cellStyle name="Normal 5 3 5 6" xfId="18383"/>
    <cellStyle name="Normal 5 3 5 7" xfId="25350"/>
    <cellStyle name="Normal 5 3 5 8" xfId="32318"/>
    <cellStyle name="Normal 5 3 6" xfId="3576"/>
    <cellStyle name="Normal 5 3 6 2" xfId="5811"/>
    <cellStyle name="Normal 5 3 6 2 2" xfId="10611"/>
    <cellStyle name="Normal 5 3 6 2 2 2" xfId="17603"/>
    <cellStyle name="Normal 5 3 6 2 2 3" xfId="24570"/>
    <cellStyle name="Normal 5 3 6 2 2 4" xfId="31537"/>
    <cellStyle name="Normal 5 3 6 2 2 5" xfId="38506"/>
    <cellStyle name="Normal 5 3 6 2 3" xfId="15283"/>
    <cellStyle name="Normal 5 3 6 2 3 2" xfId="22250"/>
    <cellStyle name="Normal 5 3 6 2 3 3" xfId="29217"/>
    <cellStyle name="Normal 5 3 6 2 3 4" xfId="36186"/>
    <cellStyle name="Normal 5 3 6 2 4" xfId="12961"/>
    <cellStyle name="Normal 5 3 6 2 5" xfId="19928"/>
    <cellStyle name="Normal 5 3 6 2 6" xfId="26895"/>
    <cellStyle name="Normal 5 3 6 2 7" xfId="33863"/>
    <cellStyle name="Normal 5 3 6 3" xfId="9188"/>
    <cellStyle name="Normal 5 3 6 3 2" xfId="16227"/>
    <cellStyle name="Normal 5 3 6 3 3" xfId="23194"/>
    <cellStyle name="Normal 5 3 6 3 4" xfId="30161"/>
    <cellStyle name="Normal 5 3 6 3 5" xfId="37130"/>
    <cellStyle name="Normal 5 3 6 4" xfId="13907"/>
    <cellStyle name="Normal 5 3 6 4 2" xfId="20874"/>
    <cellStyle name="Normal 5 3 6 4 3" xfId="27841"/>
    <cellStyle name="Normal 5 3 6 4 4" xfId="34810"/>
    <cellStyle name="Normal 5 3 6 5" xfId="11585"/>
    <cellStyle name="Normal 5 3 6 6" xfId="18552"/>
    <cellStyle name="Normal 5 3 6 7" xfId="25519"/>
    <cellStyle name="Normal 5 3 6 8" xfId="32487"/>
    <cellStyle name="Normal 5 3 7" xfId="3751"/>
    <cellStyle name="Normal 5 3 7 2" xfId="5812"/>
    <cellStyle name="Normal 5 3 7 2 2" xfId="10612"/>
    <cellStyle name="Normal 5 3 7 2 2 2" xfId="17604"/>
    <cellStyle name="Normal 5 3 7 2 2 3" xfId="24571"/>
    <cellStyle name="Normal 5 3 7 2 2 4" xfId="31538"/>
    <cellStyle name="Normal 5 3 7 2 2 5" xfId="38507"/>
    <cellStyle name="Normal 5 3 7 2 3" xfId="15284"/>
    <cellStyle name="Normal 5 3 7 2 3 2" xfId="22251"/>
    <cellStyle name="Normal 5 3 7 2 3 3" xfId="29218"/>
    <cellStyle name="Normal 5 3 7 2 3 4" xfId="36187"/>
    <cellStyle name="Normal 5 3 7 2 4" xfId="12962"/>
    <cellStyle name="Normal 5 3 7 2 5" xfId="19929"/>
    <cellStyle name="Normal 5 3 7 2 6" xfId="26896"/>
    <cellStyle name="Normal 5 3 7 2 7" xfId="33864"/>
    <cellStyle name="Normal 5 3 7 3" xfId="9359"/>
    <cellStyle name="Normal 5 3 7 3 2" xfId="16398"/>
    <cellStyle name="Normal 5 3 7 3 3" xfId="23365"/>
    <cellStyle name="Normal 5 3 7 3 4" xfId="30332"/>
    <cellStyle name="Normal 5 3 7 3 5" xfId="37301"/>
    <cellStyle name="Normal 5 3 7 4" xfId="14078"/>
    <cellStyle name="Normal 5 3 7 4 2" xfId="21045"/>
    <cellStyle name="Normal 5 3 7 4 3" xfId="28012"/>
    <cellStyle name="Normal 5 3 7 4 4" xfId="34981"/>
    <cellStyle name="Normal 5 3 7 5" xfId="11756"/>
    <cellStyle name="Normal 5 3 7 6" xfId="18723"/>
    <cellStyle name="Normal 5 3 7 7" xfId="25690"/>
    <cellStyle name="Normal 5 3 7 8" xfId="32658"/>
    <cellStyle name="Normal 5 3 8" xfId="4029"/>
    <cellStyle name="Normal 5 3 8 2" xfId="5813"/>
    <cellStyle name="Normal 5 3 8 2 2" xfId="10613"/>
    <cellStyle name="Normal 5 3 8 2 2 2" xfId="17605"/>
    <cellStyle name="Normal 5 3 8 2 2 3" xfId="24572"/>
    <cellStyle name="Normal 5 3 8 2 2 4" xfId="31539"/>
    <cellStyle name="Normal 5 3 8 2 2 5" xfId="38508"/>
    <cellStyle name="Normal 5 3 8 2 3" xfId="15285"/>
    <cellStyle name="Normal 5 3 8 2 3 2" xfId="22252"/>
    <cellStyle name="Normal 5 3 8 2 3 3" xfId="29219"/>
    <cellStyle name="Normal 5 3 8 2 3 4" xfId="36188"/>
    <cellStyle name="Normal 5 3 8 2 4" xfId="12963"/>
    <cellStyle name="Normal 5 3 8 2 5" xfId="19930"/>
    <cellStyle name="Normal 5 3 8 2 6" xfId="26897"/>
    <cellStyle name="Normal 5 3 8 2 7" xfId="33865"/>
    <cellStyle name="Normal 5 3 8 3" xfId="9635"/>
    <cellStyle name="Normal 5 3 8 3 2" xfId="16671"/>
    <cellStyle name="Normal 5 3 8 3 3" xfId="23638"/>
    <cellStyle name="Normal 5 3 8 3 4" xfId="30605"/>
    <cellStyle name="Normal 5 3 8 3 5" xfId="37574"/>
    <cellStyle name="Normal 5 3 8 4" xfId="14351"/>
    <cellStyle name="Normal 5 3 8 4 2" xfId="21318"/>
    <cellStyle name="Normal 5 3 8 4 3" xfId="28285"/>
    <cellStyle name="Normal 5 3 8 4 4" xfId="35254"/>
    <cellStyle name="Normal 5 3 8 5" xfId="12029"/>
    <cellStyle name="Normal 5 3 8 6" xfId="18996"/>
    <cellStyle name="Normal 5 3 8 7" xfId="25963"/>
    <cellStyle name="Normal 5 3 8 8" xfId="32931"/>
    <cellStyle name="Normal 5 3 9" xfId="5793"/>
    <cellStyle name="Normal 5 3 9 2" xfId="10594"/>
    <cellStyle name="Normal 5 3 9 2 2" xfId="17586"/>
    <cellStyle name="Normal 5 3 9 2 3" xfId="24553"/>
    <cellStyle name="Normal 5 3 9 2 4" xfId="31520"/>
    <cellStyle name="Normal 5 3 9 2 5" xfId="38489"/>
    <cellStyle name="Normal 5 3 9 3" xfId="15266"/>
    <cellStyle name="Normal 5 3 9 3 2" xfId="22233"/>
    <cellStyle name="Normal 5 3 9 3 3" xfId="29200"/>
    <cellStyle name="Normal 5 3 9 3 4" xfId="36169"/>
    <cellStyle name="Normal 5 3 9 4" xfId="12944"/>
    <cellStyle name="Normal 5 3 9 5" xfId="19911"/>
    <cellStyle name="Normal 5 3 9 6" xfId="26878"/>
    <cellStyle name="Normal 5 3 9 7" xfId="33846"/>
    <cellStyle name="Normal 5 4" xfId="1883"/>
    <cellStyle name="Normal 5 5" xfId="3572"/>
    <cellStyle name="Normal 5 5 2" xfId="5814"/>
    <cellStyle name="Normal 5 5 2 2" xfId="10614"/>
    <cellStyle name="Normal 5 5 2 2 2" xfId="17606"/>
    <cellStyle name="Normal 5 5 2 2 3" xfId="24573"/>
    <cellStyle name="Normal 5 5 2 2 4" xfId="31540"/>
    <cellStyle name="Normal 5 5 2 2 5" xfId="38509"/>
    <cellStyle name="Normal 5 5 2 3" xfId="15286"/>
    <cellStyle name="Normal 5 5 2 3 2" xfId="22253"/>
    <cellStyle name="Normal 5 5 2 3 3" xfId="29220"/>
    <cellStyle name="Normal 5 5 2 3 4" xfId="36189"/>
    <cellStyle name="Normal 5 5 2 4" xfId="12964"/>
    <cellStyle name="Normal 5 5 2 5" xfId="19931"/>
    <cellStyle name="Normal 5 5 2 6" xfId="26898"/>
    <cellStyle name="Normal 5 5 2 7" xfId="33866"/>
    <cellStyle name="Normal 5 5 3" xfId="6952"/>
    <cellStyle name="Normal 5 5 4" xfId="9184"/>
    <cellStyle name="Normal 5 5 4 2" xfId="16223"/>
    <cellStyle name="Normal 5 5 4 2 2" xfId="23190"/>
    <cellStyle name="Normal 5 5 4 2 3" xfId="30157"/>
    <cellStyle name="Normal 5 5 4 2 4" xfId="37126"/>
    <cellStyle name="Normal 5 5 4 3" xfId="11581"/>
    <cellStyle name="Normal 5 5 4 4" xfId="18548"/>
    <cellStyle name="Normal 5 5 4 5" xfId="25515"/>
    <cellStyle name="Normal 5 5 4 6" xfId="32483"/>
    <cellStyle name="Normal 5 5 5" xfId="13903"/>
    <cellStyle name="Normal 5 5 5 2" xfId="20870"/>
    <cellStyle name="Normal 5 5 5 3" xfId="27837"/>
    <cellStyle name="Normal 5 5 5 4" xfId="34806"/>
    <cellStyle name="Normal 5 6" xfId="3747"/>
    <cellStyle name="Normal 5 6 2" xfId="5815"/>
    <cellStyle name="Normal 5 6 2 2" xfId="10615"/>
    <cellStyle name="Normal 5 6 2 2 2" xfId="17607"/>
    <cellStyle name="Normal 5 6 2 2 3" xfId="24574"/>
    <cellStyle name="Normal 5 6 2 2 4" xfId="31541"/>
    <cellStyle name="Normal 5 6 2 2 5" xfId="38510"/>
    <cellStyle name="Normal 5 6 2 3" xfId="15287"/>
    <cellStyle name="Normal 5 6 2 3 2" xfId="22254"/>
    <cellStyle name="Normal 5 6 2 3 3" xfId="29221"/>
    <cellStyle name="Normal 5 6 2 3 4" xfId="36190"/>
    <cellStyle name="Normal 5 6 2 4" xfId="12965"/>
    <cellStyle name="Normal 5 6 2 5" xfId="19932"/>
    <cellStyle name="Normal 5 6 2 6" xfId="26899"/>
    <cellStyle name="Normal 5 6 2 7" xfId="33867"/>
    <cellStyle name="Normal 5 6 3" xfId="6953"/>
    <cellStyle name="Normal 5 6 4" xfId="9355"/>
    <cellStyle name="Normal 5 6 4 2" xfId="16394"/>
    <cellStyle name="Normal 5 6 4 2 2" xfId="23361"/>
    <cellStyle name="Normal 5 6 4 2 3" xfId="30328"/>
    <cellStyle name="Normal 5 6 4 2 4" xfId="37297"/>
    <cellStyle name="Normal 5 6 4 3" xfId="11752"/>
    <cellStyle name="Normal 5 6 4 4" xfId="18719"/>
    <cellStyle name="Normal 5 6 4 5" xfId="25686"/>
    <cellStyle name="Normal 5 6 4 6" xfId="32654"/>
    <cellStyle name="Normal 5 6 5" xfId="14074"/>
    <cellStyle name="Normal 5 6 5 2" xfId="21041"/>
    <cellStyle name="Normal 5 6 5 3" xfId="28008"/>
    <cellStyle name="Normal 5 6 5 4" xfId="34977"/>
    <cellStyle name="Normal 5 7" xfId="4025"/>
    <cellStyle name="Normal 5 7 2" xfId="5816"/>
    <cellStyle name="Normal 5 7 2 2" xfId="10616"/>
    <cellStyle name="Normal 5 7 2 2 2" xfId="17608"/>
    <cellStyle name="Normal 5 7 2 2 3" xfId="24575"/>
    <cellStyle name="Normal 5 7 2 2 4" xfId="31542"/>
    <cellStyle name="Normal 5 7 2 2 5" xfId="38511"/>
    <cellStyle name="Normal 5 7 2 3" xfId="15288"/>
    <cellStyle name="Normal 5 7 2 3 2" xfId="22255"/>
    <cellStyle name="Normal 5 7 2 3 3" xfId="29222"/>
    <cellStyle name="Normal 5 7 2 3 4" xfId="36191"/>
    <cellStyle name="Normal 5 7 2 4" xfId="12966"/>
    <cellStyle name="Normal 5 7 2 5" xfId="19933"/>
    <cellStyle name="Normal 5 7 2 6" xfId="26900"/>
    <cellStyle name="Normal 5 7 2 7" xfId="33868"/>
    <cellStyle name="Normal 5 7 3" xfId="9631"/>
    <cellStyle name="Normal 5 7 3 2" xfId="16667"/>
    <cellStyle name="Normal 5 7 3 3" xfId="23634"/>
    <cellStyle name="Normal 5 7 3 4" xfId="30601"/>
    <cellStyle name="Normal 5 7 3 5" xfId="37570"/>
    <cellStyle name="Normal 5 7 4" xfId="14347"/>
    <cellStyle name="Normal 5 7 4 2" xfId="21314"/>
    <cellStyle name="Normal 5 7 4 3" xfId="28281"/>
    <cellStyle name="Normal 5 7 4 4" xfId="35250"/>
    <cellStyle name="Normal 5 7 5" xfId="12025"/>
    <cellStyle name="Normal 5 7 6" xfId="18992"/>
    <cellStyle name="Normal 5 7 7" xfId="25959"/>
    <cellStyle name="Normal 5 7 8" xfId="32927"/>
    <cellStyle name="Normal 5 8" xfId="5775"/>
    <cellStyle name="Normal 5 8 2" xfId="10577"/>
    <cellStyle name="Normal 5 8 2 2" xfId="17570"/>
    <cellStyle name="Normal 5 8 2 3" xfId="24537"/>
    <cellStyle name="Normal 5 8 2 4" xfId="31504"/>
    <cellStyle name="Normal 5 8 2 5" xfId="38473"/>
    <cellStyle name="Normal 5 8 3" xfId="15250"/>
    <cellStyle name="Normal 5 8 3 2" xfId="22217"/>
    <cellStyle name="Normal 5 8 3 3" xfId="29184"/>
    <cellStyle name="Normal 5 8 3 4" xfId="36153"/>
    <cellStyle name="Normal 5 8 4" xfId="12928"/>
    <cellStyle name="Normal 5 8 5" xfId="19895"/>
    <cellStyle name="Normal 5 8 6" xfId="26862"/>
    <cellStyle name="Normal 5 8 7" xfId="33830"/>
    <cellStyle name="Normal 5 9" xfId="13734"/>
    <cellStyle name="Normal 5 9 2" xfId="20701"/>
    <cellStyle name="Normal 5 9 3" xfId="27668"/>
    <cellStyle name="Normal 5 9 4" xfId="34637"/>
    <cellStyle name="Normal 50" xfId="1884"/>
    <cellStyle name="Normal 50 2" xfId="1885"/>
    <cellStyle name="Normal 50 3" xfId="1886"/>
    <cellStyle name="Normal 51" xfId="1887"/>
    <cellStyle name="Normal 51 2" xfId="1888"/>
    <cellStyle name="Normal 51 3" xfId="1889"/>
    <cellStyle name="Normal 52" xfId="1890"/>
    <cellStyle name="Normal 52 2" xfId="1891"/>
    <cellStyle name="Normal 52 3" xfId="1892"/>
    <cellStyle name="Normal 53" xfId="1893"/>
    <cellStyle name="Normal 53 2" xfId="1894"/>
    <cellStyle name="Normal 53 3" xfId="1895"/>
    <cellStyle name="Normal 54" xfId="1896"/>
    <cellStyle name="Normal 54 2" xfId="1897"/>
    <cellStyle name="Normal 54 3" xfId="1898"/>
    <cellStyle name="Normal 55" xfId="1899"/>
    <cellStyle name="Normal 55 2" xfId="1900"/>
    <cellStyle name="Normal 55 3" xfId="1901"/>
    <cellStyle name="Normal 56" xfId="1902"/>
    <cellStyle name="Normal 56 2" xfId="1903"/>
    <cellStyle name="Normal 56 3" xfId="1904"/>
    <cellStyle name="Normal 57" xfId="1905"/>
    <cellStyle name="Normal 57 2" xfId="1906"/>
    <cellStyle name="Normal 57 3" xfId="1907"/>
    <cellStyle name="Normal 58" xfId="1908"/>
    <cellStyle name="Normal 58 2" xfId="1909"/>
    <cellStyle name="Normal 58 3" xfId="1910"/>
    <cellStyle name="Normal 59" xfId="1911"/>
    <cellStyle name="Normal 59 2" xfId="1912"/>
    <cellStyle name="Normal 59 3" xfId="1913"/>
    <cellStyle name="Normal 6" xfId="3382"/>
    <cellStyle name="Normal 6 10" xfId="13742"/>
    <cellStyle name="Normal 6 10 2" xfId="20709"/>
    <cellStyle name="Normal 6 10 3" xfId="27676"/>
    <cellStyle name="Normal 6 10 4" xfId="34645"/>
    <cellStyle name="Normal 6 11" xfId="11420"/>
    <cellStyle name="Normal 6 12" xfId="18387"/>
    <cellStyle name="Normal 6 13" xfId="25354"/>
    <cellStyle name="Normal 6 14" xfId="32322"/>
    <cellStyle name="Normal 6 2" xfId="1914"/>
    <cellStyle name="Normal 6 2 10" xfId="11080"/>
    <cellStyle name="Normal 6 2 11" xfId="18046"/>
    <cellStyle name="Normal 6 2 12" xfId="25014"/>
    <cellStyle name="Normal 6 2 13" xfId="31982"/>
    <cellStyle name="Normal 6 2 2" xfId="1915"/>
    <cellStyle name="Normal 6 2 3" xfId="1916"/>
    <cellStyle name="Normal 6 2 3 10" xfId="8165"/>
    <cellStyle name="Normal 6 2 3 10 2" xfId="15896"/>
    <cellStyle name="Normal 6 2 3 10 2 2" xfId="22863"/>
    <cellStyle name="Normal 6 2 3 10 2 3" xfId="29830"/>
    <cellStyle name="Normal 6 2 3 10 2 4" xfId="36799"/>
    <cellStyle name="Normal 6 2 3 10 3" xfId="11252"/>
    <cellStyle name="Normal 6 2 3 10 4" xfId="18219"/>
    <cellStyle name="Normal 6 2 3 10 5" xfId="25186"/>
    <cellStyle name="Normal 6 2 3 10 6" xfId="32154"/>
    <cellStyle name="Normal 6 2 3 11" xfId="13574"/>
    <cellStyle name="Normal 6 2 3 11 2" xfId="20541"/>
    <cellStyle name="Normal 6 2 3 11 3" xfId="27508"/>
    <cellStyle name="Normal 6 2 3 11 4" xfId="34477"/>
    <cellStyle name="Normal 6 2 3 12" xfId="11081"/>
    <cellStyle name="Normal 6 2 3 13" xfId="18047"/>
    <cellStyle name="Normal 6 2 3 14" xfId="25015"/>
    <cellStyle name="Normal 6 2 3 15" xfId="31983"/>
    <cellStyle name="Normal 6 2 3 2" xfId="1917"/>
    <cellStyle name="Normal 6 2 3 2 10" xfId="13575"/>
    <cellStyle name="Normal 6 2 3 2 10 2" xfId="20542"/>
    <cellStyle name="Normal 6 2 3 2 10 3" xfId="27509"/>
    <cellStyle name="Normal 6 2 3 2 10 4" xfId="34478"/>
    <cellStyle name="Normal 6 2 3 2 11" xfId="11082"/>
    <cellStyle name="Normal 6 2 3 2 12" xfId="18048"/>
    <cellStyle name="Normal 6 2 3 2 13" xfId="25016"/>
    <cellStyle name="Normal 6 2 3 2 14" xfId="31984"/>
    <cellStyle name="Normal 6 2 3 2 2" xfId="3384"/>
    <cellStyle name="Normal 6 2 3 2 2 2" xfId="5820"/>
    <cellStyle name="Normal 6 2 3 2 2 2 2" xfId="10620"/>
    <cellStyle name="Normal 6 2 3 2 2 2 2 2" xfId="17612"/>
    <cellStyle name="Normal 6 2 3 2 2 2 2 3" xfId="24579"/>
    <cellStyle name="Normal 6 2 3 2 2 2 2 4" xfId="31546"/>
    <cellStyle name="Normal 6 2 3 2 2 2 2 5" xfId="38515"/>
    <cellStyle name="Normal 6 2 3 2 2 2 3" xfId="15292"/>
    <cellStyle name="Normal 6 2 3 2 2 2 3 2" xfId="22259"/>
    <cellStyle name="Normal 6 2 3 2 2 2 3 3" xfId="29226"/>
    <cellStyle name="Normal 6 2 3 2 2 2 3 4" xfId="36195"/>
    <cellStyle name="Normal 6 2 3 2 2 2 4" xfId="12970"/>
    <cellStyle name="Normal 6 2 3 2 2 2 5" xfId="19937"/>
    <cellStyle name="Normal 6 2 3 2 2 2 6" xfId="26904"/>
    <cellStyle name="Normal 6 2 3 2 2 2 7" xfId="33872"/>
    <cellStyle name="Normal 6 2 3 2 2 3" xfId="9015"/>
    <cellStyle name="Normal 6 2 3 2 2 3 2" xfId="16064"/>
    <cellStyle name="Normal 6 2 3 2 2 3 3" xfId="23031"/>
    <cellStyle name="Normal 6 2 3 2 2 3 4" xfId="29998"/>
    <cellStyle name="Normal 6 2 3 2 2 3 5" xfId="36967"/>
    <cellStyle name="Normal 6 2 3 2 2 4" xfId="13744"/>
    <cellStyle name="Normal 6 2 3 2 2 4 2" xfId="20711"/>
    <cellStyle name="Normal 6 2 3 2 2 4 3" xfId="27678"/>
    <cellStyle name="Normal 6 2 3 2 2 4 4" xfId="34647"/>
    <cellStyle name="Normal 6 2 3 2 2 5" xfId="11422"/>
    <cellStyle name="Normal 6 2 3 2 2 6" xfId="18389"/>
    <cellStyle name="Normal 6 2 3 2 2 7" xfId="25356"/>
    <cellStyle name="Normal 6 2 3 2 2 8" xfId="32324"/>
    <cellStyle name="Normal 6 2 3 2 3" xfId="3582"/>
    <cellStyle name="Normal 6 2 3 2 3 2" xfId="5821"/>
    <cellStyle name="Normal 6 2 3 2 3 2 2" xfId="10621"/>
    <cellStyle name="Normal 6 2 3 2 3 2 2 2" xfId="17613"/>
    <cellStyle name="Normal 6 2 3 2 3 2 2 3" xfId="24580"/>
    <cellStyle name="Normal 6 2 3 2 3 2 2 4" xfId="31547"/>
    <cellStyle name="Normal 6 2 3 2 3 2 2 5" xfId="38516"/>
    <cellStyle name="Normal 6 2 3 2 3 2 3" xfId="15293"/>
    <cellStyle name="Normal 6 2 3 2 3 2 3 2" xfId="22260"/>
    <cellStyle name="Normal 6 2 3 2 3 2 3 3" xfId="29227"/>
    <cellStyle name="Normal 6 2 3 2 3 2 3 4" xfId="36196"/>
    <cellStyle name="Normal 6 2 3 2 3 2 4" xfId="12971"/>
    <cellStyle name="Normal 6 2 3 2 3 2 5" xfId="19938"/>
    <cellStyle name="Normal 6 2 3 2 3 2 6" xfId="26905"/>
    <cellStyle name="Normal 6 2 3 2 3 2 7" xfId="33873"/>
    <cellStyle name="Normal 6 2 3 2 3 3" xfId="9194"/>
    <cellStyle name="Normal 6 2 3 2 3 3 2" xfId="16233"/>
    <cellStyle name="Normal 6 2 3 2 3 3 3" xfId="23200"/>
    <cellStyle name="Normal 6 2 3 2 3 3 4" xfId="30167"/>
    <cellStyle name="Normal 6 2 3 2 3 3 5" xfId="37136"/>
    <cellStyle name="Normal 6 2 3 2 3 4" xfId="13913"/>
    <cellStyle name="Normal 6 2 3 2 3 4 2" xfId="20880"/>
    <cellStyle name="Normal 6 2 3 2 3 4 3" xfId="27847"/>
    <cellStyle name="Normal 6 2 3 2 3 4 4" xfId="34816"/>
    <cellStyle name="Normal 6 2 3 2 3 5" xfId="11591"/>
    <cellStyle name="Normal 6 2 3 2 3 6" xfId="18558"/>
    <cellStyle name="Normal 6 2 3 2 3 7" xfId="25525"/>
    <cellStyle name="Normal 6 2 3 2 3 8" xfId="32493"/>
    <cellStyle name="Normal 6 2 3 2 4" xfId="3757"/>
    <cellStyle name="Normal 6 2 3 2 4 2" xfId="5822"/>
    <cellStyle name="Normal 6 2 3 2 4 2 2" xfId="10622"/>
    <cellStyle name="Normal 6 2 3 2 4 2 2 2" xfId="17614"/>
    <cellStyle name="Normal 6 2 3 2 4 2 2 3" xfId="24581"/>
    <cellStyle name="Normal 6 2 3 2 4 2 2 4" xfId="31548"/>
    <cellStyle name="Normal 6 2 3 2 4 2 2 5" xfId="38517"/>
    <cellStyle name="Normal 6 2 3 2 4 2 3" xfId="15294"/>
    <cellStyle name="Normal 6 2 3 2 4 2 3 2" xfId="22261"/>
    <cellStyle name="Normal 6 2 3 2 4 2 3 3" xfId="29228"/>
    <cellStyle name="Normal 6 2 3 2 4 2 3 4" xfId="36197"/>
    <cellStyle name="Normal 6 2 3 2 4 2 4" xfId="12972"/>
    <cellStyle name="Normal 6 2 3 2 4 2 5" xfId="19939"/>
    <cellStyle name="Normal 6 2 3 2 4 2 6" xfId="26906"/>
    <cellStyle name="Normal 6 2 3 2 4 2 7" xfId="33874"/>
    <cellStyle name="Normal 6 2 3 2 4 3" xfId="9365"/>
    <cellStyle name="Normal 6 2 3 2 4 3 2" xfId="16404"/>
    <cellStyle name="Normal 6 2 3 2 4 3 3" xfId="23371"/>
    <cellStyle name="Normal 6 2 3 2 4 3 4" xfId="30338"/>
    <cellStyle name="Normal 6 2 3 2 4 3 5" xfId="37307"/>
    <cellStyle name="Normal 6 2 3 2 4 4" xfId="14084"/>
    <cellStyle name="Normal 6 2 3 2 4 4 2" xfId="21051"/>
    <cellStyle name="Normal 6 2 3 2 4 4 3" xfId="28018"/>
    <cellStyle name="Normal 6 2 3 2 4 4 4" xfId="34987"/>
    <cellStyle name="Normal 6 2 3 2 4 5" xfId="11762"/>
    <cellStyle name="Normal 6 2 3 2 4 6" xfId="18729"/>
    <cellStyle name="Normal 6 2 3 2 4 7" xfId="25696"/>
    <cellStyle name="Normal 6 2 3 2 4 8" xfId="32664"/>
    <cellStyle name="Normal 6 2 3 2 5" xfId="4035"/>
    <cellStyle name="Normal 6 2 3 2 5 2" xfId="5823"/>
    <cellStyle name="Normal 6 2 3 2 5 2 2" xfId="10623"/>
    <cellStyle name="Normal 6 2 3 2 5 2 2 2" xfId="17615"/>
    <cellStyle name="Normal 6 2 3 2 5 2 2 3" xfId="24582"/>
    <cellStyle name="Normal 6 2 3 2 5 2 2 4" xfId="31549"/>
    <cellStyle name="Normal 6 2 3 2 5 2 2 5" xfId="38518"/>
    <cellStyle name="Normal 6 2 3 2 5 2 3" xfId="15295"/>
    <cellStyle name="Normal 6 2 3 2 5 2 3 2" xfId="22262"/>
    <cellStyle name="Normal 6 2 3 2 5 2 3 3" xfId="29229"/>
    <cellStyle name="Normal 6 2 3 2 5 2 3 4" xfId="36198"/>
    <cellStyle name="Normal 6 2 3 2 5 2 4" xfId="12973"/>
    <cellStyle name="Normal 6 2 3 2 5 2 5" xfId="19940"/>
    <cellStyle name="Normal 6 2 3 2 5 2 6" xfId="26907"/>
    <cellStyle name="Normal 6 2 3 2 5 2 7" xfId="33875"/>
    <cellStyle name="Normal 6 2 3 2 5 3" xfId="9641"/>
    <cellStyle name="Normal 6 2 3 2 5 3 2" xfId="16677"/>
    <cellStyle name="Normal 6 2 3 2 5 3 3" xfId="23644"/>
    <cellStyle name="Normal 6 2 3 2 5 3 4" xfId="30611"/>
    <cellStyle name="Normal 6 2 3 2 5 3 5" xfId="37580"/>
    <cellStyle name="Normal 6 2 3 2 5 4" xfId="14357"/>
    <cellStyle name="Normal 6 2 3 2 5 4 2" xfId="21324"/>
    <cellStyle name="Normal 6 2 3 2 5 4 3" xfId="28291"/>
    <cellStyle name="Normal 6 2 3 2 5 4 4" xfId="35260"/>
    <cellStyle name="Normal 6 2 3 2 5 5" xfId="12035"/>
    <cellStyle name="Normal 6 2 3 2 5 6" xfId="19002"/>
    <cellStyle name="Normal 6 2 3 2 5 7" xfId="25969"/>
    <cellStyle name="Normal 6 2 3 2 5 8" xfId="32937"/>
    <cellStyle name="Normal 6 2 3 2 6" xfId="5819"/>
    <cellStyle name="Normal 6 2 3 2 6 2" xfId="10619"/>
    <cellStyle name="Normal 6 2 3 2 6 2 2" xfId="17611"/>
    <cellStyle name="Normal 6 2 3 2 6 2 3" xfId="24578"/>
    <cellStyle name="Normal 6 2 3 2 6 2 4" xfId="31545"/>
    <cellStyle name="Normal 6 2 3 2 6 2 5" xfId="38514"/>
    <cellStyle name="Normal 6 2 3 2 6 3" xfId="15291"/>
    <cellStyle name="Normal 6 2 3 2 6 3 2" xfId="22258"/>
    <cellStyle name="Normal 6 2 3 2 6 3 3" xfId="29225"/>
    <cellStyle name="Normal 6 2 3 2 6 3 4" xfId="36194"/>
    <cellStyle name="Normal 6 2 3 2 6 4" xfId="12969"/>
    <cellStyle name="Normal 6 2 3 2 6 5" xfId="19936"/>
    <cellStyle name="Normal 6 2 3 2 6 6" xfId="26903"/>
    <cellStyle name="Normal 6 2 3 2 6 7" xfId="33871"/>
    <cellStyle name="Normal 6 2 3 2 7" xfId="6956"/>
    <cellStyle name="Normal 6 2 3 2 7 2" xfId="10907"/>
    <cellStyle name="Normal 6 2 3 2 7 2 2" xfId="17873"/>
    <cellStyle name="Normal 6 2 3 2 7 2 3" xfId="24840"/>
    <cellStyle name="Normal 6 2 3 2 7 2 4" xfId="31807"/>
    <cellStyle name="Normal 6 2 3 2 7 2 5" xfId="38776"/>
    <cellStyle name="Normal 6 2 3 2 7 3" xfId="15553"/>
    <cellStyle name="Normal 6 2 3 2 7 3 2" xfId="22520"/>
    <cellStyle name="Normal 6 2 3 2 7 3 3" xfId="29487"/>
    <cellStyle name="Normal 6 2 3 2 7 3 4" xfId="36456"/>
    <cellStyle name="Normal 6 2 3 2 7 4" xfId="13231"/>
    <cellStyle name="Normal 6 2 3 2 7 5" xfId="20198"/>
    <cellStyle name="Normal 6 2 3 2 7 6" xfId="27165"/>
    <cellStyle name="Normal 6 2 3 2 7 7" xfId="34134"/>
    <cellStyle name="Normal 6 2 3 2 8" xfId="7242"/>
    <cellStyle name="Normal 6 2 3 2 8 2" xfId="15726"/>
    <cellStyle name="Normal 6 2 3 2 8 2 2" xfId="22693"/>
    <cellStyle name="Normal 6 2 3 2 8 2 3" xfId="29660"/>
    <cellStyle name="Normal 6 2 3 2 8 2 4" xfId="36629"/>
    <cellStyle name="Normal 6 2 3 2 8 3" xfId="13404"/>
    <cellStyle name="Normal 6 2 3 2 8 4" xfId="20371"/>
    <cellStyle name="Normal 6 2 3 2 8 5" xfId="27338"/>
    <cellStyle name="Normal 6 2 3 2 8 6" xfId="34307"/>
    <cellStyle name="Normal 6 2 3 2 9" xfId="8166"/>
    <cellStyle name="Normal 6 2 3 2 9 2" xfId="15897"/>
    <cellStyle name="Normal 6 2 3 2 9 2 2" xfId="22864"/>
    <cellStyle name="Normal 6 2 3 2 9 2 3" xfId="29831"/>
    <cellStyle name="Normal 6 2 3 2 9 2 4" xfId="36800"/>
    <cellStyle name="Normal 6 2 3 2 9 3" xfId="11253"/>
    <cellStyle name="Normal 6 2 3 2 9 4" xfId="18220"/>
    <cellStyle name="Normal 6 2 3 2 9 5" xfId="25187"/>
    <cellStyle name="Normal 6 2 3 2 9 6" xfId="32155"/>
    <cellStyle name="Normal 6 2 3 3" xfId="3383"/>
    <cellStyle name="Normal 6 2 3 3 2" xfId="5824"/>
    <cellStyle name="Normal 6 2 3 3 2 2" xfId="10624"/>
    <cellStyle name="Normal 6 2 3 3 2 2 2" xfId="17616"/>
    <cellStyle name="Normal 6 2 3 3 2 2 3" xfId="24583"/>
    <cellStyle name="Normal 6 2 3 3 2 2 4" xfId="31550"/>
    <cellStyle name="Normal 6 2 3 3 2 2 5" xfId="38519"/>
    <cellStyle name="Normal 6 2 3 3 2 3" xfId="15296"/>
    <cellStyle name="Normal 6 2 3 3 2 3 2" xfId="22263"/>
    <cellStyle name="Normal 6 2 3 3 2 3 3" xfId="29230"/>
    <cellStyle name="Normal 6 2 3 3 2 3 4" xfId="36199"/>
    <cellStyle name="Normal 6 2 3 3 2 4" xfId="12974"/>
    <cellStyle name="Normal 6 2 3 3 2 5" xfId="19941"/>
    <cellStyle name="Normal 6 2 3 3 2 6" xfId="26908"/>
    <cellStyle name="Normal 6 2 3 3 2 7" xfId="33876"/>
    <cellStyle name="Normal 6 2 3 3 3" xfId="9014"/>
    <cellStyle name="Normal 6 2 3 3 3 2" xfId="16063"/>
    <cellStyle name="Normal 6 2 3 3 3 3" xfId="23030"/>
    <cellStyle name="Normal 6 2 3 3 3 4" xfId="29997"/>
    <cellStyle name="Normal 6 2 3 3 3 5" xfId="36966"/>
    <cellStyle name="Normal 6 2 3 3 4" xfId="13743"/>
    <cellStyle name="Normal 6 2 3 3 4 2" xfId="20710"/>
    <cellStyle name="Normal 6 2 3 3 4 3" xfId="27677"/>
    <cellStyle name="Normal 6 2 3 3 4 4" xfId="34646"/>
    <cellStyle name="Normal 6 2 3 3 5" xfId="11421"/>
    <cellStyle name="Normal 6 2 3 3 6" xfId="18388"/>
    <cellStyle name="Normal 6 2 3 3 7" xfId="25355"/>
    <cellStyle name="Normal 6 2 3 3 8" xfId="32323"/>
    <cellStyle name="Normal 6 2 3 4" xfId="3581"/>
    <cellStyle name="Normal 6 2 3 4 2" xfId="5825"/>
    <cellStyle name="Normal 6 2 3 4 2 2" xfId="10625"/>
    <cellStyle name="Normal 6 2 3 4 2 2 2" xfId="17617"/>
    <cellStyle name="Normal 6 2 3 4 2 2 3" xfId="24584"/>
    <cellStyle name="Normal 6 2 3 4 2 2 4" xfId="31551"/>
    <cellStyle name="Normal 6 2 3 4 2 2 5" xfId="38520"/>
    <cellStyle name="Normal 6 2 3 4 2 3" xfId="15297"/>
    <cellStyle name="Normal 6 2 3 4 2 3 2" xfId="22264"/>
    <cellStyle name="Normal 6 2 3 4 2 3 3" xfId="29231"/>
    <cellStyle name="Normal 6 2 3 4 2 3 4" xfId="36200"/>
    <cellStyle name="Normal 6 2 3 4 2 4" xfId="12975"/>
    <cellStyle name="Normal 6 2 3 4 2 5" xfId="19942"/>
    <cellStyle name="Normal 6 2 3 4 2 6" xfId="26909"/>
    <cellStyle name="Normal 6 2 3 4 2 7" xfId="33877"/>
    <cellStyle name="Normal 6 2 3 4 3" xfId="9193"/>
    <cellStyle name="Normal 6 2 3 4 3 2" xfId="16232"/>
    <cellStyle name="Normal 6 2 3 4 3 3" xfId="23199"/>
    <cellStyle name="Normal 6 2 3 4 3 4" xfId="30166"/>
    <cellStyle name="Normal 6 2 3 4 3 5" xfId="37135"/>
    <cellStyle name="Normal 6 2 3 4 4" xfId="13912"/>
    <cellStyle name="Normal 6 2 3 4 4 2" xfId="20879"/>
    <cellStyle name="Normal 6 2 3 4 4 3" xfId="27846"/>
    <cellStyle name="Normal 6 2 3 4 4 4" xfId="34815"/>
    <cellStyle name="Normal 6 2 3 4 5" xfId="11590"/>
    <cellStyle name="Normal 6 2 3 4 6" xfId="18557"/>
    <cellStyle name="Normal 6 2 3 4 7" xfId="25524"/>
    <cellStyle name="Normal 6 2 3 4 8" xfId="32492"/>
    <cellStyle name="Normal 6 2 3 5" xfId="3756"/>
    <cellStyle name="Normal 6 2 3 5 2" xfId="5826"/>
    <cellStyle name="Normal 6 2 3 5 2 2" xfId="10626"/>
    <cellStyle name="Normal 6 2 3 5 2 2 2" xfId="17618"/>
    <cellStyle name="Normal 6 2 3 5 2 2 3" xfId="24585"/>
    <cellStyle name="Normal 6 2 3 5 2 2 4" xfId="31552"/>
    <cellStyle name="Normal 6 2 3 5 2 2 5" xfId="38521"/>
    <cellStyle name="Normal 6 2 3 5 2 3" xfId="15298"/>
    <cellStyle name="Normal 6 2 3 5 2 3 2" xfId="22265"/>
    <cellStyle name="Normal 6 2 3 5 2 3 3" xfId="29232"/>
    <cellStyle name="Normal 6 2 3 5 2 3 4" xfId="36201"/>
    <cellStyle name="Normal 6 2 3 5 2 4" xfId="12976"/>
    <cellStyle name="Normal 6 2 3 5 2 5" xfId="19943"/>
    <cellStyle name="Normal 6 2 3 5 2 6" xfId="26910"/>
    <cellStyle name="Normal 6 2 3 5 2 7" xfId="33878"/>
    <cellStyle name="Normal 6 2 3 5 3" xfId="9364"/>
    <cellStyle name="Normal 6 2 3 5 3 2" xfId="16403"/>
    <cellStyle name="Normal 6 2 3 5 3 3" xfId="23370"/>
    <cellStyle name="Normal 6 2 3 5 3 4" xfId="30337"/>
    <cellStyle name="Normal 6 2 3 5 3 5" xfId="37306"/>
    <cellStyle name="Normal 6 2 3 5 4" xfId="14083"/>
    <cellStyle name="Normal 6 2 3 5 4 2" xfId="21050"/>
    <cellStyle name="Normal 6 2 3 5 4 3" xfId="28017"/>
    <cellStyle name="Normal 6 2 3 5 4 4" xfId="34986"/>
    <cellStyle name="Normal 6 2 3 5 5" xfId="11761"/>
    <cellStyle name="Normal 6 2 3 5 6" xfId="18728"/>
    <cellStyle name="Normal 6 2 3 5 7" xfId="25695"/>
    <cellStyle name="Normal 6 2 3 5 8" xfId="32663"/>
    <cellStyle name="Normal 6 2 3 6" xfId="4034"/>
    <cellStyle name="Normal 6 2 3 6 2" xfId="5827"/>
    <cellStyle name="Normal 6 2 3 6 2 2" xfId="10627"/>
    <cellStyle name="Normal 6 2 3 6 2 2 2" xfId="17619"/>
    <cellStyle name="Normal 6 2 3 6 2 2 3" xfId="24586"/>
    <cellStyle name="Normal 6 2 3 6 2 2 4" xfId="31553"/>
    <cellStyle name="Normal 6 2 3 6 2 2 5" xfId="38522"/>
    <cellStyle name="Normal 6 2 3 6 2 3" xfId="15299"/>
    <cellStyle name="Normal 6 2 3 6 2 3 2" xfId="22266"/>
    <cellStyle name="Normal 6 2 3 6 2 3 3" xfId="29233"/>
    <cellStyle name="Normal 6 2 3 6 2 3 4" xfId="36202"/>
    <cellStyle name="Normal 6 2 3 6 2 4" xfId="12977"/>
    <cellStyle name="Normal 6 2 3 6 2 5" xfId="19944"/>
    <cellStyle name="Normal 6 2 3 6 2 6" xfId="26911"/>
    <cellStyle name="Normal 6 2 3 6 2 7" xfId="33879"/>
    <cellStyle name="Normal 6 2 3 6 3" xfId="9640"/>
    <cellStyle name="Normal 6 2 3 6 3 2" xfId="16676"/>
    <cellStyle name="Normal 6 2 3 6 3 3" xfId="23643"/>
    <cellStyle name="Normal 6 2 3 6 3 4" xfId="30610"/>
    <cellStyle name="Normal 6 2 3 6 3 5" xfId="37579"/>
    <cellStyle name="Normal 6 2 3 6 4" xfId="14356"/>
    <cellStyle name="Normal 6 2 3 6 4 2" xfId="21323"/>
    <cellStyle name="Normal 6 2 3 6 4 3" xfId="28290"/>
    <cellStyle name="Normal 6 2 3 6 4 4" xfId="35259"/>
    <cellStyle name="Normal 6 2 3 6 5" xfId="12034"/>
    <cellStyle name="Normal 6 2 3 6 6" xfId="19001"/>
    <cellStyle name="Normal 6 2 3 6 7" xfId="25968"/>
    <cellStyle name="Normal 6 2 3 6 8" xfId="32936"/>
    <cellStyle name="Normal 6 2 3 7" xfId="5818"/>
    <cellStyle name="Normal 6 2 3 7 2" xfId="10618"/>
    <cellStyle name="Normal 6 2 3 7 2 2" xfId="17610"/>
    <cellStyle name="Normal 6 2 3 7 2 3" xfId="24577"/>
    <cellStyle name="Normal 6 2 3 7 2 4" xfId="31544"/>
    <cellStyle name="Normal 6 2 3 7 2 5" xfId="38513"/>
    <cellStyle name="Normal 6 2 3 7 3" xfId="15290"/>
    <cellStyle name="Normal 6 2 3 7 3 2" xfId="22257"/>
    <cellStyle name="Normal 6 2 3 7 3 3" xfId="29224"/>
    <cellStyle name="Normal 6 2 3 7 3 4" xfId="36193"/>
    <cellStyle name="Normal 6 2 3 7 4" xfId="12968"/>
    <cellStyle name="Normal 6 2 3 7 5" xfId="19935"/>
    <cellStyle name="Normal 6 2 3 7 6" xfId="26902"/>
    <cellStyle name="Normal 6 2 3 7 7" xfId="33870"/>
    <cellStyle name="Normal 6 2 3 8" xfId="6955"/>
    <cellStyle name="Normal 6 2 3 8 2" xfId="10906"/>
    <cellStyle name="Normal 6 2 3 8 2 2" xfId="17872"/>
    <cellStyle name="Normal 6 2 3 8 2 3" xfId="24839"/>
    <cellStyle name="Normal 6 2 3 8 2 4" xfId="31806"/>
    <cellStyle name="Normal 6 2 3 8 2 5" xfId="38775"/>
    <cellStyle name="Normal 6 2 3 8 3" xfId="15552"/>
    <cellStyle name="Normal 6 2 3 8 3 2" xfId="22519"/>
    <cellStyle name="Normal 6 2 3 8 3 3" xfId="29486"/>
    <cellStyle name="Normal 6 2 3 8 3 4" xfId="36455"/>
    <cellStyle name="Normal 6 2 3 8 4" xfId="13230"/>
    <cellStyle name="Normal 6 2 3 8 5" xfId="20197"/>
    <cellStyle name="Normal 6 2 3 8 6" xfId="27164"/>
    <cellStyle name="Normal 6 2 3 8 7" xfId="34133"/>
    <cellStyle name="Normal 6 2 3 9" xfId="7241"/>
    <cellStyle name="Normal 6 2 3 9 2" xfId="15725"/>
    <cellStyle name="Normal 6 2 3 9 2 2" xfId="22692"/>
    <cellStyle name="Normal 6 2 3 9 2 3" xfId="29659"/>
    <cellStyle name="Normal 6 2 3 9 2 4" xfId="36628"/>
    <cellStyle name="Normal 6 2 3 9 3" xfId="13403"/>
    <cellStyle name="Normal 6 2 3 9 4" xfId="20370"/>
    <cellStyle name="Normal 6 2 3 9 5" xfId="27337"/>
    <cellStyle name="Normal 6 2 3 9 6" xfId="34306"/>
    <cellStyle name="Normal 6 2 4" xfId="1918"/>
    <cellStyle name="Normal 6 2 4 10" xfId="13576"/>
    <cellStyle name="Normal 6 2 4 10 2" xfId="20543"/>
    <cellStyle name="Normal 6 2 4 10 3" xfId="27510"/>
    <cellStyle name="Normal 6 2 4 10 4" xfId="34479"/>
    <cellStyle name="Normal 6 2 4 11" xfId="11083"/>
    <cellStyle name="Normal 6 2 4 12" xfId="18049"/>
    <cellStyle name="Normal 6 2 4 13" xfId="25017"/>
    <cellStyle name="Normal 6 2 4 14" xfId="31985"/>
    <cellStyle name="Normal 6 2 4 2" xfId="3385"/>
    <cellStyle name="Normal 6 2 4 2 2" xfId="5829"/>
    <cellStyle name="Normal 6 2 4 2 2 2" xfId="10629"/>
    <cellStyle name="Normal 6 2 4 2 2 2 2" xfId="17621"/>
    <cellStyle name="Normal 6 2 4 2 2 2 3" xfId="24588"/>
    <cellStyle name="Normal 6 2 4 2 2 2 4" xfId="31555"/>
    <cellStyle name="Normal 6 2 4 2 2 2 5" xfId="38524"/>
    <cellStyle name="Normal 6 2 4 2 2 3" xfId="15301"/>
    <cellStyle name="Normal 6 2 4 2 2 3 2" xfId="22268"/>
    <cellStyle name="Normal 6 2 4 2 2 3 3" xfId="29235"/>
    <cellStyle name="Normal 6 2 4 2 2 3 4" xfId="36204"/>
    <cellStyle name="Normal 6 2 4 2 2 4" xfId="12979"/>
    <cellStyle name="Normal 6 2 4 2 2 5" xfId="19946"/>
    <cellStyle name="Normal 6 2 4 2 2 6" xfId="26913"/>
    <cellStyle name="Normal 6 2 4 2 2 7" xfId="33881"/>
    <cellStyle name="Normal 6 2 4 2 3" xfId="9016"/>
    <cellStyle name="Normal 6 2 4 2 3 2" xfId="16065"/>
    <cellStyle name="Normal 6 2 4 2 3 3" xfId="23032"/>
    <cellStyle name="Normal 6 2 4 2 3 4" xfId="29999"/>
    <cellStyle name="Normal 6 2 4 2 3 5" xfId="36968"/>
    <cellStyle name="Normal 6 2 4 2 4" xfId="13745"/>
    <cellStyle name="Normal 6 2 4 2 4 2" xfId="20712"/>
    <cellStyle name="Normal 6 2 4 2 4 3" xfId="27679"/>
    <cellStyle name="Normal 6 2 4 2 4 4" xfId="34648"/>
    <cellStyle name="Normal 6 2 4 2 5" xfId="11423"/>
    <cellStyle name="Normal 6 2 4 2 6" xfId="18390"/>
    <cellStyle name="Normal 6 2 4 2 7" xfId="25357"/>
    <cellStyle name="Normal 6 2 4 2 8" xfId="32325"/>
    <cellStyle name="Normal 6 2 4 3" xfId="3583"/>
    <cellStyle name="Normal 6 2 4 3 2" xfId="5830"/>
    <cellStyle name="Normal 6 2 4 3 2 2" xfId="10630"/>
    <cellStyle name="Normal 6 2 4 3 2 2 2" xfId="17622"/>
    <cellStyle name="Normal 6 2 4 3 2 2 3" xfId="24589"/>
    <cellStyle name="Normal 6 2 4 3 2 2 4" xfId="31556"/>
    <cellStyle name="Normal 6 2 4 3 2 2 5" xfId="38525"/>
    <cellStyle name="Normal 6 2 4 3 2 3" xfId="15302"/>
    <cellStyle name="Normal 6 2 4 3 2 3 2" xfId="22269"/>
    <cellStyle name="Normal 6 2 4 3 2 3 3" xfId="29236"/>
    <cellStyle name="Normal 6 2 4 3 2 3 4" xfId="36205"/>
    <cellStyle name="Normal 6 2 4 3 2 4" xfId="12980"/>
    <cellStyle name="Normal 6 2 4 3 2 5" xfId="19947"/>
    <cellStyle name="Normal 6 2 4 3 2 6" xfId="26914"/>
    <cellStyle name="Normal 6 2 4 3 2 7" xfId="33882"/>
    <cellStyle name="Normal 6 2 4 3 3" xfId="9195"/>
    <cellStyle name="Normal 6 2 4 3 3 2" xfId="16234"/>
    <cellStyle name="Normal 6 2 4 3 3 3" xfId="23201"/>
    <cellStyle name="Normal 6 2 4 3 3 4" xfId="30168"/>
    <cellStyle name="Normal 6 2 4 3 3 5" xfId="37137"/>
    <cellStyle name="Normal 6 2 4 3 4" xfId="13914"/>
    <cellStyle name="Normal 6 2 4 3 4 2" xfId="20881"/>
    <cellStyle name="Normal 6 2 4 3 4 3" xfId="27848"/>
    <cellStyle name="Normal 6 2 4 3 4 4" xfId="34817"/>
    <cellStyle name="Normal 6 2 4 3 5" xfId="11592"/>
    <cellStyle name="Normal 6 2 4 3 6" xfId="18559"/>
    <cellStyle name="Normal 6 2 4 3 7" xfId="25526"/>
    <cellStyle name="Normal 6 2 4 3 8" xfId="32494"/>
    <cellStyle name="Normal 6 2 4 4" xfId="3758"/>
    <cellStyle name="Normal 6 2 4 4 2" xfId="5831"/>
    <cellStyle name="Normal 6 2 4 4 2 2" xfId="10631"/>
    <cellStyle name="Normal 6 2 4 4 2 2 2" xfId="17623"/>
    <cellStyle name="Normal 6 2 4 4 2 2 3" xfId="24590"/>
    <cellStyle name="Normal 6 2 4 4 2 2 4" xfId="31557"/>
    <cellStyle name="Normal 6 2 4 4 2 2 5" xfId="38526"/>
    <cellStyle name="Normal 6 2 4 4 2 3" xfId="15303"/>
    <cellStyle name="Normal 6 2 4 4 2 3 2" xfId="22270"/>
    <cellStyle name="Normal 6 2 4 4 2 3 3" xfId="29237"/>
    <cellStyle name="Normal 6 2 4 4 2 3 4" xfId="36206"/>
    <cellStyle name="Normal 6 2 4 4 2 4" xfId="12981"/>
    <cellStyle name="Normal 6 2 4 4 2 5" xfId="19948"/>
    <cellStyle name="Normal 6 2 4 4 2 6" xfId="26915"/>
    <cellStyle name="Normal 6 2 4 4 2 7" xfId="33883"/>
    <cellStyle name="Normal 6 2 4 4 3" xfId="9366"/>
    <cellStyle name="Normal 6 2 4 4 3 2" xfId="16405"/>
    <cellStyle name="Normal 6 2 4 4 3 3" xfId="23372"/>
    <cellStyle name="Normal 6 2 4 4 3 4" xfId="30339"/>
    <cellStyle name="Normal 6 2 4 4 3 5" xfId="37308"/>
    <cellStyle name="Normal 6 2 4 4 4" xfId="14085"/>
    <cellStyle name="Normal 6 2 4 4 4 2" xfId="21052"/>
    <cellStyle name="Normal 6 2 4 4 4 3" xfId="28019"/>
    <cellStyle name="Normal 6 2 4 4 4 4" xfId="34988"/>
    <cellStyle name="Normal 6 2 4 4 5" xfId="11763"/>
    <cellStyle name="Normal 6 2 4 4 6" xfId="18730"/>
    <cellStyle name="Normal 6 2 4 4 7" xfId="25697"/>
    <cellStyle name="Normal 6 2 4 4 8" xfId="32665"/>
    <cellStyle name="Normal 6 2 4 5" xfId="4036"/>
    <cellStyle name="Normal 6 2 4 5 2" xfId="5832"/>
    <cellStyle name="Normal 6 2 4 5 2 2" xfId="10632"/>
    <cellStyle name="Normal 6 2 4 5 2 2 2" xfId="17624"/>
    <cellStyle name="Normal 6 2 4 5 2 2 3" xfId="24591"/>
    <cellStyle name="Normal 6 2 4 5 2 2 4" xfId="31558"/>
    <cellStyle name="Normal 6 2 4 5 2 2 5" xfId="38527"/>
    <cellStyle name="Normal 6 2 4 5 2 3" xfId="15304"/>
    <cellStyle name="Normal 6 2 4 5 2 3 2" xfId="22271"/>
    <cellStyle name="Normal 6 2 4 5 2 3 3" xfId="29238"/>
    <cellStyle name="Normal 6 2 4 5 2 3 4" xfId="36207"/>
    <cellStyle name="Normal 6 2 4 5 2 4" xfId="12982"/>
    <cellStyle name="Normal 6 2 4 5 2 5" xfId="19949"/>
    <cellStyle name="Normal 6 2 4 5 2 6" xfId="26916"/>
    <cellStyle name="Normal 6 2 4 5 2 7" xfId="33884"/>
    <cellStyle name="Normal 6 2 4 5 3" xfId="9642"/>
    <cellStyle name="Normal 6 2 4 5 3 2" xfId="16678"/>
    <cellStyle name="Normal 6 2 4 5 3 3" xfId="23645"/>
    <cellStyle name="Normal 6 2 4 5 3 4" xfId="30612"/>
    <cellStyle name="Normal 6 2 4 5 3 5" xfId="37581"/>
    <cellStyle name="Normal 6 2 4 5 4" xfId="14358"/>
    <cellStyle name="Normal 6 2 4 5 4 2" xfId="21325"/>
    <cellStyle name="Normal 6 2 4 5 4 3" xfId="28292"/>
    <cellStyle name="Normal 6 2 4 5 4 4" xfId="35261"/>
    <cellStyle name="Normal 6 2 4 5 5" xfId="12036"/>
    <cellStyle name="Normal 6 2 4 5 6" xfId="19003"/>
    <cellStyle name="Normal 6 2 4 5 7" xfId="25970"/>
    <cellStyle name="Normal 6 2 4 5 8" xfId="32938"/>
    <cellStyle name="Normal 6 2 4 6" xfId="5828"/>
    <cellStyle name="Normal 6 2 4 6 2" xfId="10628"/>
    <cellStyle name="Normal 6 2 4 6 2 2" xfId="17620"/>
    <cellStyle name="Normal 6 2 4 6 2 3" xfId="24587"/>
    <cellStyle name="Normal 6 2 4 6 2 4" xfId="31554"/>
    <cellStyle name="Normal 6 2 4 6 2 5" xfId="38523"/>
    <cellStyle name="Normal 6 2 4 6 3" xfId="15300"/>
    <cellStyle name="Normal 6 2 4 6 3 2" xfId="22267"/>
    <cellStyle name="Normal 6 2 4 6 3 3" xfId="29234"/>
    <cellStyle name="Normal 6 2 4 6 3 4" xfId="36203"/>
    <cellStyle name="Normal 6 2 4 6 4" xfId="12978"/>
    <cellStyle name="Normal 6 2 4 6 5" xfId="19945"/>
    <cellStyle name="Normal 6 2 4 6 6" xfId="26912"/>
    <cellStyle name="Normal 6 2 4 6 7" xfId="33880"/>
    <cellStyle name="Normal 6 2 4 7" xfId="6957"/>
    <cellStyle name="Normal 6 2 4 7 2" xfId="10908"/>
    <cellStyle name="Normal 6 2 4 7 2 2" xfId="17874"/>
    <cellStyle name="Normal 6 2 4 7 2 3" xfId="24841"/>
    <cellStyle name="Normal 6 2 4 7 2 4" xfId="31808"/>
    <cellStyle name="Normal 6 2 4 7 2 5" xfId="38777"/>
    <cellStyle name="Normal 6 2 4 7 3" xfId="15554"/>
    <cellStyle name="Normal 6 2 4 7 3 2" xfId="22521"/>
    <cellStyle name="Normal 6 2 4 7 3 3" xfId="29488"/>
    <cellStyle name="Normal 6 2 4 7 3 4" xfId="36457"/>
    <cellStyle name="Normal 6 2 4 7 4" xfId="13232"/>
    <cellStyle name="Normal 6 2 4 7 5" xfId="20199"/>
    <cellStyle name="Normal 6 2 4 7 6" xfId="27166"/>
    <cellStyle name="Normal 6 2 4 7 7" xfId="34135"/>
    <cellStyle name="Normal 6 2 4 8" xfId="7243"/>
    <cellStyle name="Normal 6 2 4 8 2" xfId="15727"/>
    <cellStyle name="Normal 6 2 4 8 2 2" xfId="22694"/>
    <cellStyle name="Normal 6 2 4 8 2 3" xfId="29661"/>
    <cellStyle name="Normal 6 2 4 8 2 4" xfId="36630"/>
    <cellStyle name="Normal 6 2 4 8 3" xfId="13405"/>
    <cellStyle name="Normal 6 2 4 8 4" xfId="20372"/>
    <cellStyle name="Normal 6 2 4 8 5" xfId="27339"/>
    <cellStyle name="Normal 6 2 4 8 6" xfId="34308"/>
    <cellStyle name="Normal 6 2 4 9" xfId="8167"/>
    <cellStyle name="Normal 6 2 4 9 2" xfId="15898"/>
    <cellStyle name="Normal 6 2 4 9 2 2" xfId="22865"/>
    <cellStyle name="Normal 6 2 4 9 2 3" xfId="29832"/>
    <cellStyle name="Normal 6 2 4 9 2 4" xfId="36801"/>
    <cellStyle name="Normal 6 2 4 9 3" xfId="11254"/>
    <cellStyle name="Normal 6 2 4 9 4" xfId="18221"/>
    <cellStyle name="Normal 6 2 4 9 5" xfId="25188"/>
    <cellStyle name="Normal 6 2 4 9 6" xfId="32156"/>
    <cellStyle name="Normal 6 2 5" xfId="4101"/>
    <cellStyle name="Normal 6 2 5 2" xfId="6646"/>
    <cellStyle name="Normal 6 2 5 2 2" xfId="10718"/>
    <cellStyle name="Normal 6 2 5 2 2 2" xfId="17696"/>
    <cellStyle name="Normal 6 2 5 2 2 3" xfId="24663"/>
    <cellStyle name="Normal 6 2 5 2 2 4" xfId="31630"/>
    <cellStyle name="Normal 6 2 5 2 2 5" xfId="38599"/>
    <cellStyle name="Normal 6 2 5 2 3" xfId="15376"/>
    <cellStyle name="Normal 6 2 5 2 3 2" xfId="22343"/>
    <cellStyle name="Normal 6 2 5 2 3 3" xfId="29310"/>
    <cellStyle name="Normal 6 2 5 2 3 4" xfId="36279"/>
    <cellStyle name="Normal 6 2 5 2 4" xfId="13054"/>
    <cellStyle name="Normal 6 2 5 2 5" xfId="20021"/>
    <cellStyle name="Normal 6 2 5 2 6" xfId="26988"/>
    <cellStyle name="Normal 6 2 5 2 7" xfId="33957"/>
    <cellStyle name="Normal 6 2 5 3" xfId="9695"/>
    <cellStyle name="Normal 6 2 5 3 2" xfId="16713"/>
    <cellStyle name="Normal 6 2 5 3 3" xfId="23680"/>
    <cellStyle name="Normal 6 2 5 3 4" xfId="30647"/>
    <cellStyle name="Normal 6 2 5 3 5" xfId="37616"/>
    <cellStyle name="Normal 6 2 5 4" xfId="14393"/>
    <cellStyle name="Normal 6 2 5 4 2" xfId="21360"/>
    <cellStyle name="Normal 6 2 5 4 3" xfId="28327"/>
    <cellStyle name="Normal 6 2 5 4 4" xfId="35296"/>
    <cellStyle name="Normal 6 2 5 5" xfId="12071"/>
    <cellStyle name="Normal 6 2 5 6" xfId="19038"/>
    <cellStyle name="Normal 6 2 5 7" xfId="26005"/>
    <cellStyle name="Normal 6 2 5 8" xfId="32973"/>
    <cellStyle name="Normal 6 2 6" xfId="6954"/>
    <cellStyle name="Normal 6 2 6 2" xfId="10905"/>
    <cellStyle name="Normal 6 2 6 2 2" xfId="17871"/>
    <cellStyle name="Normal 6 2 6 2 3" xfId="24838"/>
    <cellStyle name="Normal 6 2 6 2 4" xfId="31805"/>
    <cellStyle name="Normal 6 2 6 2 5" xfId="38774"/>
    <cellStyle name="Normal 6 2 6 3" xfId="15551"/>
    <cellStyle name="Normal 6 2 6 3 2" xfId="22518"/>
    <cellStyle name="Normal 6 2 6 3 3" xfId="29485"/>
    <cellStyle name="Normal 6 2 6 3 4" xfId="36454"/>
    <cellStyle name="Normal 6 2 6 4" xfId="13229"/>
    <cellStyle name="Normal 6 2 6 5" xfId="20196"/>
    <cellStyle name="Normal 6 2 6 6" xfId="27163"/>
    <cellStyle name="Normal 6 2 6 7" xfId="34132"/>
    <cellStyle name="Normal 6 2 7" xfId="7240"/>
    <cellStyle name="Normal 6 2 7 2" xfId="15724"/>
    <cellStyle name="Normal 6 2 7 2 2" xfId="22691"/>
    <cellStyle name="Normal 6 2 7 2 3" xfId="29658"/>
    <cellStyle name="Normal 6 2 7 2 4" xfId="36627"/>
    <cellStyle name="Normal 6 2 7 3" xfId="13402"/>
    <cellStyle name="Normal 6 2 7 4" xfId="20369"/>
    <cellStyle name="Normal 6 2 7 5" xfId="27336"/>
    <cellStyle name="Normal 6 2 7 6" xfId="34305"/>
    <cellStyle name="Normal 6 2 8" xfId="8164"/>
    <cellStyle name="Normal 6 2 8 2" xfId="15895"/>
    <cellStyle name="Normal 6 2 8 2 2" xfId="22862"/>
    <cellStyle name="Normal 6 2 8 2 3" xfId="29829"/>
    <cellStyle name="Normal 6 2 8 2 4" xfId="36798"/>
    <cellStyle name="Normal 6 2 8 3" xfId="11251"/>
    <cellStyle name="Normal 6 2 8 4" xfId="18218"/>
    <cellStyle name="Normal 6 2 8 5" xfId="25185"/>
    <cellStyle name="Normal 6 2 8 6" xfId="32153"/>
    <cellStyle name="Normal 6 2 9" xfId="13573"/>
    <cellStyle name="Normal 6 2 9 2" xfId="20540"/>
    <cellStyle name="Normal 6 2 9 3" xfId="27507"/>
    <cellStyle name="Normal 6 2 9 4" xfId="34476"/>
    <cellStyle name="Normal 6 3" xfId="1919"/>
    <cellStyle name="Normal 6 4" xfId="1920"/>
    <cellStyle name="Normal 6 4 2" xfId="5833"/>
    <cellStyle name="Normal 6 4 3" xfId="8168"/>
    <cellStyle name="Normal 6 5" xfId="3580"/>
    <cellStyle name="Normal 6 5 10" xfId="31986"/>
    <cellStyle name="Normal 6 5 2" xfId="5834"/>
    <cellStyle name="Normal 6 5 2 2" xfId="10633"/>
    <cellStyle name="Normal 6 5 2 2 2" xfId="17625"/>
    <cellStyle name="Normal 6 5 2 2 3" xfId="24592"/>
    <cellStyle name="Normal 6 5 2 2 4" xfId="31559"/>
    <cellStyle name="Normal 6 5 2 2 5" xfId="38528"/>
    <cellStyle name="Normal 6 5 2 3" xfId="15305"/>
    <cellStyle name="Normal 6 5 2 3 2" xfId="22272"/>
    <cellStyle name="Normal 6 5 2 3 3" xfId="29239"/>
    <cellStyle name="Normal 6 5 2 3 4" xfId="36208"/>
    <cellStyle name="Normal 6 5 2 4" xfId="12983"/>
    <cellStyle name="Normal 6 5 2 5" xfId="19950"/>
    <cellStyle name="Normal 6 5 2 6" xfId="26917"/>
    <cellStyle name="Normal 6 5 2 7" xfId="33885"/>
    <cellStyle name="Normal 6 5 3" xfId="6958"/>
    <cellStyle name="Normal 6 5 3 2" xfId="10909"/>
    <cellStyle name="Normal 6 5 3 2 2" xfId="17875"/>
    <cellStyle name="Normal 6 5 3 2 3" xfId="24842"/>
    <cellStyle name="Normal 6 5 3 2 4" xfId="31809"/>
    <cellStyle name="Normal 6 5 3 2 5" xfId="38778"/>
    <cellStyle name="Normal 6 5 3 3" xfId="15555"/>
    <cellStyle name="Normal 6 5 3 3 2" xfId="22522"/>
    <cellStyle name="Normal 6 5 3 3 3" xfId="29489"/>
    <cellStyle name="Normal 6 5 3 3 4" xfId="36458"/>
    <cellStyle name="Normal 6 5 3 4" xfId="13233"/>
    <cellStyle name="Normal 6 5 3 5" xfId="20200"/>
    <cellStyle name="Normal 6 5 3 6" xfId="27167"/>
    <cellStyle name="Normal 6 5 3 7" xfId="34136"/>
    <cellStyle name="Normal 6 5 4" xfId="7244"/>
    <cellStyle name="Normal 6 5 4 2" xfId="15728"/>
    <cellStyle name="Normal 6 5 4 2 2" xfId="22695"/>
    <cellStyle name="Normal 6 5 4 2 3" xfId="29662"/>
    <cellStyle name="Normal 6 5 4 2 4" xfId="36631"/>
    <cellStyle name="Normal 6 5 4 3" xfId="13406"/>
    <cellStyle name="Normal 6 5 4 4" xfId="20373"/>
    <cellStyle name="Normal 6 5 4 5" xfId="27340"/>
    <cellStyle name="Normal 6 5 4 6" xfId="34309"/>
    <cellStyle name="Normal 6 5 5" xfId="9192"/>
    <cellStyle name="Normal 6 5 5 2" xfId="16231"/>
    <cellStyle name="Normal 6 5 5 2 2" xfId="23198"/>
    <cellStyle name="Normal 6 5 5 2 3" xfId="30165"/>
    <cellStyle name="Normal 6 5 5 2 4" xfId="37134"/>
    <cellStyle name="Normal 6 5 5 3" xfId="11589"/>
    <cellStyle name="Normal 6 5 5 4" xfId="18556"/>
    <cellStyle name="Normal 6 5 5 5" xfId="25523"/>
    <cellStyle name="Normal 6 5 5 6" xfId="32491"/>
    <cellStyle name="Normal 6 5 6" xfId="13911"/>
    <cellStyle name="Normal 6 5 6 2" xfId="20878"/>
    <cellStyle name="Normal 6 5 6 3" xfId="27845"/>
    <cellStyle name="Normal 6 5 6 4" xfId="34814"/>
    <cellStyle name="Normal 6 5 7" xfId="11084"/>
    <cellStyle name="Normal 6 5 8" xfId="18050"/>
    <cellStyle name="Normal 6 5 9" xfId="25018"/>
    <cellStyle name="Normal 6 6" xfId="3755"/>
    <cellStyle name="Normal 6 6 2" xfId="5835"/>
    <cellStyle name="Normal 6 6 2 2" xfId="10634"/>
    <cellStyle name="Normal 6 6 2 2 2" xfId="17626"/>
    <cellStyle name="Normal 6 6 2 2 3" xfId="24593"/>
    <cellStyle name="Normal 6 6 2 2 4" xfId="31560"/>
    <cellStyle name="Normal 6 6 2 2 5" xfId="38529"/>
    <cellStyle name="Normal 6 6 2 3" xfId="15306"/>
    <cellStyle name="Normal 6 6 2 3 2" xfId="22273"/>
    <cellStyle name="Normal 6 6 2 3 3" xfId="29240"/>
    <cellStyle name="Normal 6 6 2 3 4" xfId="36209"/>
    <cellStyle name="Normal 6 6 2 4" xfId="12984"/>
    <cellStyle name="Normal 6 6 2 5" xfId="19951"/>
    <cellStyle name="Normal 6 6 2 6" xfId="26918"/>
    <cellStyle name="Normal 6 6 2 7" xfId="33886"/>
    <cellStyle name="Normal 6 6 3" xfId="6959"/>
    <cellStyle name="Normal 6 6 4" xfId="9363"/>
    <cellStyle name="Normal 6 6 4 2" xfId="16402"/>
    <cellStyle name="Normal 6 6 4 2 2" xfId="23369"/>
    <cellStyle name="Normal 6 6 4 2 3" xfId="30336"/>
    <cellStyle name="Normal 6 6 4 2 4" xfId="37305"/>
    <cellStyle name="Normal 6 6 4 3" xfId="11760"/>
    <cellStyle name="Normal 6 6 4 4" xfId="18727"/>
    <cellStyle name="Normal 6 6 4 5" xfId="25694"/>
    <cellStyle name="Normal 6 6 4 6" xfId="32662"/>
    <cellStyle name="Normal 6 6 5" xfId="14082"/>
    <cellStyle name="Normal 6 6 5 2" xfId="21049"/>
    <cellStyle name="Normal 6 6 5 3" xfId="28016"/>
    <cellStyle name="Normal 6 6 5 4" xfId="34985"/>
    <cellStyle name="Normal 6 7" xfId="4033"/>
    <cellStyle name="Normal 6 7 2" xfId="5836"/>
    <cellStyle name="Normal 6 7 2 2" xfId="10635"/>
    <cellStyle name="Normal 6 7 2 2 2" xfId="17627"/>
    <cellStyle name="Normal 6 7 2 2 3" xfId="24594"/>
    <cellStyle name="Normal 6 7 2 2 4" xfId="31561"/>
    <cellStyle name="Normal 6 7 2 2 5" xfId="38530"/>
    <cellStyle name="Normal 6 7 2 3" xfId="15307"/>
    <cellStyle name="Normal 6 7 2 3 2" xfId="22274"/>
    <cellStyle name="Normal 6 7 2 3 3" xfId="29241"/>
    <cellStyle name="Normal 6 7 2 3 4" xfId="36210"/>
    <cellStyle name="Normal 6 7 2 4" xfId="12985"/>
    <cellStyle name="Normal 6 7 2 5" xfId="19952"/>
    <cellStyle name="Normal 6 7 2 6" xfId="26919"/>
    <cellStyle name="Normal 6 7 2 7" xfId="33887"/>
    <cellStyle name="Normal 6 7 3" xfId="9639"/>
    <cellStyle name="Normal 6 7 3 2" xfId="16675"/>
    <cellStyle name="Normal 6 7 3 3" xfId="23642"/>
    <cellStyle name="Normal 6 7 3 4" xfId="30609"/>
    <cellStyle name="Normal 6 7 3 5" xfId="37578"/>
    <cellStyle name="Normal 6 7 4" xfId="14355"/>
    <cellStyle name="Normal 6 7 4 2" xfId="21322"/>
    <cellStyle name="Normal 6 7 4 3" xfId="28289"/>
    <cellStyle name="Normal 6 7 4 4" xfId="35258"/>
    <cellStyle name="Normal 6 7 5" xfId="12033"/>
    <cellStyle name="Normal 6 7 6" xfId="19000"/>
    <cellStyle name="Normal 6 7 7" xfId="25967"/>
    <cellStyle name="Normal 6 7 8" xfId="32935"/>
    <cellStyle name="Normal 6 8" xfId="4092"/>
    <cellStyle name="Normal 6 8 2" xfId="6643"/>
    <cellStyle name="Normal 6 8 2 2" xfId="10715"/>
    <cellStyle name="Normal 6 8 2 2 2" xfId="17693"/>
    <cellStyle name="Normal 6 8 2 2 3" xfId="24660"/>
    <cellStyle name="Normal 6 8 2 2 4" xfId="31627"/>
    <cellStyle name="Normal 6 8 2 2 5" xfId="38596"/>
    <cellStyle name="Normal 6 8 2 3" xfId="15373"/>
    <cellStyle name="Normal 6 8 2 3 2" xfId="22340"/>
    <cellStyle name="Normal 6 8 2 3 3" xfId="29307"/>
    <cellStyle name="Normal 6 8 2 3 4" xfId="36276"/>
    <cellStyle name="Normal 6 8 2 4" xfId="13051"/>
    <cellStyle name="Normal 6 8 2 5" xfId="20018"/>
    <cellStyle name="Normal 6 8 2 6" xfId="26985"/>
    <cellStyle name="Normal 6 8 2 7" xfId="33954"/>
    <cellStyle name="Normal 6 8 3" xfId="9691"/>
    <cellStyle name="Normal 6 8 3 2" xfId="16710"/>
    <cellStyle name="Normal 6 8 3 3" xfId="23677"/>
    <cellStyle name="Normal 6 8 3 4" xfId="30644"/>
    <cellStyle name="Normal 6 8 3 5" xfId="37613"/>
    <cellStyle name="Normal 6 8 4" xfId="14390"/>
    <cellStyle name="Normal 6 8 4 2" xfId="21357"/>
    <cellStyle name="Normal 6 8 4 3" xfId="28324"/>
    <cellStyle name="Normal 6 8 4 4" xfId="35293"/>
    <cellStyle name="Normal 6 8 5" xfId="12068"/>
    <cellStyle name="Normal 6 8 6" xfId="19035"/>
    <cellStyle name="Normal 6 8 7" xfId="26002"/>
    <cellStyle name="Normal 6 8 8" xfId="32970"/>
    <cellStyle name="Normal 6 9" xfId="5817"/>
    <cellStyle name="Normal 6 9 2" xfId="10617"/>
    <cellStyle name="Normal 6 9 2 2" xfId="17609"/>
    <cellStyle name="Normal 6 9 2 3" xfId="24576"/>
    <cellStyle name="Normal 6 9 2 4" xfId="31543"/>
    <cellStyle name="Normal 6 9 2 5" xfId="38512"/>
    <cellStyle name="Normal 6 9 3" xfId="15289"/>
    <cellStyle name="Normal 6 9 3 2" xfId="22256"/>
    <cellStyle name="Normal 6 9 3 3" xfId="29223"/>
    <cellStyle name="Normal 6 9 3 4" xfId="36192"/>
    <cellStyle name="Normal 6 9 4" xfId="12967"/>
    <cellStyle name="Normal 6 9 5" xfId="19934"/>
    <cellStyle name="Normal 6 9 6" xfId="26901"/>
    <cellStyle name="Normal 6 9 7" xfId="33869"/>
    <cellStyle name="Normal 60" xfId="1921"/>
    <cellStyle name="Normal 60 2" xfId="1922"/>
    <cellStyle name="Normal 60 3" xfId="1923"/>
    <cellStyle name="Normal 61" xfId="1924"/>
    <cellStyle name="Normal 61 2" xfId="1925"/>
    <cellStyle name="Normal 61 3" xfId="1926"/>
    <cellStyle name="Normal 62" xfId="1927"/>
    <cellStyle name="Normal 62 2" xfId="1928"/>
    <cellStyle name="Normal 62 3" xfId="1929"/>
    <cellStyle name="Normal 63" xfId="1930"/>
    <cellStyle name="Normal 63 2" xfId="1931"/>
    <cellStyle name="Normal 63 3" xfId="1932"/>
    <cellStyle name="Normal 64" xfId="1933"/>
    <cellStyle name="Normal 64 2" xfId="1934"/>
    <cellStyle name="Normal 64 3" xfId="1935"/>
    <cellStyle name="Normal 65" xfId="1936"/>
    <cellStyle name="Normal 65 2" xfId="1937"/>
    <cellStyle name="Normal 65 3" xfId="1938"/>
    <cellStyle name="Normal 66" xfId="1939"/>
    <cellStyle name="Normal 66 2" xfId="1940"/>
    <cellStyle name="Normal 66 3" xfId="1941"/>
    <cellStyle name="Normal 67" xfId="1942"/>
    <cellStyle name="Normal 67 2" xfId="1943"/>
    <cellStyle name="Normal 67 3" xfId="1944"/>
    <cellStyle name="Normal 68" xfId="1945"/>
    <cellStyle name="Normal 68 2" xfId="1946"/>
    <cellStyle name="Normal 68 3" xfId="1947"/>
    <cellStyle name="Normal 69" xfId="1948"/>
    <cellStyle name="Normal 69 2" xfId="1949"/>
    <cellStyle name="Normal 69 3" xfId="1950"/>
    <cellStyle name="Normal 7" xfId="1951"/>
    <cellStyle name="Normal 7 2" xfId="1952"/>
    <cellStyle name="Normal 7 2 2" xfId="1953"/>
    <cellStyle name="Normal 7 2 2 2" xfId="5839"/>
    <cellStyle name="Normal 7 2 2 3" xfId="8169"/>
    <cellStyle name="Normal 7 2 3" xfId="1954"/>
    <cellStyle name="Normal 7 2 4" xfId="5838"/>
    <cellStyle name="Normal 7 3" xfId="1955"/>
    <cellStyle name="Normal 7 3 2" xfId="5840"/>
    <cellStyle name="Normal 7 3 3" xfId="8170"/>
    <cellStyle name="Normal 7 4" xfId="1956"/>
    <cellStyle name="Normal 7 5" xfId="4080"/>
    <cellStyle name="Normal 7 6" xfId="5837"/>
    <cellStyle name="Normal 7_Sheet1" xfId="1957"/>
    <cellStyle name="Normal 70" xfId="1958"/>
    <cellStyle name="Normal 70 2" xfId="1959"/>
    <cellStyle name="Normal 70 3" xfId="1960"/>
    <cellStyle name="Normal 71" xfId="1961"/>
    <cellStyle name="Normal 71 2" xfId="1962"/>
    <cellStyle name="Normal 71 3" xfId="1963"/>
    <cellStyle name="Normal 72" xfId="1964"/>
    <cellStyle name="Normal 72 2" xfId="1965"/>
    <cellStyle name="Normal 72 3" xfId="1966"/>
    <cellStyle name="Normal 73" xfId="1967"/>
    <cellStyle name="Normal 73 2" xfId="1968"/>
    <cellStyle name="Normal 73 3" xfId="1969"/>
    <cellStyle name="Normal 74" xfId="1970"/>
    <cellStyle name="Normal 74 2" xfId="1971"/>
    <cellStyle name="Normal 74 3" xfId="1972"/>
    <cellStyle name="Normal 75" xfId="1973"/>
    <cellStyle name="Normal 75 2" xfId="1974"/>
    <cellStyle name="Normal 75 3" xfId="1975"/>
    <cellStyle name="Normal 76" xfId="1976"/>
    <cellStyle name="Normal 76 2" xfId="1977"/>
    <cellStyle name="Normal 76 3" xfId="1978"/>
    <cellStyle name="Normal 77" xfId="1979"/>
    <cellStyle name="Normal 77 2" xfId="1980"/>
    <cellStyle name="Normal 77 3" xfId="1981"/>
    <cellStyle name="Normal 78" xfId="1982"/>
    <cellStyle name="Normal 78 2" xfId="1983"/>
    <cellStyle name="Normal 78 3" xfId="1984"/>
    <cellStyle name="Normal 79" xfId="1985"/>
    <cellStyle name="Normal 79 2" xfId="1986"/>
    <cellStyle name="Normal 79 3" xfId="1987"/>
    <cellStyle name="Normal 8" xfId="1988"/>
    <cellStyle name="Normal 8 2" xfId="1989"/>
    <cellStyle name="Normal 8 2 2" xfId="1990"/>
    <cellStyle name="Normal 8 2 2 2" xfId="5843"/>
    <cellStyle name="Normal 8 2 2 3" xfId="8171"/>
    <cellStyle name="Normal 8 2 3" xfId="1991"/>
    <cellStyle name="Normal 8 2 4" xfId="1992"/>
    <cellStyle name="Normal 8 2 5" xfId="5842"/>
    <cellStyle name="Normal 8 3" xfId="1993"/>
    <cellStyle name="Normal 8 3 10" xfId="8172"/>
    <cellStyle name="Normal 8 3 2" xfId="1994"/>
    <cellStyle name="Normal 8 3 2 2" xfId="5845"/>
    <cellStyle name="Normal 8 3 2 3" xfId="8173"/>
    <cellStyle name="Normal 8 3 3" xfId="1995"/>
    <cellStyle name="Normal 8 3 3 2" xfId="5846"/>
    <cellStyle name="Normal 8 3 3 3" xfId="8174"/>
    <cellStyle name="Normal 8 3 4" xfId="1996"/>
    <cellStyle name="Normal 8 3 4 2" xfId="1997"/>
    <cellStyle name="Normal 8 3 4 2 2" xfId="5848"/>
    <cellStyle name="Normal 8 3 4 2 3" xfId="8176"/>
    <cellStyle name="Normal 8 3 4 3" xfId="1998"/>
    <cellStyle name="Normal 8 3 4 3 2" xfId="1999"/>
    <cellStyle name="Normal 8 3 4 3 2 2" xfId="5850"/>
    <cellStyle name="Normal 8 3 4 3 2 3" xfId="8178"/>
    <cellStyle name="Normal 8 3 4 3 3" xfId="2000"/>
    <cellStyle name="Normal 8 3 4 3 3 2" xfId="2001"/>
    <cellStyle name="Normal 8 3 4 3 3 2 2" xfId="5852"/>
    <cellStyle name="Normal 8 3 4 3 3 2 3" xfId="8180"/>
    <cellStyle name="Normal 8 3 4 3 3 3" xfId="5851"/>
    <cellStyle name="Normal 8 3 4 3 3 4" xfId="8179"/>
    <cellStyle name="Normal 8 3 4 3 4" xfId="2002"/>
    <cellStyle name="Normal 8 3 4 3 4 2" xfId="2003"/>
    <cellStyle name="Normal 8 3 4 3 4 2 2" xfId="5854"/>
    <cellStyle name="Normal 8 3 4 3 4 2 3" xfId="8182"/>
    <cellStyle name="Normal 8 3 4 3 4 3" xfId="2004"/>
    <cellStyle name="Normal 8 3 4 3 4 3 2" xfId="5855"/>
    <cellStyle name="Normal 8 3 4 3 4 3 3" xfId="8183"/>
    <cellStyle name="Normal 8 3 4 3 4 4" xfId="2005"/>
    <cellStyle name="Normal 8 3 4 3 4 4 2" xfId="2006"/>
    <cellStyle name="Normal 8 3 4 3 4 4 2 2" xfId="2007"/>
    <cellStyle name="Normal 8 3 4 3 4 4 2 2 2" xfId="5858"/>
    <cellStyle name="Normal 8 3 4 3 4 4 2 2 3" xfId="8186"/>
    <cellStyle name="Normal 8 3 4 3 4 4 2 3" xfId="2008"/>
    <cellStyle name="Normal 8 3 4 3 4 4 2 3 2" xfId="2009"/>
    <cellStyle name="Normal 8 3 4 3 4 4 2 3 2 2" xfId="5860"/>
    <cellStyle name="Normal 8 3 4 3 4 4 2 3 2 3" xfId="8188"/>
    <cellStyle name="Normal 8 3 4 3 4 4 2 3 3" xfId="2010"/>
    <cellStyle name="Normal 8 3 4 3 4 4 2 3 3 2" xfId="2011"/>
    <cellStyle name="Normal 8 3 4 3 4 4 2 3 3 2 2" xfId="5862"/>
    <cellStyle name="Normal 8 3 4 3 4 4 2 3 3 2 3" xfId="8190"/>
    <cellStyle name="Normal 8 3 4 3 4 4 2 3 3 3" xfId="2012"/>
    <cellStyle name="Normal 8 3 4 3 4 4 2 3 3 3 2" xfId="5863"/>
    <cellStyle name="Normal 8 3 4 3 4 4 2 3 3 3 3" xfId="8191"/>
    <cellStyle name="Normal 8 3 4 3 4 4 2 3 3 4" xfId="2013"/>
    <cellStyle name="Normal 8 3 4 3 4 4 2 3 3 4 2" xfId="2014"/>
    <cellStyle name="Normal 8 3 4 3 4 4 2 3 3 4 2 2" xfId="5865"/>
    <cellStyle name="Normal 8 3 4 3 4 4 2 3 3 4 2 3" xfId="8193"/>
    <cellStyle name="Normal 8 3 4 3 4 4 2 3 3 4 3" xfId="2015"/>
    <cellStyle name="Normal 8 3 4 3 4 4 2 3 3 4 3 2" xfId="5866"/>
    <cellStyle name="Normal 8 3 4 3 4 4 2 3 3 4 3 3" xfId="8194"/>
    <cellStyle name="Normal 8 3 4 3 4 4 2 3 3 4 4" xfId="5864"/>
    <cellStyle name="Normal 8 3 4 3 4 4 2 3 3 4 5" xfId="8192"/>
    <cellStyle name="Normal 8 3 4 3 4 4 2 3 3 5" xfId="5861"/>
    <cellStyle name="Normal 8 3 4 3 4 4 2 3 3 6" xfId="8189"/>
    <cellStyle name="Normal 8 3 4 3 4 4 2 3 4" xfId="5859"/>
    <cellStyle name="Normal 8 3 4 3 4 4 2 3 5" xfId="8187"/>
    <cellStyle name="Normal 8 3 4 3 4 4 2 4" xfId="5857"/>
    <cellStyle name="Normal 8 3 4 3 4 4 2 5" xfId="8185"/>
    <cellStyle name="Normal 8 3 4 3 4 4 3" xfId="2016"/>
    <cellStyle name="Normal 8 3 4 3 4 4 3 2" xfId="5867"/>
    <cellStyle name="Normal 8 3 4 3 4 4 3 3" xfId="8195"/>
    <cellStyle name="Normal 8 3 4 3 4 4 4" xfId="2017"/>
    <cellStyle name="Normal 8 3 4 3 4 4 4 2" xfId="2018"/>
    <cellStyle name="Normal 8 3 4 3 4 4 4 2 2" xfId="5869"/>
    <cellStyle name="Normal 8 3 4 3 4 4 4 2 3" xfId="8197"/>
    <cellStyle name="Normal 8 3 4 3 4 4 4 3" xfId="2019"/>
    <cellStyle name="Normal 8 3 4 3 4 4 4 3 2" xfId="2020"/>
    <cellStyle name="Normal 8 3 4 3 4 4 4 3 2 2" xfId="5871"/>
    <cellStyle name="Normal 8 3 4 3 4 4 4 3 2 3" xfId="8199"/>
    <cellStyle name="Normal 8 3 4 3 4 4 4 3 3" xfId="2021"/>
    <cellStyle name="Normal 8 3 4 3 4 4 4 3 3 2" xfId="5872"/>
    <cellStyle name="Normal 8 3 4 3 4 4 4 3 3 3" xfId="8200"/>
    <cellStyle name="Normal 8 3 4 3 4 4 4 3 4" xfId="2022"/>
    <cellStyle name="Normal 8 3 4 3 4 4 4 3 4 2" xfId="2023"/>
    <cellStyle name="Normal 8 3 4 3 4 4 4 3 4 2 2" xfId="5874"/>
    <cellStyle name="Normal 8 3 4 3 4 4 4 3 4 2 3" xfId="8202"/>
    <cellStyle name="Normal 8 3 4 3 4 4 4 3 4 3" xfId="2024"/>
    <cellStyle name="Normal 8 3 4 3 4 4 4 3 4 3 2" xfId="5875"/>
    <cellStyle name="Normal 8 3 4 3 4 4 4 3 4 3 3" xfId="8203"/>
    <cellStyle name="Normal 8 3 4 3 4 4 4 3 4 4" xfId="5873"/>
    <cellStyle name="Normal 8 3 4 3 4 4 4 3 4 5" xfId="8201"/>
    <cellStyle name="Normal 8 3 4 3 4 4 4 3 5" xfId="5870"/>
    <cellStyle name="Normal 8 3 4 3 4 4 4 3 6" xfId="8198"/>
    <cellStyle name="Normal 8 3 4 3 4 4 4 4" xfId="5868"/>
    <cellStyle name="Normal 8 3 4 3 4 4 4 5" xfId="8196"/>
    <cellStyle name="Normal 8 3 4 3 4 4 5" xfId="5856"/>
    <cellStyle name="Normal 8 3 4 3 4 4 6" xfId="8184"/>
    <cellStyle name="Normal 8 3 4 3 4 5" xfId="5853"/>
    <cellStyle name="Normal 8 3 4 3 4 6" xfId="8181"/>
    <cellStyle name="Normal 8 3 4 3 5" xfId="5849"/>
    <cellStyle name="Normal 8 3 4 3 6" xfId="8177"/>
    <cellStyle name="Normal 8 3 4 4" xfId="2025"/>
    <cellStyle name="Normal 8 3 4 4 2" xfId="2026"/>
    <cellStyle name="Normal 8 3 4 4 2 2" xfId="5877"/>
    <cellStyle name="Normal 8 3 4 4 2 3" xfId="8205"/>
    <cellStyle name="Normal 8 3 4 4 3" xfId="5876"/>
    <cellStyle name="Normal 8 3 4 4 4" xfId="8204"/>
    <cellStyle name="Normal 8 3 4 5" xfId="2027"/>
    <cellStyle name="Normal 8 3 4 5 2" xfId="2028"/>
    <cellStyle name="Normal 8 3 4 5 2 2" xfId="5879"/>
    <cellStyle name="Normal 8 3 4 5 2 3" xfId="8207"/>
    <cellStyle name="Normal 8 3 4 5 3" xfId="2029"/>
    <cellStyle name="Normal 8 3 4 5 3 2" xfId="5880"/>
    <cellStyle name="Normal 8 3 4 5 3 3" xfId="8208"/>
    <cellStyle name="Normal 8 3 4 5 4" xfId="2030"/>
    <cellStyle name="Normal 8 3 4 5 4 2" xfId="2031"/>
    <cellStyle name="Normal 8 3 4 5 4 2 2" xfId="2032"/>
    <cellStyle name="Normal 8 3 4 5 4 2 2 2" xfId="5883"/>
    <cellStyle name="Normal 8 3 4 5 4 2 2 3" xfId="8211"/>
    <cellStyle name="Normal 8 3 4 5 4 2 3" xfId="2033"/>
    <cellStyle name="Normal 8 3 4 5 4 2 3 2" xfId="2034"/>
    <cellStyle name="Normal 8 3 4 5 4 2 3 2 2" xfId="5885"/>
    <cellStyle name="Normal 8 3 4 5 4 2 3 2 3" xfId="8213"/>
    <cellStyle name="Normal 8 3 4 5 4 2 3 3" xfId="2035"/>
    <cellStyle name="Normal 8 3 4 5 4 2 3 3 2" xfId="2036"/>
    <cellStyle name="Normal 8 3 4 5 4 2 3 3 2 2" xfId="5887"/>
    <cellStyle name="Normal 8 3 4 5 4 2 3 3 2 3" xfId="8215"/>
    <cellStyle name="Normal 8 3 4 5 4 2 3 3 3" xfId="2037"/>
    <cellStyle name="Normal 8 3 4 5 4 2 3 3 3 2" xfId="5888"/>
    <cellStyle name="Normal 8 3 4 5 4 2 3 3 3 3" xfId="8216"/>
    <cellStyle name="Normal 8 3 4 5 4 2 3 3 4" xfId="2038"/>
    <cellStyle name="Normal 8 3 4 5 4 2 3 3 4 2" xfId="2039"/>
    <cellStyle name="Normal 8 3 4 5 4 2 3 3 4 2 2" xfId="5890"/>
    <cellStyle name="Normal 8 3 4 5 4 2 3 3 4 2 3" xfId="8218"/>
    <cellStyle name="Normal 8 3 4 5 4 2 3 3 4 3" xfId="2040"/>
    <cellStyle name="Normal 8 3 4 5 4 2 3 3 4 3 2" xfId="5891"/>
    <cellStyle name="Normal 8 3 4 5 4 2 3 3 4 3 3" xfId="8219"/>
    <cellStyle name="Normal 8 3 4 5 4 2 3 3 4 4" xfId="5889"/>
    <cellStyle name="Normal 8 3 4 5 4 2 3 3 4 5" xfId="8217"/>
    <cellStyle name="Normal 8 3 4 5 4 2 3 3 5" xfId="5886"/>
    <cellStyle name="Normal 8 3 4 5 4 2 3 3 6" xfId="8214"/>
    <cellStyle name="Normal 8 3 4 5 4 2 3 4" xfId="5884"/>
    <cellStyle name="Normal 8 3 4 5 4 2 3 5" xfId="8212"/>
    <cellStyle name="Normal 8 3 4 5 4 2 4" xfId="5882"/>
    <cellStyle name="Normal 8 3 4 5 4 2 5" xfId="8210"/>
    <cellStyle name="Normal 8 3 4 5 4 3" xfId="2041"/>
    <cellStyle name="Normal 8 3 4 5 4 3 2" xfId="5892"/>
    <cellStyle name="Normal 8 3 4 5 4 3 3" xfId="8220"/>
    <cellStyle name="Normal 8 3 4 5 4 4" xfId="2042"/>
    <cellStyle name="Normal 8 3 4 5 4 4 2" xfId="2043"/>
    <cellStyle name="Normal 8 3 4 5 4 4 2 2" xfId="5894"/>
    <cellStyle name="Normal 8 3 4 5 4 4 2 3" xfId="8222"/>
    <cellStyle name="Normal 8 3 4 5 4 4 3" xfId="2044"/>
    <cellStyle name="Normal 8 3 4 5 4 4 3 2" xfId="2045"/>
    <cellStyle name="Normal 8 3 4 5 4 4 3 2 2" xfId="5896"/>
    <cellStyle name="Normal 8 3 4 5 4 4 3 2 3" xfId="8224"/>
    <cellStyle name="Normal 8 3 4 5 4 4 3 3" xfId="2046"/>
    <cellStyle name="Normal 8 3 4 5 4 4 3 3 2" xfId="5897"/>
    <cellStyle name="Normal 8 3 4 5 4 4 3 3 3" xfId="8225"/>
    <cellStyle name="Normal 8 3 4 5 4 4 3 4" xfId="2047"/>
    <cellStyle name="Normal 8 3 4 5 4 4 3 4 2" xfId="2048"/>
    <cellStyle name="Normal 8 3 4 5 4 4 3 4 2 2" xfId="5899"/>
    <cellStyle name="Normal 8 3 4 5 4 4 3 4 2 3" xfId="8227"/>
    <cellStyle name="Normal 8 3 4 5 4 4 3 4 3" xfId="2049"/>
    <cellStyle name="Normal 8 3 4 5 4 4 3 4 3 2" xfId="5900"/>
    <cellStyle name="Normal 8 3 4 5 4 4 3 4 3 3" xfId="8228"/>
    <cellStyle name="Normal 8 3 4 5 4 4 3 4 4" xfId="5898"/>
    <cellStyle name="Normal 8 3 4 5 4 4 3 4 5" xfId="8226"/>
    <cellStyle name="Normal 8 3 4 5 4 4 3 5" xfId="5895"/>
    <cellStyle name="Normal 8 3 4 5 4 4 3 6" xfId="8223"/>
    <cellStyle name="Normal 8 3 4 5 4 4 4" xfId="5893"/>
    <cellStyle name="Normal 8 3 4 5 4 4 5" xfId="8221"/>
    <cellStyle name="Normal 8 3 4 5 4 5" xfId="5881"/>
    <cellStyle name="Normal 8 3 4 5 4 6" xfId="8209"/>
    <cellStyle name="Normal 8 3 4 5 5" xfId="5878"/>
    <cellStyle name="Normal 8 3 4 5 6" xfId="8206"/>
    <cellStyle name="Normal 8 3 4 6" xfId="5847"/>
    <cellStyle name="Normal 8 3 4 7" xfId="8175"/>
    <cellStyle name="Normal 8 3 5" xfId="2050"/>
    <cellStyle name="Normal 8 3 5 2" xfId="2051"/>
    <cellStyle name="Normal 8 3 5 2 2" xfId="5902"/>
    <cellStyle name="Normal 8 3 5 2 3" xfId="8230"/>
    <cellStyle name="Normal 8 3 5 3" xfId="2052"/>
    <cellStyle name="Normal 8 3 5 3 2" xfId="2053"/>
    <cellStyle name="Normal 8 3 5 3 2 2" xfId="5904"/>
    <cellStyle name="Normal 8 3 5 3 2 3" xfId="8232"/>
    <cellStyle name="Normal 8 3 5 3 3" xfId="5903"/>
    <cellStyle name="Normal 8 3 5 3 4" xfId="8231"/>
    <cellStyle name="Normal 8 3 5 4" xfId="2054"/>
    <cellStyle name="Normal 8 3 5 4 2" xfId="2055"/>
    <cellStyle name="Normal 8 3 5 4 2 2" xfId="5906"/>
    <cellStyle name="Normal 8 3 5 4 2 3" xfId="8234"/>
    <cellStyle name="Normal 8 3 5 4 3" xfId="2056"/>
    <cellStyle name="Normal 8 3 5 4 3 2" xfId="5907"/>
    <cellStyle name="Normal 8 3 5 4 3 3" xfId="8235"/>
    <cellStyle name="Normal 8 3 5 4 4" xfId="2057"/>
    <cellStyle name="Normal 8 3 5 4 4 2" xfId="2058"/>
    <cellStyle name="Normal 8 3 5 4 4 2 2" xfId="2059"/>
    <cellStyle name="Normal 8 3 5 4 4 2 2 2" xfId="5910"/>
    <cellStyle name="Normal 8 3 5 4 4 2 2 3" xfId="8238"/>
    <cellStyle name="Normal 8 3 5 4 4 2 3" xfId="2060"/>
    <cellStyle name="Normal 8 3 5 4 4 2 3 2" xfId="2061"/>
    <cellStyle name="Normal 8 3 5 4 4 2 3 2 2" xfId="5912"/>
    <cellStyle name="Normal 8 3 5 4 4 2 3 2 3" xfId="8240"/>
    <cellStyle name="Normal 8 3 5 4 4 2 3 3" xfId="2062"/>
    <cellStyle name="Normal 8 3 5 4 4 2 3 3 2" xfId="2063"/>
    <cellStyle name="Normal 8 3 5 4 4 2 3 3 2 2" xfId="5914"/>
    <cellStyle name="Normal 8 3 5 4 4 2 3 3 2 3" xfId="8242"/>
    <cellStyle name="Normal 8 3 5 4 4 2 3 3 3" xfId="2064"/>
    <cellStyle name="Normal 8 3 5 4 4 2 3 3 3 2" xfId="5915"/>
    <cellStyle name="Normal 8 3 5 4 4 2 3 3 3 3" xfId="8243"/>
    <cellStyle name="Normal 8 3 5 4 4 2 3 3 4" xfId="2065"/>
    <cellStyle name="Normal 8 3 5 4 4 2 3 3 4 2" xfId="2066"/>
    <cellStyle name="Normal 8 3 5 4 4 2 3 3 4 2 2" xfId="5917"/>
    <cellStyle name="Normal 8 3 5 4 4 2 3 3 4 2 3" xfId="8245"/>
    <cellStyle name="Normal 8 3 5 4 4 2 3 3 4 3" xfId="2067"/>
    <cellStyle name="Normal 8 3 5 4 4 2 3 3 4 3 2" xfId="5918"/>
    <cellStyle name="Normal 8 3 5 4 4 2 3 3 4 3 3" xfId="8246"/>
    <cellStyle name="Normal 8 3 5 4 4 2 3 3 4 4" xfId="5916"/>
    <cellStyle name="Normal 8 3 5 4 4 2 3 3 4 5" xfId="8244"/>
    <cellStyle name="Normal 8 3 5 4 4 2 3 3 5" xfId="5913"/>
    <cellStyle name="Normal 8 3 5 4 4 2 3 3 6" xfId="8241"/>
    <cellStyle name="Normal 8 3 5 4 4 2 3 4" xfId="5911"/>
    <cellStyle name="Normal 8 3 5 4 4 2 3 5" xfId="8239"/>
    <cellStyle name="Normal 8 3 5 4 4 2 4" xfId="5909"/>
    <cellStyle name="Normal 8 3 5 4 4 2 5" xfId="8237"/>
    <cellStyle name="Normal 8 3 5 4 4 3" xfId="2068"/>
    <cellStyle name="Normal 8 3 5 4 4 3 2" xfId="5919"/>
    <cellStyle name="Normal 8 3 5 4 4 3 3" xfId="8247"/>
    <cellStyle name="Normal 8 3 5 4 4 4" xfId="2069"/>
    <cellStyle name="Normal 8 3 5 4 4 4 2" xfId="2070"/>
    <cellStyle name="Normal 8 3 5 4 4 4 2 2" xfId="5921"/>
    <cellStyle name="Normal 8 3 5 4 4 4 2 3" xfId="8249"/>
    <cellStyle name="Normal 8 3 5 4 4 4 3" xfId="2071"/>
    <cellStyle name="Normal 8 3 5 4 4 4 3 2" xfId="2072"/>
    <cellStyle name="Normal 8 3 5 4 4 4 3 2 2" xfId="5923"/>
    <cellStyle name="Normal 8 3 5 4 4 4 3 2 3" xfId="8251"/>
    <cellStyle name="Normal 8 3 5 4 4 4 3 3" xfId="2073"/>
    <cellStyle name="Normal 8 3 5 4 4 4 3 3 2" xfId="5924"/>
    <cellStyle name="Normal 8 3 5 4 4 4 3 3 3" xfId="8252"/>
    <cellStyle name="Normal 8 3 5 4 4 4 3 4" xfId="2074"/>
    <cellStyle name="Normal 8 3 5 4 4 4 3 4 2" xfId="2075"/>
    <cellStyle name="Normal 8 3 5 4 4 4 3 4 2 2" xfId="5926"/>
    <cellStyle name="Normal 8 3 5 4 4 4 3 4 2 3" xfId="8254"/>
    <cellStyle name="Normal 8 3 5 4 4 4 3 4 3" xfId="2076"/>
    <cellStyle name="Normal 8 3 5 4 4 4 3 4 3 2" xfId="5927"/>
    <cellStyle name="Normal 8 3 5 4 4 4 3 4 3 3" xfId="8255"/>
    <cellStyle name="Normal 8 3 5 4 4 4 3 4 4" xfId="5925"/>
    <cellStyle name="Normal 8 3 5 4 4 4 3 4 5" xfId="8253"/>
    <cellStyle name="Normal 8 3 5 4 4 4 3 5" xfId="5922"/>
    <cellStyle name="Normal 8 3 5 4 4 4 3 6" xfId="8250"/>
    <cellStyle name="Normal 8 3 5 4 4 4 4" xfId="5920"/>
    <cellStyle name="Normal 8 3 5 4 4 4 5" xfId="8248"/>
    <cellStyle name="Normal 8 3 5 4 4 5" xfId="5908"/>
    <cellStyle name="Normal 8 3 5 4 4 6" xfId="8236"/>
    <cellStyle name="Normal 8 3 5 4 5" xfId="5905"/>
    <cellStyle name="Normal 8 3 5 4 6" xfId="8233"/>
    <cellStyle name="Normal 8 3 5 5" xfId="5901"/>
    <cellStyle name="Normal 8 3 5 6" xfId="8229"/>
    <cellStyle name="Normal 8 3 6" xfId="2077"/>
    <cellStyle name="Normal 8 3 6 2" xfId="2078"/>
    <cellStyle name="Normal 8 3 6 2 2" xfId="5929"/>
    <cellStyle name="Normal 8 3 6 2 3" xfId="8257"/>
    <cellStyle name="Normal 8 3 6 3" xfId="5928"/>
    <cellStyle name="Normal 8 3 6 4" xfId="8256"/>
    <cellStyle name="Normal 8 3 7" xfId="2079"/>
    <cellStyle name="Normal 8 3 7 2" xfId="2080"/>
    <cellStyle name="Normal 8 3 7 2 2" xfId="5931"/>
    <cellStyle name="Normal 8 3 7 2 3" xfId="8259"/>
    <cellStyle name="Normal 8 3 7 3" xfId="2081"/>
    <cellStyle name="Normal 8 3 7 3 2" xfId="5932"/>
    <cellStyle name="Normal 8 3 7 3 3" xfId="8260"/>
    <cellStyle name="Normal 8 3 7 4" xfId="2082"/>
    <cellStyle name="Normal 8 3 7 4 2" xfId="2083"/>
    <cellStyle name="Normal 8 3 7 4 2 2" xfId="2084"/>
    <cellStyle name="Normal 8 3 7 4 2 2 2" xfId="5935"/>
    <cellStyle name="Normal 8 3 7 4 2 2 3" xfId="8263"/>
    <cellStyle name="Normal 8 3 7 4 2 3" xfId="2085"/>
    <cellStyle name="Normal 8 3 7 4 2 3 2" xfId="2086"/>
    <cellStyle name="Normal 8 3 7 4 2 3 2 2" xfId="5937"/>
    <cellStyle name="Normal 8 3 7 4 2 3 2 3" xfId="8265"/>
    <cellStyle name="Normal 8 3 7 4 2 3 3" xfId="2087"/>
    <cellStyle name="Normal 8 3 7 4 2 3 3 2" xfId="2088"/>
    <cellStyle name="Normal 8 3 7 4 2 3 3 2 2" xfId="5939"/>
    <cellStyle name="Normal 8 3 7 4 2 3 3 2 3" xfId="8267"/>
    <cellStyle name="Normal 8 3 7 4 2 3 3 3" xfId="2089"/>
    <cellStyle name="Normal 8 3 7 4 2 3 3 3 2" xfId="5940"/>
    <cellStyle name="Normal 8 3 7 4 2 3 3 3 3" xfId="8268"/>
    <cellStyle name="Normal 8 3 7 4 2 3 3 4" xfId="2090"/>
    <cellStyle name="Normal 8 3 7 4 2 3 3 4 2" xfId="2091"/>
    <cellStyle name="Normal 8 3 7 4 2 3 3 4 2 2" xfId="5942"/>
    <cellStyle name="Normal 8 3 7 4 2 3 3 4 2 3" xfId="8270"/>
    <cellStyle name="Normal 8 3 7 4 2 3 3 4 3" xfId="2092"/>
    <cellStyle name="Normal 8 3 7 4 2 3 3 4 3 2" xfId="5943"/>
    <cellStyle name="Normal 8 3 7 4 2 3 3 4 3 3" xfId="8271"/>
    <cellStyle name="Normal 8 3 7 4 2 3 3 4 4" xfId="5941"/>
    <cellStyle name="Normal 8 3 7 4 2 3 3 4 5" xfId="8269"/>
    <cellStyle name="Normal 8 3 7 4 2 3 3 5" xfId="5938"/>
    <cellStyle name="Normal 8 3 7 4 2 3 3 6" xfId="8266"/>
    <cellStyle name="Normal 8 3 7 4 2 3 4" xfId="5936"/>
    <cellStyle name="Normal 8 3 7 4 2 3 5" xfId="8264"/>
    <cellStyle name="Normal 8 3 7 4 2 4" xfId="5934"/>
    <cellStyle name="Normal 8 3 7 4 2 5" xfId="8262"/>
    <cellStyle name="Normal 8 3 7 4 3" xfId="2093"/>
    <cellStyle name="Normal 8 3 7 4 3 2" xfId="5944"/>
    <cellStyle name="Normal 8 3 7 4 3 3" xfId="8272"/>
    <cellStyle name="Normal 8 3 7 4 4" xfId="2094"/>
    <cellStyle name="Normal 8 3 7 4 4 2" xfId="2095"/>
    <cellStyle name="Normal 8 3 7 4 4 2 2" xfId="5946"/>
    <cellStyle name="Normal 8 3 7 4 4 2 3" xfId="8274"/>
    <cellStyle name="Normal 8 3 7 4 4 3" xfId="2096"/>
    <cellStyle name="Normal 8 3 7 4 4 3 2" xfId="2097"/>
    <cellStyle name="Normal 8 3 7 4 4 3 2 2" xfId="5948"/>
    <cellStyle name="Normal 8 3 7 4 4 3 2 3" xfId="8276"/>
    <cellStyle name="Normal 8 3 7 4 4 3 3" xfId="2098"/>
    <cellStyle name="Normal 8 3 7 4 4 3 3 2" xfId="5949"/>
    <cellStyle name="Normal 8 3 7 4 4 3 3 3" xfId="8277"/>
    <cellStyle name="Normal 8 3 7 4 4 3 4" xfId="2099"/>
    <cellStyle name="Normal 8 3 7 4 4 3 4 2" xfId="2100"/>
    <cellStyle name="Normal 8 3 7 4 4 3 4 2 2" xfId="5951"/>
    <cellStyle name="Normal 8 3 7 4 4 3 4 2 3" xfId="8279"/>
    <cellStyle name="Normal 8 3 7 4 4 3 4 3" xfId="2101"/>
    <cellStyle name="Normal 8 3 7 4 4 3 4 3 2" xfId="5952"/>
    <cellStyle name="Normal 8 3 7 4 4 3 4 3 3" xfId="8280"/>
    <cellStyle name="Normal 8 3 7 4 4 3 4 4" xfId="5950"/>
    <cellStyle name="Normal 8 3 7 4 4 3 4 5" xfId="8278"/>
    <cellStyle name="Normal 8 3 7 4 4 3 5" xfId="5947"/>
    <cellStyle name="Normal 8 3 7 4 4 3 6" xfId="8275"/>
    <cellStyle name="Normal 8 3 7 4 4 4" xfId="5945"/>
    <cellStyle name="Normal 8 3 7 4 4 5" xfId="8273"/>
    <cellStyle name="Normal 8 3 7 4 5" xfId="5933"/>
    <cellStyle name="Normal 8 3 7 4 6" xfId="8261"/>
    <cellStyle name="Normal 8 3 7 5" xfId="5930"/>
    <cellStyle name="Normal 8 3 7 6" xfId="8258"/>
    <cellStyle name="Normal 8 3 8" xfId="2102"/>
    <cellStyle name="Normal 8 3 8 2" xfId="5953"/>
    <cellStyle name="Normal 8 3 8 3" xfId="8281"/>
    <cellStyle name="Normal 8 3 9" xfId="5844"/>
    <cellStyle name="Normal 8 4" xfId="2103"/>
    <cellStyle name="Normal 8 5" xfId="2104"/>
    <cellStyle name="Normal 8 6" xfId="2105"/>
    <cellStyle name="Normal 8 6 2" xfId="5954"/>
    <cellStyle name="Normal 8 6 2 2" xfId="6960"/>
    <cellStyle name="Normal 8 6 2 3" xfId="10636"/>
    <cellStyle name="Normal 8 6 3" xfId="8282"/>
    <cellStyle name="Normal 8 7" xfId="5841"/>
    <cellStyle name="Normal 8_Enrollment Planning Data" xfId="2106"/>
    <cellStyle name="Normal 80" xfId="2107"/>
    <cellStyle name="Normal 80 2" xfId="2108"/>
    <cellStyle name="Normal 80 3" xfId="2109"/>
    <cellStyle name="Normal 81" xfId="2110"/>
    <cellStyle name="Normal 81 2" xfId="2111"/>
    <cellStyle name="Normal 81 3" xfId="2112"/>
    <cellStyle name="Normal 82" xfId="2113"/>
    <cellStyle name="Normal 82 2" xfId="2114"/>
    <cellStyle name="Normal 82 3" xfId="2115"/>
    <cellStyle name="Normal 83" xfId="2116"/>
    <cellStyle name="Normal 83 2" xfId="2117"/>
    <cellStyle name="Normal 83 3" xfId="2118"/>
    <cellStyle name="Normal 84" xfId="2119"/>
    <cellStyle name="Normal 84 2" xfId="2120"/>
    <cellStyle name="Normal 84 3" xfId="2121"/>
    <cellStyle name="Normal 85" xfId="2122"/>
    <cellStyle name="Normal 85 2" xfId="2123"/>
    <cellStyle name="Normal 85 3" xfId="2124"/>
    <cellStyle name="Normal 86" xfId="2125"/>
    <cellStyle name="Normal 86 2" xfId="2126"/>
    <cellStyle name="Normal 86 3" xfId="2127"/>
    <cellStyle name="Normal 87" xfId="2128"/>
    <cellStyle name="Normal 87 2" xfId="2129"/>
    <cellStyle name="Normal 87 3" xfId="2130"/>
    <cellStyle name="Normal 88" xfId="2131"/>
    <cellStyle name="Normal 88 2" xfId="2132"/>
    <cellStyle name="Normal 88 3" xfId="2133"/>
    <cellStyle name="Normal 89" xfId="2134"/>
    <cellStyle name="Normal 89 2" xfId="2135"/>
    <cellStyle name="Normal 89 3" xfId="2136"/>
    <cellStyle name="Normal 9" xfId="2137"/>
    <cellStyle name="Normal 9 2" xfId="2138"/>
    <cellStyle name="Normal 9 2 2" xfId="2139"/>
    <cellStyle name="Normal 9 2 3" xfId="6961"/>
    <cellStyle name="Normal 9 2 4" xfId="6962"/>
    <cellStyle name="Normal 9 2_Sheet1" xfId="2140"/>
    <cellStyle name="Normal 9 3" xfId="2141"/>
    <cellStyle name="Normal 9 4" xfId="6963"/>
    <cellStyle name="Normal 9 5" xfId="6964"/>
    <cellStyle name="Normal 90" xfId="2142"/>
    <cellStyle name="Normal 90 2" xfId="2143"/>
    <cellStyle name="Normal 90 3" xfId="2144"/>
    <cellStyle name="Normal 91" xfId="2145"/>
    <cellStyle name="Normal 91 2" xfId="2146"/>
    <cellStyle name="Normal 91 3" xfId="2147"/>
    <cellStyle name="Normal 92" xfId="2148"/>
    <cellStyle name="Normal 92 2" xfId="2149"/>
    <cellStyle name="Normal 92 3" xfId="2150"/>
    <cellStyle name="Normal 93" xfId="2151"/>
    <cellStyle name="Normal 93 2" xfId="2152"/>
    <cellStyle name="Normal 93 3" xfId="2153"/>
    <cellStyle name="Normal 94" xfId="2154"/>
    <cellStyle name="Normal 94 2" xfId="2155"/>
    <cellStyle name="Normal 94 3" xfId="2156"/>
    <cellStyle name="Normal 95" xfId="2157"/>
    <cellStyle name="Normal 95 2" xfId="2158"/>
    <cellStyle name="Normal 95 3" xfId="2159"/>
    <cellStyle name="Normal 96" xfId="2160"/>
    <cellStyle name="Normal 96 2" xfId="2161"/>
    <cellStyle name="Normal 96 3" xfId="2162"/>
    <cellStyle name="Normal 97" xfId="2163"/>
    <cellStyle name="Normal 97 2" xfId="2164"/>
    <cellStyle name="Normal 97 3" xfId="2165"/>
    <cellStyle name="Normal 98" xfId="2166"/>
    <cellStyle name="Normal 98 2" xfId="2167"/>
    <cellStyle name="Normal 98 3" xfId="2168"/>
    <cellStyle name="Normal 99" xfId="2169"/>
    <cellStyle name="Normal 99 2" xfId="2170"/>
    <cellStyle name="Normal 99 3" xfId="2171"/>
    <cellStyle name="Normal_010" xfId="2172"/>
    <cellStyle name="Normal_Alloc Sched Data" xfId="2173"/>
    <cellStyle name="Normal_allosum02" xfId="2174"/>
    <cellStyle name="Normal_CurrentData" xfId="31813"/>
    <cellStyle name="Normal_Sheet1" xfId="2175"/>
    <cellStyle name="Normal_Sheet2" xfId="2176"/>
    <cellStyle name="Percent" xfId="2177" builtinId="5"/>
    <cellStyle name="Percent 1" xfId="6965"/>
    <cellStyle name="Percent 10" xfId="2178"/>
    <cellStyle name="Percent 10 2" xfId="2179"/>
    <cellStyle name="Percent 10 2 2" xfId="5956"/>
    <cellStyle name="Percent 10 2 3" xfId="8285"/>
    <cellStyle name="Percent 10 3" xfId="2180"/>
    <cellStyle name="Percent 10 3 2" xfId="2181"/>
    <cellStyle name="Percent 10 3 3" xfId="2182"/>
    <cellStyle name="Percent 10 3 4" xfId="6966"/>
    <cellStyle name="Percent 10 4" xfId="5955"/>
    <cellStyle name="Percent 10 4 2" xfId="6967"/>
    <cellStyle name="Percent 10 4 3" xfId="10637"/>
    <cellStyle name="Percent 10 5" xfId="6968"/>
    <cellStyle name="Percent 10 6" xfId="8284"/>
    <cellStyle name="Percent 11" xfId="2183"/>
    <cellStyle name="Percent 11 2" xfId="2184"/>
    <cellStyle name="Percent 11 2 2" xfId="5958"/>
    <cellStyle name="Percent 11 2 3" xfId="8287"/>
    <cellStyle name="Percent 11 3" xfId="2185"/>
    <cellStyle name="Percent 11 3 2" xfId="5959"/>
    <cellStyle name="Percent 11 3 3" xfId="8288"/>
    <cellStyle name="Percent 11 4" xfId="2186"/>
    <cellStyle name="Percent 11 4 2" xfId="2187"/>
    <cellStyle name="Percent 11 4 2 2" xfId="5961"/>
    <cellStyle name="Percent 11 4 2 3" xfId="8290"/>
    <cellStyle name="Percent 11 4 3" xfId="2188"/>
    <cellStyle name="Percent 11 4 3 2" xfId="5962"/>
    <cellStyle name="Percent 11 4 3 3" xfId="8291"/>
    <cellStyle name="Percent 11 4 4" xfId="5960"/>
    <cellStyle name="Percent 11 4 5" xfId="8289"/>
    <cellStyle name="Percent 11 5" xfId="5957"/>
    <cellStyle name="Percent 11 6" xfId="8286"/>
    <cellStyle name="Percent 12" xfId="2189"/>
    <cellStyle name="Percent 12 2" xfId="2190"/>
    <cellStyle name="Percent 12 2 2" xfId="5964"/>
    <cellStyle name="Percent 12 2 3" xfId="8293"/>
    <cellStyle name="Percent 12 3" xfId="2191"/>
    <cellStyle name="Percent 12 3 2" xfId="5965"/>
    <cellStyle name="Percent 12 3 3" xfId="8294"/>
    <cellStyle name="Percent 12 4" xfId="5963"/>
    <cellStyle name="Percent 12 4 2" xfId="6969"/>
    <cellStyle name="Percent 12 4 3" xfId="10638"/>
    <cellStyle name="Percent 12 5" xfId="8292"/>
    <cellStyle name="Percent 13" xfId="2192"/>
    <cellStyle name="Percent 13 2" xfId="2193"/>
    <cellStyle name="Percent 13 2 2" xfId="5967"/>
    <cellStyle name="Percent 13 2 3" xfId="8296"/>
    <cellStyle name="Percent 13 3" xfId="2194"/>
    <cellStyle name="Percent 13 3 2" xfId="2195"/>
    <cellStyle name="Percent 13 3 2 2" xfId="5969"/>
    <cellStyle name="Percent 13 3 2 3" xfId="8298"/>
    <cellStyle name="Percent 13 3 3" xfId="5968"/>
    <cellStyle name="Percent 13 3 3 2" xfId="10640"/>
    <cellStyle name="Percent 13 3 4" xfId="8297"/>
    <cellStyle name="Percent 13 4" xfId="5966"/>
    <cellStyle name="Percent 13 4 2" xfId="6970"/>
    <cellStyle name="Percent 13 4 3" xfId="10639"/>
    <cellStyle name="Percent 13 5" xfId="8295"/>
    <cellStyle name="Percent 14" xfId="2196"/>
    <cellStyle name="Percent 14 2" xfId="5970"/>
    <cellStyle name="Percent 14 3" xfId="8299"/>
    <cellStyle name="Percent 15" xfId="2197"/>
    <cellStyle name="Percent 15 2" xfId="2198"/>
    <cellStyle name="Percent 15 2 2" xfId="5972"/>
    <cellStyle name="Percent 15 2 3" xfId="8301"/>
    <cellStyle name="Percent 15 3" xfId="2199"/>
    <cellStyle name="Percent 15 3 2" xfId="2200"/>
    <cellStyle name="Percent 15 3 2 2" xfId="5974"/>
    <cellStyle name="Percent 15 3 2 3" xfId="8303"/>
    <cellStyle name="Percent 15 3 3" xfId="5973"/>
    <cellStyle name="Percent 15 3 4" xfId="8302"/>
    <cellStyle name="Percent 15 4" xfId="3386"/>
    <cellStyle name="Percent 15 4 2" xfId="5975"/>
    <cellStyle name="Percent 15 5" xfId="5971"/>
    <cellStyle name="Percent 15 6" xfId="8300"/>
    <cellStyle name="Percent 16" xfId="2201"/>
    <cellStyle name="Percent 16 2" xfId="2202"/>
    <cellStyle name="Percent 16 2 2" xfId="5977"/>
    <cellStyle name="Percent 16 2 3" xfId="8305"/>
    <cellStyle name="Percent 16 3" xfId="5976"/>
    <cellStyle name="Percent 16 4" xfId="8304"/>
    <cellStyle name="Percent 17" xfId="2203"/>
    <cellStyle name="Percent 17 2" xfId="2204"/>
    <cellStyle name="Percent 17 3" xfId="2205"/>
    <cellStyle name="Percent 18" xfId="2206"/>
    <cellStyle name="Percent 18 2" xfId="2207"/>
    <cellStyle name="Percent 18 2 2" xfId="2208"/>
    <cellStyle name="Percent 18 2 2 2" xfId="5980"/>
    <cellStyle name="Percent 18 2 2 3" xfId="8308"/>
    <cellStyle name="Percent 18 2 3" xfId="2209"/>
    <cellStyle name="Percent 18 2 3 2" xfId="3387"/>
    <cellStyle name="Percent 18 2 3 2 2" xfId="5982"/>
    <cellStyle name="Percent 18 2 3 3" xfId="5981"/>
    <cellStyle name="Percent 18 2 3 4" xfId="8309"/>
    <cellStyle name="Percent 18 2 4" xfId="5979"/>
    <cellStyle name="Percent 18 2 5" xfId="8307"/>
    <cellStyle name="Percent 18 3" xfId="2210"/>
    <cellStyle name="Percent 18 3 2" xfId="5983"/>
    <cellStyle name="Percent 18 3 3" xfId="8310"/>
    <cellStyle name="Percent 18 4" xfId="5978"/>
    <cellStyle name="Percent 18 5" xfId="8306"/>
    <cellStyle name="Percent 19" xfId="2211"/>
    <cellStyle name="Percent 19 2" xfId="2212"/>
    <cellStyle name="Percent 19 2 2" xfId="5985"/>
    <cellStyle name="Percent 19 2 3" xfId="8312"/>
    <cellStyle name="Percent 19 3" xfId="2213"/>
    <cellStyle name="Percent 19 3 2" xfId="5986"/>
    <cellStyle name="Percent 19 3 3" xfId="8313"/>
    <cellStyle name="Percent 19 4" xfId="5984"/>
    <cellStyle name="Percent 19 5" xfId="8311"/>
    <cellStyle name="Percent 2" xfId="2214"/>
    <cellStyle name="Percent 2 2" xfId="2215"/>
    <cellStyle name="Percent 2 2 2" xfId="2216"/>
    <cellStyle name="Percent 2 2 2 2" xfId="2217"/>
    <cellStyle name="Percent 2 2 2 2 2" xfId="5989"/>
    <cellStyle name="Percent 2 2 2 2 3" xfId="8317"/>
    <cellStyle name="Percent 2 2 2 3" xfId="2218"/>
    <cellStyle name="Percent 2 2 2 3 2" xfId="2219"/>
    <cellStyle name="Percent 2 2 2 3 2 2" xfId="5991"/>
    <cellStyle name="Percent 2 2 2 3 2 3" xfId="8319"/>
    <cellStyle name="Percent 2 2 2 3 3" xfId="5990"/>
    <cellStyle name="Percent 2 2 2 3 4" xfId="8318"/>
    <cellStyle name="Percent 2 2 2 4" xfId="2220"/>
    <cellStyle name="Percent 2 2 2 4 2" xfId="5992"/>
    <cellStyle name="Percent 2 2 2 4 3" xfId="8320"/>
    <cellStyle name="Percent 2 2 2 5" xfId="5988"/>
    <cellStyle name="Percent 2 2 2 6" xfId="8316"/>
    <cellStyle name="Percent 2 2 3" xfId="2221"/>
    <cellStyle name="Percent 2 2 3 2" xfId="2222"/>
    <cellStyle name="Percent 2 2 3 2 2" xfId="5993"/>
    <cellStyle name="Percent 2 2 3 2 3" xfId="8321"/>
    <cellStyle name="Percent 2 2 4" xfId="2223"/>
    <cellStyle name="Percent 2 2 4 2" xfId="2224"/>
    <cellStyle name="Percent 2 2 4 2 2" xfId="2225"/>
    <cellStyle name="Percent 2 2 4 2 2 2" xfId="2226"/>
    <cellStyle name="Percent 2 2 4 2 2 3" xfId="2227"/>
    <cellStyle name="Percent 2 2 4 2 3" xfId="2228"/>
    <cellStyle name="Percent 2 2 4 2 4" xfId="2229"/>
    <cellStyle name="Percent 2 2 4 2 4 2" xfId="2230"/>
    <cellStyle name="Percent 2 2 4 2 4 3" xfId="2231"/>
    <cellStyle name="Percent 2 2 4 2 4 3 2" xfId="2232"/>
    <cellStyle name="Percent 2 2 4 2 4 4" xfId="2233"/>
    <cellStyle name="Percent 2 2 4 2 4 4 2" xfId="2234"/>
    <cellStyle name="Percent 2 2 4 2 4 5" xfId="2235"/>
    <cellStyle name="Percent 2 2 4 2 4 5 2" xfId="2236"/>
    <cellStyle name="Percent 2 2 4 2 5" xfId="3388"/>
    <cellStyle name="Percent 2 2 4 3" xfId="2237"/>
    <cellStyle name="Percent 2 2 4 3 2" xfId="2238"/>
    <cellStyle name="Percent 2 2 4 3 3" xfId="2239"/>
    <cellStyle name="Percent 2 2 4 3 3 2" xfId="2240"/>
    <cellStyle name="Percent 2 2 4 4" xfId="2241"/>
    <cellStyle name="Percent 2 2 4 4 2" xfId="2242"/>
    <cellStyle name="Percent 2 2 4 4 3" xfId="2243"/>
    <cellStyle name="Percent 2 2 4 5" xfId="2244"/>
    <cellStyle name="Percent 2 2 4 5 2" xfId="2245"/>
    <cellStyle name="Percent 2 2 4 6" xfId="2246"/>
    <cellStyle name="Percent 2 2 4 6 2" xfId="3389"/>
    <cellStyle name="Percent 2 2 4 6 3" xfId="5994"/>
    <cellStyle name="Percent 2 2 4 7" xfId="2247"/>
    <cellStyle name="Percent 2 2 4 7 2" xfId="5995"/>
    <cellStyle name="Percent 2 2 4 8" xfId="4044"/>
    <cellStyle name="Percent 2 2 4 8 2" xfId="6972"/>
    <cellStyle name="Percent 2 2 4 8 3" xfId="6971"/>
    <cellStyle name="Percent 2 2 4 8 4" xfId="9650"/>
    <cellStyle name="Percent 2 2 4 9" xfId="6973"/>
    <cellStyle name="Percent 2 2 5" xfId="4095"/>
    <cellStyle name="Percent 2 2 6" xfId="5987"/>
    <cellStyle name="Percent 2 2 7" xfId="8315"/>
    <cellStyle name="Percent 2 3" xfId="2248"/>
    <cellStyle name="Percent 2 3 2" xfId="2249"/>
    <cellStyle name="Percent 2 3 2 2" xfId="5997"/>
    <cellStyle name="Percent 2 3 2 3" xfId="8322"/>
    <cellStyle name="Percent 2 3 3" xfId="2250"/>
    <cellStyle name="Percent 2 3 4" xfId="2251"/>
    <cellStyle name="Percent 2 3 5" xfId="2252"/>
    <cellStyle name="Percent 2 3 5 2" xfId="5998"/>
    <cellStyle name="Percent 2 3 5 3" xfId="8323"/>
    <cellStyle name="Percent 2 3 6" xfId="4096"/>
    <cellStyle name="Percent 2 3 7" xfId="5996"/>
    <cellStyle name="Percent 2 4" xfId="2253"/>
    <cellStyle name="Percent 2 4 2" xfId="5999"/>
    <cellStyle name="Percent 2 4 3" xfId="8324"/>
    <cellStyle name="Percent 2 5" xfId="2254"/>
    <cellStyle name="Percent 2 5 2" xfId="6000"/>
    <cellStyle name="Percent 2 5 3" xfId="8325"/>
    <cellStyle name="Percent 2 6" xfId="2255"/>
    <cellStyle name="Percent 2 6 2" xfId="6001"/>
    <cellStyle name="Percent 2 6 3" xfId="8326"/>
    <cellStyle name="Percent 2 7" xfId="2256"/>
    <cellStyle name="Percent 2 8" xfId="4094"/>
    <cellStyle name="Percent 2 9" xfId="8314"/>
    <cellStyle name="Percent 20" xfId="2257"/>
    <cellStyle name="Percent 20 2" xfId="2258"/>
    <cellStyle name="Percent 20 2 2" xfId="3392"/>
    <cellStyle name="Percent 20 2 2 2" xfId="6003"/>
    <cellStyle name="Percent 20 2 2 3" xfId="9019"/>
    <cellStyle name="Percent 20 2 3" xfId="3391"/>
    <cellStyle name="Percent 20 2 3 2" xfId="6004"/>
    <cellStyle name="Percent 20 2 3 3" xfId="9018"/>
    <cellStyle name="Percent 20 2 4" xfId="6002"/>
    <cellStyle name="Percent 20 2 5" xfId="8328"/>
    <cellStyle name="Percent 20 3" xfId="3393"/>
    <cellStyle name="Percent 20 3 2" xfId="6974"/>
    <cellStyle name="Percent 20 3 3" xfId="9020"/>
    <cellStyle name="Percent 20 4" xfId="3390"/>
    <cellStyle name="Percent 20 4 2" xfId="6975"/>
    <cellStyle name="Percent 20 4 3" xfId="9017"/>
    <cellStyle name="Percent 20 5" xfId="8327"/>
    <cellStyle name="Percent 21" xfId="2259"/>
    <cellStyle name="Percent 21 2" xfId="2260"/>
    <cellStyle name="Percent 22" xfId="2261"/>
    <cellStyle name="Percent 22 2" xfId="2262"/>
    <cellStyle name="Percent 22 2 2" xfId="3395"/>
    <cellStyle name="Percent 22 2 2 2" xfId="6007"/>
    <cellStyle name="Percent 22 2 2 3" xfId="9022"/>
    <cellStyle name="Percent 22 2 3" xfId="6006"/>
    <cellStyle name="Percent 22 2 3 2" xfId="10642"/>
    <cellStyle name="Percent 22 2 4" xfId="8330"/>
    <cellStyle name="Percent 22 3" xfId="3394"/>
    <cellStyle name="Percent 22 3 2" xfId="6008"/>
    <cellStyle name="Percent 22 3 3" xfId="9021"/>
    <cellStyle name="Percent 22 4" xfId="6005"/>
    <cellStyle name="Percent 22 4 2" xfId="10641"/>
    <cellStyle name="Percent 22 5" xfId="8329"/>
    <cellStyle name="Percent 23" xfId="3396"/>
    <cellStyle name="Percent 23 2" xfId="6010"/>
    <cellStyle name="Percent 23 2 2" xfId="6977"/>
    <cellStyle name="Percent 23 2 3" xfId="10643"/>
    <cellStyle name="Percent 23 3" xfId="6009"/>
    <cellStyle name="Percent 23 4" xfId="6976"/>
    <cellStyle name="Percent 23 5" xfId="9023"/>
    <cellStyle name="Percent 24" xfId="3588"/>
    <cellStyle name="Percent 24 2" xfId="3759"/>
    <cellStyle name="Percent 24 3" xfId="6011"/>
    <cellStyle name="Percent 24 3 2" xfId="10644"/>
    <cellStyle name="Percent 24 3 2 2" xfId="17628"/>
    <cellStyle name="Percent 24 3 2 3" xfId="24595"/>
    <cellStyle name="Percent 24 3 2 4" xfId="31562"/>
    <cellStyle name="Percent 24 3 2 5" xfId="38531"/>
    <cellStyle name="Percent 24 3 3" xfId="15308"/>
    <cellStyle name="Percent 24 3 3 2" xfId="22275"/>
    <cellStyle name="Percent 24 3 3 3" xfId="29242"/>
    <cellStyle name="Percent 24 3 3 4" xfId="36211"/>
    <cellStyle name="Percent 24 3 4" xfId="12986"/>
    <cellStyle name="Percent 24 3 5" xfId="19953"/>
    <cellStyle name="Percent 24 3 6" xfId="26920"/>
    <cellStyle name="Percent 24 3 7" xfId="33888"/>
    <cellStyle name="Percent 24 4" xfId="9197"/>
    <cellStyle name="Percent 24 4 2" xfId="16236"/>
    <cellStyle name="Percent 24 4 3" xfId="23203"/>
    <cellStyle name="Percent 24 4 4" xfId="30170"/>
    <cellStyle name="Percent 24 4 5" xfId="37139"/>
    <cellStyle name="Percent 24 5" xfId="13916"/>
    <cellStyle name="Percent 24 5 2" xfId="20883"/>
    <cellStyle name="Percent 24 5 3" xfId="27850"/>
    <cellStyle name="Percent 24 5 4" xfId="34819"/>
    <cellStyle name="Percent 24 6" xfId="11594"/>
    <cellStyle name="Percent 24 7" xfId="18561"/>
    <cellStyle name="Percent 24 8" xfId="25528"/>
    <cellStyle name="Percent 24 9" xfId="32496"/>
    <cellStyle name="Percent 25" xfId="8283"/>
    <cellStyle name="Percent 3" xfId="2263"/>
    <cellStyle name="Percent 3 10" xfId="2264"/>
    <cellStyle name="Percent 3 10 2" xfId="2265"/>
    <cellStyle name="Percent 3 10 3" xfId="3792"/>
    <cellStyle name="Percent 3 10 3 2" xfId="6012"/>
    <cellStyle name="Percent 3 10 3 2 2" xfId="10645"/>
    <cellStyle name="Percent 3 10 3 2 2 2" xfId="17629"/>
    <cellStyle name="Percent 3 10 3 2 2 3" xfId="24596"/>
    <cellStyle name="Percent 3 10 3 2 2 4" xfId="31563"/>
    <cellStyle name="Percent 3 10 3 2 2 5" xfId="38532"/>
    <cellStyle name="Percent 3 10 3 2 3" xfId="15309"/>
    <cellStyle name="Percent 3 10 3 2 3 2" xfId="22276"/>
    <cellStyle name="Percent 3 10 3 2 3 3" xfId="29243"/>
    <cellStyle name="Percent 3 10 3 2 3 4" xfId="36212"/>
    <cellStyle name="Percent 3 10 3 2 4" xfId="12987"/>
    <cellStyle name="Percent 3 10 3 2 5" xfId="19954"/>
    <cellStyle name="Percent 3 10 3 2 6" xfId="26921"/>
    <cellStyle name="Percent 3 10 3 2 7" xfId="33889"/>
    <cellStyle name="Percent 3 10 3 3" xfId="9399"/>
    <cellStyle name="Percent 3 10 3 3 2" xfId="16437"/>
    <cellStyle name="Percent 3 10 3 3 3" xfId="23404"/>
    <cellStyle name="Percent 3 10 3 3 4" xfId="30371"/>
    <cellStyle name="Percent 3 10 3 3 5" xfId="37340"/>
    <cellStyle name="Percent 3 10 3 4" xfId="14117"/>
    <cellStyle name="Percent 3 10 3 4 2" xfId="21084"/>
    <cellStyle name="Percent 3 10 3 4 3" xfId="28051"/>
    <cellStyle name="Percent 3 10 3 4 4" xfId="35020"/>
    <cellStyle name="Percent 3 10 3 5" xfId="11795"/>
    <cellStyle name="Percent 3 10 3 6" xfId="18762"/>
    <cellStyle name="Percent 3 10 3 7" xfId="25729"/>
    <cellStyle name="Percent 3 10 3 8" xfId="32697"/>
    <cellStyle name="Percent 3 11" xfId="2266"/>
    <cellStyle name="Percent 3 11 2" xfId="3398"/>
    <cellStyle name="Percent 3 11 3" xfId="3397"/>
    <cellStyle name="Percent 3 12" xfId="2267"/>
    <cellStyle name="Percent 3 12 2" xfId="6013"/>
    <cellStyle name="Percent 3 13" xfId="4078"/>
    <cellStyle name="Percent 3 13 2" xfId="6014"/>
    <cellStyle name="Percent 3 13 2 2" xfId="6979"/>
    <cellStyle name="Percent 3 13 2 3" xfId="10646"/>
    <cellStyle name="Percent 3 13 2 3 2" xfId="17630"/>
    <cellStyle name="Percent 3 13 2 3 2 2" xfId="24597"/>
    <cellStyle name="Percent 3 13 2 3 2 3" xfId="31564"/>
    <cellStyle name="Percent 3 13 2 3 2 4" xfId="38533"/>
    <cellStyle name="Percent 3 13 2 3 3" xfId="12988"/>
    <cellStyle name="Percent 3 13 2 3 4" xfId="19955"/>
    <cellStyle name="Percent 3 13 2 3 5" xfId="26922"/>
    <cellStyle name="Percent 3 13 2 3 6" xfId="33890"/>
    <cellStyle name="Percent 3 13 2 4" xfId="15310"/>
    <cellStyle name="Percent 3 13 2 4 2" xfId="22277"/>
    <cellStyle name="Percent 3 13 2 4 3" xfId="29244"/>
    <cellStyle name="Percent 3 13 2 4 4" xfId="36213"/>
    <cellStyle name="Percent 3 13 3" xfId="6978"/>
    <cellStyle name="Percent 3 13 4" xfId="9684"/>
    <cellStyle name="Percent 3 13 4 2" xfId="16707"/>
    <cellStyle name="Percent 3 13 4 2 2" xfId="23674"/>
    <cellStyle name="Percent 3 13 4 2 3" xfId="30641"/>
    <cellStyle name="Percent 3 13 4 2 4" xfId="37610"/>
    <cellStyle name="Percent 3 13 4 3" xfId="12065"/>
    <cellStyle name="Percent 3 13 4 4" xfId="19032"/>
    <cellStyle name="Percent 3 13 4 5" xfId="25999"/>
    <cellStyle name="Percent 3 13 4 6" xfId="32967"/>
    <cellStyle name="Percent 3 13 5" xfId="14387"/>
    <cellStyle name="Percent 3 13 5 2" xfId="21354"/>
    <cellStyle name="Percent 3 13 5 3" xfId="28321"/>
    <cellStyle name="Percent 3 13 5 4" xfId="35290"/>
    <cellStyle name="Percent 3 14" xfId="4097"/>
    <cellStyle name="Percent 3 14 2" xfId="6980"/>
    <cellStyle name="Percent 3 14 3" xfId="9692"/>
    <cellStyle name="Percent 3 2" xfId="2268"/>
    <cellStyle name="Percent 3 2 10" xfId="2269"/>
    <cellStyle name="Percent 3 2 10 2" xfId="6016"/>
    <cellStyle name="Percent 3 2 11" xfId="4076"/>
    <cellStyle name="Percent 3 2 11 2" xfId="6017"/>
    <cellStyle name="Percent 3 2 11 2 2" xfId="6982"/>
    <cellStyle name="Percent 3 2 11 2 3" xfId="10648"/>
    <cellStyle name="Percent 3 2 11 2 3 2" xfId="17631"/>
    <cellStyle name="Percent 3 2 11 2 3 2 2" xfId="24598"/>
    <cellStyle name="Percent 3 2 11 2 3 2 3" xfId="31565"/>
    <cellStyle name="Percent 3 2 11 2 3 2 4" xfId="38534"/>
    <cellStyle name="Percent 3 2 11 2 3 3" xfId="12989"/>
    <cellStyle name="Percent 3 2 11 2 3 4" xfId="19956"/>
    <cellStyle name="Percent 3 2 11 2 3 5" xfId="26923"/>
    <cellStyle name="Percent 3 2 11 2 3 6" xfId="33891"/>
    <cellStyle name="Percent 3 2 11 2 4" xfId="15311"/>
    <cellStyle name="Percent 3 2 11 2 4 2" xfId="22278"/>
    <cellStyle name="Percent 3 2 11 2 4 3" xfId="29245"/>
    <cellStyle name="Percent 3 2 11 2 4 4" xfId="36214"/>
    <cellStyle name="Percent 3 2 11 3" xfId="6981"/>
    <cellStyle name="Percent 3 2 11 4" xfId="9682"/>
    <cellStyle name="Percent 3 2 11 4 2" xfId="16705"/>
    <cellStyle name="Percent 3 2 11 4 2 2" xfId="23672"/>
    <cellStyle name="Percent 3 2 11 4 2 3" xfId="30639"/>
    <cellStyle name="Percent 3 2 11 4 2 4" xfId="37608"/>
    <cellStyle name="Percent 3 2 11 4 3" xfId="12063"/>
    <cellStyle name="Percent 3 2 11 4 4" xfId="19030"/>
    <cellStyle name="Percent 3 2 11 4 5" xfId="25997"/>
    <cellStyle name="Percent 3 2 11 4 6" xfId="32965"/>
    <cellStyle name="Percent 3 2 11 5" xfId="14385"/>
    <cellStyle name="Percent 3 2 11 5 2" xfId="21352"/>
    <cellStyle name="Percent 3 2 11 5 3" xfId="28319"/>
    <cellStyle name="Percent 3 2 11 5 4" xfId="35288"/>
    <cellStyle name="Percent 3 2 12" xfId="6015"/>
    <cellStyle name="Percent 3 2 12 2" xfId="6983"/>
    <cellStyle name="Percent 3 2 12 3" xfId="10647"/>
    <cellStyle name="Percent 3 2 2" xfId="2270"/>
    <cellStyle name="Percent 3 2 2 10" xfId="8331"/>
    <cellStyle name="Percent 3 2 2 2" xfId="2271"/>
    <cellStyle name="Percent 3 2 2 2 2" xfId="2272"/>
    <cellStyle name="Percent 3 2 2 2 2 2" xfId="2273"/>
    <cellStyle name="Percent 3 2 2 2 2 3" xfId="2274"/>
    <cellStyle name="Percent 3 2 2 2 2 3 2" xfId="3788"/>
    <cellStyle name="Percent 3 2 2 2 2 3 2 2" xfId="6020"/>
    <cellStyle name="Percent 3 2 2 2 2 3 2 2 2" xfId="10649"/>
    <cellStyle name="Percent 3 2 2 2 2 3 2 2 2 2" xfId="17632"/>
    <cellStyle name="Percent 3 2 2 2 2 3 2 2 2 3" xfId="24599"/>
    <cellStyle name="Percent 3 2 2 2 2 3 2 2 2 4" xfId="31566"/>
    <cellStyle name="Percent 3 2 2 2 2 3 2 2 2 5" xfId="38535"/>
    <cellStyle name="Percent 3 2 2 2 2 3 2 2 3" xfId="15312"/>
    <cellStyle name="Percent 3 2 2 2 2 3 2 2 3 2" xfId="22279"/>
    <cellStyle name="Percent 3 2 2 2 2 3 2 2 3 3" xfId="29246"/>
    <cellStyle name="Percent 3 2 2 2 2 3 2 2 3 4" xfId="36215"/>
    <cellStyle name="Percent 3 2 2 2 2 3 2 2 4" xfId="12990"/>
    <cellStyle name="Percent 3 2 2 2 2 3 2 2 5" xfId="19957"/>
    <cellStyle name="Percent 3 2 2 2 2 3 2 2 6" xfId="26924"/>
    <cellStyle name="Percent 3 2 2 2 2 3 2 2 7" xfId="33892"/>
    <cellStyle name="Percent 3 2 2 2 2 3 2 3" xfId="9395"/>
    <cellStyle name="Percent 3 2 2 2 2 3 2 3 2" xfId="16433"/>
    <cellStyle name="Percent 3 2 2 2 2 3 2 3 3" xfId="23400"/>
    <cellStyle name="Percent 3 2 2 2 2 3 2 3 4" xfId="30367"/>
    <cellStyle name="Percent 3 2 2 2 2 3 2 3 5" xfId="37336"/>
    <cellStyle name="Percent 3 2 2 2 2 3 2 4" xfId="14113"/>
    <cellStyle name="Percent 3 2 2 2 2 3 2 4 2" xfId="21080"/>
    <cellStyle name="Percent 3 2 2 2 2 3 2 4 3" xfId="28047"/>
    <cellStyle name="Percent 3 2 2 2 2 3 2 4 4" xfId="35016"/>
    <cellStyle name="Percent 3 2 2 2 2 3 2 5" xfId="11791"/>
    <cellStyle name="Percent 3 2 2 2 2 3 2 6" xfId="18758"/>
    <cellStyle name="Percent 3 2 2 2 2 3 2 7" xfId="25725"/>
    <cellStyle name="Percent 3 2 2 2 2 3 2 8" xfId="32693"/>
    <cellStyle name="Percent 3 2 2 2 2 4" xfId="2275"/>
    <cellStyle name="Percent 3 2 2 2 2 4 2" xfId="2276"/>
    <cellStyle name="Percent 3 2 2 2 2 5" xfId="2277"/>
    <cellStyle name="Percent 3 2 2 2 2 5 2" xfId="6021"/>
    <cellStyle name="Percent 3 2 2 2 2 6" xfId="2278"/>
    <cellStyle name="Percent 3 2 2 2 2 6 2" xfId="6022"/>
    <cellStyle name="Percent 3 2 2 2 2 7" xfId="3864"/>
    <cellStyle name="Percent 3 2 2 2 2 7 2" xfId="6023"/>
    <cellStyle name="Percent 3 2 2 2 2 7 2 2" xfId="6985"/>
    <cellStyle name="Percent 3 2 2 2 2 7 2 3" xfId="10650"/>
    <cellStyle name="Percent 3 2 2 2 2 7 2 3 2" xfId="17633"/>
    <cellStyle name="Percent 3 2 2 2 2 7 2 3 2 2" xfId="24600"/>
    <cellStyle name="Percent 3 2 2 2 2 7 2 3 2 3" xfId="31567"/>
    <cellStyle name="Percent 3 2 2 2 2 7 2 3 2 4" xfId="38536"/>
    <cellStyle name="Percent 3 2 2 2 2 7 2 3 3" xfId="12991"/>
    <cellStyle name="Percent 3 2 2 2 2 7 2 3 4" xfId="19958"/>
    <cellStyle name="Percent 3 2 2 2 2 7 2 3 5" xfId="26925"/>
    <cellStyle name="Percent 3 2 2 2 2 7 2 3 6" xfId="33893"/>
    <cellStyle name="Percent 3 2 2 2 2 7 2 4" xfId="15313"/>
    <cellStyle name="Percent 3 2 2 2 2 7 2 4 2" xfId="22280"/>
    <cellStyle name="Percent 3 2 2 2 2 7 2 4 3" xfId="29247"/>
    <cellStyle name="Percent 3 2 2 2 2 7 2 4 4" xfId="36216"/>
    <cellStyle name="Percent 3 2 2 2 2 7 3" xfId="6984"/>
    <cellStyle name="Percent 3 2 2 2 2 7 4" xfId="9470"/>
    <cellStyle name="Percent 3 2 2 2 2 7 4 2" xfId="16507"/>
    <cellStyle name="Percent 3 2 2 2 2 7 4 2 2" xfId="23474"/>
    <cellStyle name="Percent 3 2 2 2 2 7 4 2 3" xfId="30441"/>
    <cellStyle name="Percent 3 2 2 2 2 7 4 2 4" xfId="37410"/>
    <cellStyle name="Percent 3 2 2 2 2 7 4 3" xfId="11865"/>
    <cellStyle name="Percent 3 2 2 2 2 7 4 4" xfId="18832"/>
    <cellStyle name="Percent 3 2 2 2 2 7 4 5" xfId="25799"/>
    <cellStyle name="Percent 3 2 2 2 2 7 4 6" xfId="32767"/>
    <cellStyle name="Percent 3 2 2 2 2 7 5" xfId="14187"/>
    <cellStyle name="Percent 3 2 2 2 2 7 5 2" xfId="21154"/>
    <cellStyle name="Percent 3 2 2 2 2 7 5 3" xfId="28121"/>
    <cellStyle name="Percent 3 2 2 2 2 7 5 4" xfId="35090"/>
    <cellStyle name="Percent 3 2 2 2 3" xfId="3789"/>
    <cellStyle name="Percent 3 2 2 2 3 2" xfId="6024"/>
    <cellStyle name="Percent 3 2 2 2 3 2 2" xfId="10651"/>
    <cellStyle name="Percent 3 2 2 2 3 2 2 2" xfId="17634"/>
    <cellStyle name="Percent 3 2 2 2 3 2 2 3" xfId="24601"/>
    <cellStyle name="Percent 3 2 2 2 3 2 2 4" xfId="31568"/>
    <cellStyle name="Percent 3 2 2 2 3 2 2 5" xfId="38537"/>
    <cellStyle name="Percent 3 2 2 2 3 2 3" xfId="15314"/>
    <cellStyle name="Percent 3 2 2 2 3 2 3 2" xfId="22281"/>
    <cellStyle name="Percent 3 2 2 2 3 2 3 3" xfId="29248"/>
    <cellStyle name="Percent 3 2 2 2 3 2 3 4" xfId="36217"/>
    <cellStyle name="Percent 3 2 2 2 3 2 4" xfId="12992"/>
    <cellStyle name="Percent 3 2 2 2 3 2 5" xfId="19959"/>
    <cellStyle name="Percent 3 2 2 2 3 2 6" xfId="26926"/>
    <cellStyle name="Percent 3 2 2 2 3 2 7" xfId="33894"/>
    <cellStyle name="Percent 3 2 2 2 3 3" xfId="9396"/>
    <cellStyle name="Percent 3 2 2 2 3 3 2" xfId="16434"/>
    <cellStyle name="Percent 3 2 2 2 3 3 3" xfId="23401"/>
    <cellStyle name="Percent 3 2 2 2 3 3 4" xfId="30368"/>
    <cellStyle name="Percent 3 2 2 2 3 3 5" xfId="37337"/>
    <cellStyle name="Percent 3 2 2 2 3 4" xfId="14114"/>
    <cellStyle name="Percent 3 2 2 2 3 4 2" xfId="21081"/>
    <cellStyle name="Percent 3 2 2 2 3 4 3" xfId="28048"/>
    <cellStyle name="Percent 3 2 2 2 3 4 4" xfId="35017"/>
    <cellStyle name="Percent 3 2 2 2 3 5" xfId="11792"/>
    <cellStyle name="Percent 3 2 2 2 3 6" xfId="18759"/>
    <cellStyle name="Percent 3 2 2 2 3 7" xfId="25726"/>
    <cellStyle name="Percent 3 2 2 2 3 8" xfId="32694"/>
    <cellStyle name="Percent 3 2 2 2 4" xfId="6019"/>
    <cellStyle name="Percent 3 2 2 2 5" xfId="8332"/>
    <cellStyle name="Percent 3 2 2 3" xfId="2279"/>
    <cellStyle name="Percent 3 2 2 3 2" xfId="2280"/>
    <cellStyle name="Percent 3 2 2 3 2 2" xfId="2281"/>
    <cellStyle name="Percent 3 2 2 3 2 2 2" xfId="2282"/>
    <cellStyle name="Percent 3 2 2 3 2 2 3" xfId="3786"/>
    <cellStyle name="Percent 3 2 2 3 2 2 3 2" xfId="6025"/>
    <cellStyle name="Percent 3 2 2 3 2 2 3 2 2" xfId="10652"/>
    <cellStyle name="Percent 3 2 2 3 2 2 3 2 2 2" xfId="17635"/>
    <cellStyle name="Percent 3 2 2 3 2 2 3 2 2 3" xfId="24602"/>
    <cellStyle name="Percent 3 2 2 3 2 2 3 2 2 4" xfId="31569"/>
    <cellStyle name="Percent 3 2 2 3 2 2 3 2 2 5" xfId="38538"/>
    <cellStyle name="Percent 3 2 2 3 2 2 3 2 3" xfId="15315"/>
    <cellStyle name="Percent 3 2 2 3 2 2 3 2 3 2" xfId="22282"/>
    <cellStyle name="Percent 3 2 2 3 2 2 3 2 3 3" xfId="29249"/>
    <cellStyle name="Percent 3 2 2 3 2 2 3 2 3 4" xfId="36218"/>
    <cellStyle name="Percent 3 2 2 3 2 2 3 2 4" xfId="12993"/>
    <cellStyle name="Percent 3 2 2 3 2 2 3 2 5" xfId="19960"/>
    <cellStyle name="Percent 3 2 2 3 2 2 3 2 6" xfId="26927"/>
    <cellStyle name="Percent 3 2 2 3 2 2 3 2 7" xfId="33895"/>
    <cellStyle name="Percent 3 2 2 3 2 2 3 3" xfId="9393"/>
    <cellStyle name="Percent 3 2 2 3 2 2 3 3 2" xfId="16431"/>
    <cellStyle name="Percent 3 2 2 3 2 2 3 3 3" xfId="23398"/>
    <cellStyle name="Percent 3 2 2 3 2 2 3 3 4" xfId="30365"/>
    <cellStyle name="Percent 3 2 2 3 2 2 3 3 5" xfId="37334"/>
    <cellStyle name="Percent 3 2 2 3 2 2 3 4" xfId="14111"/>
    <cellStyle name="Percent 3 2 2 3 2 2 3 4 2" xfId="21078"/>
    <cellStyle name="Percent 3 2 2 3 2 2 3 4 3" xfId="28045"/>
    <cellStyle name="Percent 3 2 2 3 2 2 3 4 4" xfId="35014"/>
    <cellStyle name="Percent 3 2 2 3 2 2 3 5" xfId="11789"/>
    <cellStyle name="Percent 3 2 2 3 2 2 3 6" xfId="18756"/>
    <cellStyle name="Percent 3 2 2 3 2 2 3 7" xfId="25723"/>
    <cellStyle name="Percent 3 2 2 3 2 2 3 8" xfId="32691"/>
    <cellStyle name="Percent 3 2 2 3 2 3" xfId="2283"/>
    <cellStyle name="Percent 3 2 2 3 2 3 2" xfId="6026"/>
    <cellStyle name="Percent 3 2 2 3 2 4" xfId="2284"/>
    <cellStyle name="Percent 3 2 2 3 2 4 2" xfId="6027"/>
    <cellStyle name="Percent 3 2 2 3 2 5" xfId="3860"/>
    <cellStyle name="Percent 3 2 2 3 2 5 2" xfId="6028"/>
    <cellStyle name="Percent 3 2 2 3 2 5 2 2" xfId="6987"/>
    <cellStyle name="Percent 3 2 2 3 2 5 2 3" xfId="10653"/>
    <cellStyle name="Percent 3 2 2 3 2 5 2 3 2" xfId="17636"/>
    <cellStyle name="Percent 3 2 2 3 2 5 2 3 2 2" xfId="24603"/>
    <cellStyle name="Percent 3 2 2 3 2 5 2 3 2 3" xfId="31570"/>
    <cellStyle name="Percent 3 2 2 3 2 5 2 3 2 4" xfId="38539"/>
    <cellStyle name="Percent 3 2 2 3 2 5 2 3 3" xfId="12994"/>
    <cellStyle name="Percent 3 2 2 3 2 5 2 3 4" xfId="19961"/>
    <cellStyle name="Percent 3 2 2 3 2 5 2 3 5" xfId="26928"/>
    <cellStyle name="Percent 3 2 2 3 2 5 2 3 6" xfId="33896"/>
    <cellStyle name="Percent 3 2 2 3 2 5 2 4" xfId="15316"/>
    <cellStyle name="Percent 3 2 2 3 2 5 2 4 2" xfId="22283"/>
    <cellStyle name="Percent 3 2 2 3 2 5 2 4 3" xfId="29250"/>
    <cellStyle name="Percent 3 2 2 3 2 5 2 4 4" xfId="36219"/>
    <cellStyle name="Percent 3 2 2 3 2 5 3" xfId="6986"/>
    <cellStyle name="Percent 3 2 2 3 2 5 4" xfId="9466"/>
    <cellStyle name="Percent 3 2 2 3 2 5 4 2" xfId="16503"/>
    <cellStyle name="Percent 3 2 2 3 2 5 4 2 2" xfId="23470"/>
    <cellStyle name="Percent 3 2 2 3 2 5 4 2 3" xfId="30437"/>
    <cellStyle name="Percent 3 2 2 3 2 5 4 2 4" xfId="37406"/>
    <cellStyle name="Percent 3 2 2 3 2 5 4 3" xfId="11861"/>
    <cellStyle name="Percent 3 2 2 3 2 5 4 4" xfId="18828"/>
    <cellStyle name="Percent 3 2 2 3 2 5 4 5" xfId="25795"/>
    <cellStyle name="Percent 3 2 2 3 2 5 4 6" xfId="32763"/>
    <cellStyle name="Percent 3 2 2 3 2 5 5" xfId="14183"/>
    <cellStyle name="Percent 3 2 2 3 2 5 5 2" xfId="21150"/>
    <cellStyle name="Percent 3 2 2 3 2 5 5 3" xfId="28117"/>
    <cellStyle name="Percent 3 2 2 3 2 5 5 4" xfId="35086"/>
    <cellStyle name="Percent 3 2 2 3 3" xfId="2285"/>
    <cellStyle name="Percent 3 2 2 3 4" xfId="2286"/>
    <cellStyle name="Percent 3 2 2 3 4 2" xfId="2287"/>
    <cellStyle name="Percent 3 2 2 3 4 3" xfId="3787"/>
    <cellStyle name="Percent 3 2 2 3 4 3 2" xfId="6029"/>
    <cellStyle name="Percent 3 2 2 3 4 3 2 2" xfId="10654"/>
    <cellStyle name="Percent 3 2 2 3 4 3 2 2 2" xfId="17637"/>
    <cellStyle name="Percent 3 2 2 3 4 3 2 2 3" xfId="24604"/>
    <cellStyle name="Percent 3 2 2 3 4 3 2 2 4" xfId="31571"/>
    <cellStyle name="Percent 3 2 2 3 4 3 2 2 5" xfId="38540"/>
    <cellStyle name="Percent 3 2 2 3 4 3 2 3" xfId="15317"/>
    <cellStyle name="Percent 3 2 2 3 4 3 2 3 2" xfId="22284"/>
    <cellStyle name="Percent 3 2 2 3 4 3 2 3 3" xfId="29251"/>
    <cellStyle name="Percent 3 2 2 3 4 3 2 3 4" xfId="36220"/>
    <cellStyle name="Percent 3 2 2 3 4 3 2 4" xfId="12995"/>
    <cellStyle name="Percent 3 2 2 3 4 3 2 5" xfId="19962"/>
    <cellStyle name="Percent 3 2 2 3 4 3 2 6" xfId="26929"/>
    <cellStyle name="Percent 3 2 2 3 4 3 2 7" xfId="33897"/>
    <cellStyle name="Percent 3 2 2 3 4 3 3" xfId="9394"/>
    <cellStyle name="Percent 3 2 2 3 4 3 3 2" xfId="16432"/>
    <cellStyle name="Percent 3 2 2 3 4 3 3 3" xfId="23399"/>
    <cellStyle name="Percent 3 2 2 3 4 3 3 4" xfId="30366"/>
    <cellStyle name="Percent 3 2 2 3 4 3 3 5" xfId="37335"/>
    <cellStyle name="Percent 3 2 2 3 4 3 4" xfId="14112"/>
    <cellStyle name="Percent 3 2 2 3 4 3 4 2" xfId="21079"/>
    <cellStyle name="Percent 3 2 2 3 4 3 4 3" xfId="28046"/>
    <cellStyle name="Percent 3 2 2 3 4 3 4 4" xfId="35015"/>
    <cellStyle name="Percent 3 2 2 3 4 3 5" xfId="11790"/>
    <cellStyle name="Percent 3 2 2 3 4 3 6" xfId="18757"/>
    <cellStyle name="Percent 3 2 2 3 4 3 7" xfId="25724"/>
    <cellStyle name="Percent 3 2 2 3 4 3 8" xfId="32692"/>
    <cellStyle name="Percent 3 2 2 3 5" xfId="2288"/>
    <cellStyle name="Percent 3 2 2 3 5 2" xfId="6030"/>
    <cellStyle name="Percent 3 2 2 3 6" xfId="2289"/>
    <cellStyle name="Percent 3 2 2 3 6 2" xfId="6031"/>
    <cellStyle name="Percent 3 2 2 3 7" xfId="4069"/>
    <cellStyle name="Percent 3 2 2 3 7 2" xfId="6032"/>
    <cellStyle name="Percent 3 2 2 3 7 2 2" xfId="6989"/>
    <cellStyle name="Percent 3 2 2 3 7 2 3" xfId="10655"/>
    <cellStyle name="Percent 3 2 2 3 7 2 3 2" xfId="17638"/>
    <cellStyle name="Percent 3 2 2 3 7 2 3 2 2" xfId="24605"/>
    <cellStyle name="Percent 3 2 2 3 7 2 3 2 3" xfId="31572"/>
    <cellStyle name="Percent 3 2 2 3 7 2 3 2 4" xfId="38541"/>
    <cellStyle name="Percent 3 2 2 3 7 2 3 3" xfId="12996"/>
    <cellStyle name="Percent 3 2 2 3 7 2 3 4" xfId="19963"/>
    <cellStyle name="Percent 3 2 2 3 7 2 3 5" xfId="26930"/>
    <cellStyle name="Percent 3 2 2 3 7 2 3 6" xfId="33898"/>
    <cellStyle name="Percent 3 2 2 3 7 2 4" xfId="15318"/>
    <cellStyle name="Percent 3 2 2 3 7 2 4 2" xfId="22285"/>
    <cellStyle name="Percent 3 2 2 3 7 2 4 3" xfId="29252"/>
    <cellStyle name="Percent 3 2 2 3 7 2 4 4" xfId="36221"/>
    <cellStyle name="Percent 3 2 2 3 7 3" xfId="6988"/>
    <cellStyle name="Percent 3 2 2 3 7 4" xfId="9675"/>
    <cellStyle name="Percent 3 2 2 3 7 4 2" xfId="16698"/>
    <cellStyle name="Percent 3 2 2 3 7 4 2 2" xfId="23665"/>
    <cellStyle name="Percent 3 2 2 3 7 4 2 3" xfId="30632"/>
    <cellStyle name="Percent 3 2 2 3 7 4 2 4" xfId="37601"/>
    <cellStyle name="Percent 3 2 2 3 7 4 3" xfId="12056"/>
    <cellStyle name="Percent 3 2 2 3 7 4 4" xfId="19023"/>
    <cellStyle name="Percent 3 2 2 3 7 4 5" xfId="25990"/>
    <cellStyle name="Percent 3 2 2 3 7 4 6" xfId="32958"/>
    <cellStyle name="Percent 3 2 2 3 7 5" xfId="14378"/>
    <cellStyle name="Percent 3 2 2 3 7 5 2" xfId="21345"/>
    <cellStyle name="Percent 3 2 2 3 7 5 3" xfId="28312"/>
    <cellStyle name="Percent 3 2 2 3 7 5 4" xfId="35281"/>
    <cellStyle name="Percent 3 2 2 4" xfId="2290"/>
    <cellStyle name="Percent 3 2 2 4 2" xfId="2291"/>
    <cellStyle name="Percent 3 2 2 4 2 2" xfId="3784"/>
    <cellStyle name="Percent 3 2 2 4 2 2 2" xfId="6035"/>
    <cellStyle name="Percent 3 2 2 4 2 2 2 2" xfId="10656"/>
    <cellStyle name="Percent 3 2 2 4 2 2 2 2 2" xfId="17639"/>
    <cellStyle name="Percent 3 2 2 4 2 2 2 2 3" xfId="24606"/>
    <cellStyle name="Percent 3 2 2 4 2 2 2 2 4" xfId="31573"/>
    <cellStyle name="Percent 3 2 2 4 2 2 2 2 5" xfId="38542"/>
    <cellStyle name="Percent 3 2 2 4 2 2 2 3" xfId="15319"/>
    <cellStyle name="Percent 3 2 2 4 2 2 2 3 2" xfId="22286"/>
    <cellStyle name="Percent 3 2 2 4 2 2 2 3 3" xfId="29253"/>
    <cellStyle name="Percent 3 2 2 4 2 2 2 3 4" xfId="36222"/>
    <cellStyle name="Percent 3 2 2 4 2 2 2 4" xfId="12997"/>
    <cellStyle name="Percent 3 2 2 4 2 2 2 5" xfId="19964"/>
    <cellStyle name="Percent 3 2 2 4 2 2 2 6" xfId="26931"/>
    <cellStyle name="Percent 3 2 2 4 2 2 2 7" xfId="33899"/>
    <cellStyle name="Percent 3 2 2 4 2 2 3" xfId="9391"/>
    <cellStyle name="Percent 3 2 2 4 2 2 3 2" xfId="16429"/>
    <cellStyle name="Percent 3 2 2 4 2 2 3 3" xfId="23396"/>
    <cellStyle name="Percent 3 2 2 4 2 2 3 4" xfId="30363"/>
    <cellStyle name="Percent 3 2 2 4 2 2 3 5" xfId="37332"/>
    <cellStyle name="Percent 3 2 2 4 2 2 4" xfId="14109"/>
    <cellStyle name="Percent 3 2 2 4 2 2 4 2" xfId="21076"/>
    <cellStyle name="Percent 3 2 2 4 2 2 4 3" xfId="28043"/>
    <cellStyle name="Percent 3 2 2 4 2 2 4 4" xfId="35012"/>
    <cellStyle name="Percent 3 2 2 4 2 2 5" xfId="11787"/>
    <cellStyle name="Percent 3 2 2 4 2 2 6" xfId="18754"/>
    <cellStyle name="Percent 3 2 2 4 2 2 7" xfId="25721"/>
    <cellStyle name="Percent 3 2 2 4 2 2 8" xfId="32689"/>
    <cellStyle name="Percent 3 2 2 4 2 3" xfId="6034"/>
    <cellStyle name="Percent 3 2 2 4 2 4" xfId="8334"/>
    <cellStyle name="Percent 3 2 2 4 3" xfId="2292"/>
    <cellStyle name="Percent 3 2 2 4 3 2" xfId="2293"/>
    <cellStyle name="Percent 3 2 2 4 3 3" xfId="3785"/>
    <cellStyle name="Percent 3 2 2 4 3 3 2" xfId="6036"/>
    <cellStyle name="Percent 3 2 2 4 3 3 2 2" xfId="10657"/>
    <cellStyle name="Percent 3 2 2 4 3 3 2 2 2" xfId="17640"/>
    <cellStyle name="Percent 3 2 2 4 3 3 2 2 3" xfId="24607"/>
    <cellStyle name="Percent 3 2 2 4 3 3 2 2 4" xfId="31574"/>
    <cellStyle name="Percent 3 2 2 4 3 3 2 2 5" xfId="38543"/>
    <cellStyle name="Percent 3 2 2 4 3 3 2 3" xfId="15320"/>
    <cellStyle name="Percent 3 2 2 4 3 3 2 3 2" xfId="22287"/>
    <cellStyle name="Percent 3 2 2 4 3 3 2 3 3" xfId="29254"/>
    <cellStyle name="Percent 3 2 2 4 3 3 2 3 4" xfId="36223"/>
    <cellStyle name="Percent 3 2 2 4 3 3 2 4" xfId="12998"/>
    <cellStyle name="Percent 3 2 2 4 3 3 2 5" xfId="19965"/>
    <cellStyle name="Percent 3 2 2 4 3 3 2 6" xfId="26932"/>
    <cellStyle name="Percent 3 2 2 4 3 3 2 7" xfId="33900"/>
    <cellStyle name="Percent 3 2 2 4 3 3 3" xfId="9392"/>
    <cellStyle name="Percent 3 2 2 4 3 3 3 2" xfId="16430"/>
    <cellStyle name="Percent 3 2 2 4 3 3 3 3" xfId="23397"/>
    <cellStyle name="Percent 3 2 2 4 3 3 3 4" xfId="30364"/>
    <cellStyle name="Percent 3 2 2 4 3 3 3 5" xfId="37333"/>
    <cellStyle name="Percent 3 2 2 4 3 3 4" xfId="14110"/>
    <cellStyle name="Percent 3 2 2 4 3 3 4 2" xfId="21077"/>
    <cellStyle name="Percent 3 2 2 4 3 3 4 3" xfId="28044"/>
    <cellStyle name="Percent 3 2 2 4 3 3 4 4" xfId="35013"/>
    <cellStyle name="Percent 3 2 2 4 3 3 5" xfId="11788"/>
    <cellStyle name="Percent 3 2 2 4 3 3 6" xfId="18755"/>
    <cellStyle name="Percent 3 2 2 4 3 3 7" xfId="25722"/>
    <cellStyle name="Percent 3 2 2 4 3 3 8" xfId="32690"/>
    <cellStyle name="Percent 3 2 2 4 4" xfId="2294"/>
    <cellStyle name="Percent 3 2 2 4 4 2" xfId="6037"/>
    <cellStyle name="Percent 3 2 2 4 5" xfId="2295"/>
    <cellStyle name="Percent 3 2 2 4 5 2" xfId="6038"/>
    <cellStyle name="Percent 3 2 2 4 6" xfId="3868"/>
    <cellStyle name="Percent 3 2 2 4 6 2" xfId="6039"/>
    <cellStyle name="Percent 3 2 2 4 6 2 2" xfId="6991"/>
    <cellStyle name="Percent 3 2 2 4 6 2 3" xfId="10658"/>
    <cellStyle name="Percent 3 2 2 4 6 2 3 2" xfId="17641"/>
    <cellStyle name="Percent 3 2 2 4 6 2 3 2 2" xfId="24608"/>
    <cellStyle name="Percent 3 2 2 4 6 2 3 2 3" xfId="31575"/>
    <cellStyle name="Percent 3 2 2 4 6 2 3 2 4" xfId="38544"/>
    <cellStyle name="Percent 3 2 2 4 6 2 3 3" xfId="12999"/>
    <cellStyle name="Percent 3 2 2 4 6 2 3 4" xfId="19966"/>
    <cellStyle name="Percent 3 2 2 4 6 2 3 5" xfId="26933"/>
    <cellStyle name="Percent 3 2 2 4 6 2 3 6" xfId="33901"/>
    <cellStyle name="Percent 3 2 2 4 6 2 4" xfId="15321"/>
    <cellStyle name="Percent 3 2 2 4 6 2 4 2" xfId="22288"/>
    <cellStyle name="Percent 3 2 2 4 6 2 4 3" xfId="29255"/>
    <cellStyle name="Percent 3 2 2 4 6 2 4 4" xfId="36224"/>
    <cellStyle name="Percent 3 2 2 4 6 3" xfId="6990"/>
    <cellStyle name="Percent 3 2 2 4 6 4" xfId="9474"/>
    <cellStyle name="Percent 3 2 2 4 6 4 2" xfId="16511"/>
    <cellStyle name="Percent 3 2 2 4 6 4 2 2" xfId="23478"/>
    <cellStyle name="Percent 3 2 2 4 6 4 2 3" xfId="30445"/>
    <cellStyle name="Percent 3 2 2 4 6 4 2 4" xfId="37414"/>
    <cellStyle name="Percent 3 2 2 4 6 4 3" xfId="11869"/>
    <cellStyle name="Percent 3 2 2 4 6 4 4" xfId="18836"/>
    <cellStyle name="Percent 3 2 2 4 6 4 5" xfId="25803"/>
    <cellStyle name="Percent 3 2 2 4 6 4 6" xfId="32771"/>
    <cellStyle name="Percent 3 2 2 4 6 5" xfId="14191"/>
    <cellStyle name="Percent 3 2 2 4 6 5 2" xfId="21158"/>
    <cellStyle name="Percent 3 2 2 4 6 5 3" xfId="28125"/>
    <cellStyle name="Percent 3 2 2 4 6 5 4" xfId="35094"/>
    <cellStyle name="Percent 3 2 2 4 7" xfId="6033"/>
    <cellStyle name="Percent 3 2 2 4 8" xfId="8333"/>
    <cellStyle name="Percent 3 2 2 5" xfId="2296"/>
    <cellStyle name="Percent 3 2 2 5 2" xfId="2297"/>
    <cellStyle name="Percent 3 2 2 5 3" xfId="3783"/>
    <cellStyle name="Percent 3 2 2 5 3 2" xfId="6040"/>
    <cellStyle name="Percent 3 2 2 5 3 2 2" xfId="10659"/>
    <cellStyle name="Percent 3 2 2 5 3 2 2 2" xfId="17642"/>
    <cellStyle name="Percent 3 2 2 5 3 2 2 3" xfId="24609"/>
    <cellStyle name="Percent 3 2 2 5 3 2 2 4" xfId="31576"/>
    <cellStyle name="Percent 3 2 2 5 3 2 2 5" xfId="38545"/>
    <cellStyle name="Percent 3 2 2 5 3 2 3" xfId="15322"/>
    <cellStyle name="Percent 3 2 2 5 3 2 3 2" xfId="22289"/>
    <cellStyle name="Percent 3 2 2 5 3 2 3 3" xfId="29256"/>
    <cellStyle name="Percent 3 2 2 5 3 2 3 4" xfId="36225"/>
    <cellStyle name="Percent 3 2 2 5 3 2 4" xfId="13000"/>
    <cellStyle name="Percent 3 2 2 5 3 2 5" xfId="19967"/>
    <cellStyle name="Percent 3 2 2 5 3 2 6" xfId="26934"/>
    <cellStyle name="Percent 3 2 2 5 3 2 7" xfId="33902"/>
    <cellStyle name="Percent 3 2 2 5 3 3" xfId="9390"/>
    <cellStyle name="Percent 3 2 2 5 3 3 2" xfId="16428"/>
    <cellStyle name="Percent 3 2 2 5 3 3 3" xfId="23395"/>
    <cellStyle name="Percent 3 2 2 5 3 3 4" xfId="30362"/>
    <cellStyle name="Percent 3 2 2 5 3 3 5" xfId="37331"/>
    <cellStyle name="Percent 3 2 2 5 3 4" xfId="14108"/>
    <cellStyle name="Percent 3 2 2 5 3 4 2" xfId="21075"/>
    <cellStyle name="Percent 3 2 2 5 3 4 3" xfId="28042"/>
    <cellStyle name="Percent 3 2 2 5 3 4 4" xfId="35011"/>
    <cellStyle name="Percent 3 2 2 5 3 5" xfId="11786"/>
    <cellStyle name="Percent 3 2 2 5 3 6" xfId="18753"/>
    <cellStyle name="Percent 3 2 2 5 3 7" xfId="25720"/>
    <cellStyle name="Percent 3 2 2 5 3 8" xfId="32688"/>
    <cellStyle name="Percent 3 2 2 6" xfId="2298"/>
    <cellStyle name="Percent 3 2 2 6 2" xfId="3790"/>
    <cellStyle name="Percent 3 2 2 6 2 2" xfId="6042"/>
    <cellStyle name="Percent 3 2 2 6 2 2 2" xfId="10660"/>
    <cellStyle name="Percent 3 2 2 6 2 2 2 2" xfId="17643"/>
    <cellStyle name="Percent 3 2 2 6 2 2 2 3" xfId="24610"/>
    <cellStyle name="Percent 3 2 2 6 2 2 2 4" xfId="31577"/>
    <cellStyle name="Percent 3 2 2 6 2 2 2 5" xfId="38546"/>
    <cellStyle name="Percent 3 2 2 6 2 2 3" xfId="15323"/>
    <cellStyle name="Percent 3 2 2 6 2 2 3 2" xfId="22290"/>
    <cellStyle name="Percent 3 2 2 6 2 2 3 3" xfId="29257"/>
    <cellStyle name="Percent 3 2 2 6 2 2 3 4" xfId="36226"/>
    <cellStyle name="Percent 3 2 2 6 2 2 4" xfId="13001"/>
    <cellStyle name="Percent 3 2 2 6 2 2 5" xfId="19968"/>
    <cellStyle name="Percent 3 2 2 6 2 2 6" xfId="26935"/>
    <cellStyle name="Percent 3 2 2 6 2 2 7" xfId="33903"/>
    <cellStyle name="Percent 3 2 2 6 2 3" xfId="6992"/>
    <cellStyle name="Percent 3 2 2 6 2 4" xfId="9397"/>
    <cellStyle name="Percent 3 2 2 6 2 4 2" xfId="16435"/>
    <cellStyle name="Percent 3 2 2 6 2 4 2 2" xfId="23402"/>
    <cellStyle name="Percent 3 2 2 6 2 4 2 3" xfId="30369"/>
    <cellStyle name="Percent 3 2 2 6 2 4 2 4" xfId="37338"/>
    <cellStyle name="Percent 3 2 2 6 2 4 3" xfId="11793"/>
    <cellStyle name="Percent 3 2 2 6 2 4 4" xfId="18760"/>
    <cellStyle name="Percent 3 2 2 6 2 4 5" xfId="25727"/>
    <cellStyle name="Percent 3 2 2 6 2 4 6" xfId="32695"/>
    <cellStyle name="Percent 3 2 2 6 2 5" xfId="14115"/>
    <cellStyle name="Percent 3 2 2 6 2 5 2" xfId="21082"/>
    <cellStyle name="Percent 3 2 2 6 2 5 3" xfId="28049"/>
    <cellStyle name="Percent 3 2 2 6 2 5 4" xfId="35018"/>
    <cellStyle name="Percent 3 2 2 6 3" xfId="6041"/>
    <cellStyle name="Percent 3 2 2 7" xfId="2299"/>
    <cellStyle name="Percent 3 2 2 7 2" xfId="6043"/>
    <cellStyle name="Percent 3 2 2 8" xfId="4073"/>
    <cellStyle name="Percent 3 2 2 8 2" xfId="6044"/>
    <cellStyle name="Percent 3 2 2 8 2 2" xfId="6994"/>
    <cellStyle name="Percent 3 2 2 8 2 3" xfId="10661"/>
    <cellStyle name="Percent 3 2 2 8 2 3 2" xfId="17644"/>
    <cellStyle name="Percent 3 2 2 8 2 3 2 2" xfId="24611"/>
    <cellStyle name="Percent 3 2 2 8 2 3 2 3" xfId="31578"/>
    <cellStyle name="Percent 3 2 2 8 2 3 2 4" xfId="38547"/>
    <cellStyle name="Percent 3 2 2 8 2 3 3" xfId="13002"/>
    <cellStyle name="Percent 3 2 2 8 2 3 4" xfId="19969"/>
    <cellStyle name="Percent 3 2 2 8 2 3 5" xfId="26936"/>
    <cellStyle name="Percent 3 2 2 8 2 3 6" xfId="33904"/>
    <cellStyle name="Percent 3 2 2 8 2 4" xfId="15324"/>
    <cellStyle name="Percent 3 2 2 8 2 4 2" xfId="22291"/>
    <cellStyle name="Percent 3 2 2 8 2 4 3" xfId="29258"/>
    <cellStyle name="Percent 3 2 2 8 2 4 4" xfId="36227"/>
    <cellStyle name="Percent 3 2 2 8 3" xfId="6993"/>
    <cellStyle name="Percent 3 2 2 8 4" xfId="9679"/>
    <cellStyle name="Percent 3 2 2 8 4 2" xfId="16702"/>
    <cellStyle name="Percent 3 2 2 8 4 2 2" xfId="23669"/>
    <cellStyle name="Percent 3 2 2 8 4 2 3" xfId="30636"/>
    <cellStyle name="Percent 3 2 2 8 4 2 4" xfId="37605"/>
    <cellStyle name="Percent 3 2 2 8 4 3" xfId="12060"/>
    <cellStyle name="Percent 3 2 2 8 4 4" xfId="19027"/>
    <cellStyle name="Percent 3 2 2 8 4 5" xfId="25994"/>
    <cellStyle name="Percent 3 2 2 8 4 6" xfId="32962"/>
    <cellStyle name="Percent 3 2 2 8 5" xfId="14382"/>
    <cellStyle name="Percent 3 2 2 8 5 2" xfId="21349"/>
    <cellStyle name="Percent 3 2 2 8 5 3" xfId="28316"/>
    <cellStyle name="Percent 3 2 2 8 5 4" xfId="35285"/>
    <cellStyle name="Percent 3 2 2 9" xfId="6018"/>
    <cellStyle name="Percent 3 2 3" xfId="2300"/>
    <cellStyle name="Percent 3 2 3 10" xfId="4074"/>
    <cellStyle name="Percent 3 2 3 10 2" xfId="6045"/>
    <cellStyle name="Percent 3 2 3 10 2 2" xfId="6996"/>
    <cellStyle name="Percent 3 2 3 10 2 3" xfId="10662"/>
    <cellStyle name="Percent 3 2 3 10 2 3 2" xfId="17645"/>
    <cellStyle name="Percent 3 2 3 10 2 3 2 2" xfId="24612"/>
    <cellStyle name="Percent 3 2 3 10 2 3 2 3" xfId="31579"/>
    <cellStyle name="Percent 3 2 3 10 2 3 2 4" xfId="38548"/>
    <cellStyle name="Percent 3 2 3 10 2 3 3" xfId="13003"/>
    <cellStyle name="Percent 3 2 3 10 2 3 4" xfId="19970"/>
    <cellStyle name="Percent 3 2 3 10 2 3 5" xfId="26937"/>
    <cellStyle name="Percent 3 2 3 10 2 3 6" xfId="33905"/>
    <cellStyle name="Percent 3 2 3 10 2 4" xfId="15325"/>
    <cellStyle name="Percent 3 2 3 10 2 4 2" xfId="22292"/>
    <cellStyle name="Percent 3 2 3 10 2 4 3" xfId="29259"/>
    <cellStyle name="Percent 3 2 3 10 2 4 4" xfId="36228"/>
    <cellStyle name="Percent 3 2 3 10 3" xfId="6995"/>
    <cellStyle name="Percent 3 2 3 10 4" xfId="9680"/>
    <cellStyle name="Percent 3 2 3 10 4 2" xfId="16703"/>
    <cellStyle name="Percent 3 2 3 10 4 2 2" xfId="23670"/>
    <cellStyle name="Percent 3 2 3 10 4 2 3" xfId="30637"/>
    <cellStyle name="Percent 3 2 3 10 4 2 4" xfId="37606"/>
    <cellStyle name="Percent 3 2 3 10 4 3" xfId="12061"/>
    <cellStyle name="Percent 3 2 3 10 4 4" xfId="19028"/>
    <cellStyle name="Percent 3 2 3 10 4 5" xfId="25995"/>
    <cellStyle name="Percent 3 2 3 10 4 6" xfId="32963"/>
    <cellStyle name="Percent 3 2 3 10 5" xfId="14383"/>
    <cellStyle name="Percent 3 2 3 10 5 2" xfId="21350"/>
    <cellStyle name="Percent 3 2 3 10 5 3" xfId="28317"/>
    <cellStyle name="Percent 3 2 3 10 5 4" xfId="35286"/>
    <cellStyle name="Percent 3 2 3 11" xfId="6997"/>
    <cellStyle name="Percent 3 2 3 2" xfId="2301"/>
    <cellStyle name="Percent 3 2 3 2 2" xfId="2302"/>
    <cellStyle name="Percent 3 2 3 2 2 2" xfId="2303"/>
    <cellStyle name="Percent 3 2 3 2 2 2 2" xfId="2304"/>
    <cellStyle name="Percent 3 2 3 2 2 2 3" xfId="2305"/>
    <cellStyle name="Percent 3 2 3 2 2 3" xfId="2306"/>
    <cellStyle name="Percent 3 2 3 2 2 4" xfId="2307"/>
    <cellStyle name="Percent 3 2 3 2 2 4 2" xfId="2308"/>
    <cellStyle name="Percent 3 2 3 2 2 4 3" xfId="2309"/>
    <cellStyle name="Percent 3 2 3 2 2 4 3 2" xfId="2310"/>
    <cellStyle name="Percent 3 2 3 2 2 4 4" xfId="2311"/>
    <cellStyle name="Percent 3 2 3 2 2 4 4 2" xfId="2312"/>
    <cellStyle name="Percent 3 2 3 2 2 4 5" xfId="2313"/>
    <cellStyle name="Percent 3 2 3 2 2 4 5 2" xfId="2314"/>
    <cellStyle name="Percent 3 2 3 2 2 5" xfId="3399"/>
    <cellStyle name="Percent 3 2 3 2 3" xfId="2315"/>
    <cellStyle name="Percent 3 2 3 2 3 2" xfId="2316"/>
    <cellStyle name="Percent 3 2 3 2 3 3" xfId="2317"/>
    <cellStyle name="Percent 3 2 3 2 3 3 2" xfId="2318"/>
    <cellStyle name="Percent 3 2 3 2 4" xfId="2319"/>
    <cellStyle name="Percent 3 2 3 2 4 2" xfId="2320"/>
    <cellStyle name="Percent 3 2 3 2 4 3" xfId="2321"/>
    <cellStyle name="Percent 3 2 3 2 5" xfId="2322"/>
    <cellStyle name="Percent 3 2 3 2 5 2" xfId="2323"/>
    <cellStyle name="Percent 3 2 3 2 5 3" xfId="3781"/>
    <cellStyle name="Percent 3 2 3 2 5 3 2" xfId="6046"/>
    <cellStyle name="Percent 3 2 3 2 5 3 2 2" xfId="10663"/>
    <cellStyle name="Percent 3 2 3 2 5 3 2 2 2" xfId="17646"/>
    <cellStyle name="Percent 3 2 3 2 5 3 2 2 3" xfId="24613"/>
    <cellStyle name="Percent 3 2 3 2 5 3 2 2 4" xfId="31580"/>
    <cellStyle name="Percent 3 2 3 2 5 3 2 2 5" xfId="38549"/>
    <cellStyle name="Percent 3 2 3 2 5 3 2 3" xfId="15326"/>
    <cellStyle name="Percent 3 2 3 2 5 3 2 3 2" xfId="22293"/>
    <cellStyle name="Percent 3 2 3 2 5 3 2 3 3" xfId="29260"/>
    <cellStyle name="Percent 3 2 3 2 5 3 2 3 4" xfId="36229"/>
    <cellStyle name="Percent 3 2 3 2 5 3 2 4" xfId="13004"/>
    <cellStyle name="Percent 3 2 3 2 5 3 2 5" xfId="19971"/>
    <cellStyle name="Percent 3 2 3 2 5 3 2 6" xfId="26938"/>
    <cellStyle name="Percent 3 2 3 2 5 3 2 7" xfId="33906"/>
    <cellStyle name="Percent 3 2 3 2 5 3 3" xfId="9388"/>
    <cellStyle name="Percent 3 2 3 2 5 3 3 2" xfId="16426"/>
    <cellStyle name="Percent 3 2 3 2 5 3 3 3" xfId="23393"/>
    <cellStyle name="Percent 3 2 3 2 5 3 3 4" xfId="30360"/>
    <cellStyle name="Percent 3 2 3 2 5 3 3 5" xfId="37329"/>
    <cellStyle name="Percent 3 2 3 2 5 3 4" xfId="14106"/>
    <cellStyle name="Percent 3 2 3 2 5 3 4 2" xfId="21073"/>
    <cellStyle name="Percent 3 2 3 2 5 3 4 3" xfId="28040"/>
    <cellStyle name="Percent 3 2 3 2 5 3 4 4" xfId="35009"/>
    <cellStyle name="Percent 3 2 3 2 5 3 5" xfId="11784"/>
    <cellStyle name="Percent 3 2 3 2 5 3 6" xfId="18751"/>
    <cellStyle name="Percent 3 2 3 2 5 3 7" xfId="25718"/>
    <cellStyle name="Percent 3 2 3 2 5 3 8" xfId="32686"/>
    <cellStyle name="Percent 3 2 3 2 6" xfId="2324"/>
    <cellStyle name="Percent 3 2 3 2 6 2" xfId="6047"/>
    <cellStyle name="Percent 3 2 3 2 7" xfId="2325"/>
    <cellStyle name="Percent 3 2 3 2 7 2" xfId="6048"/>
    <cellStyle name="Percent 3 2 3 2 8" xfId="4040"/>
    <cellStyle name="Percent 3 2 3 2 8 2" xfId="6999"/>
    <cellStyle name="Percent 3 2 3 2 8 3" xfId="6998"/>
    <cellStyle name="Percent 3 2 3 2 8 4" xfId="9646"/>
    <cellStyle name="Percent 3 2 3 2 9" xfId="7000"/>
    <cellStyle name="Percent 3 2 3 3" xfId="2326"/>
    <cellStyle name="Percent 3 2 3 3 2" xfId="2327"/>
    <cellStyle name="Percent 3 2 3 3 2 2" xfId="2328"/>
    <cellStyle name="Percent 3 2 3 3 2 3" xfId="2329"/>
    <cellStyle name="Percent 3 2 3 3 3" xfId="2330"/>
    <cellStyle name="Percent 3 2 3 3 4" xfId="2331"/>
    <cellStyle name="Percent 3 2 3 3 4 2" xfId="2332"/>
    <cellStyle name="Percent 3 2 3 3 5" xfId="2333"/>
    <cellStyle name="Percent 3 2 3 3 5 2" xfId="6049"/>
    <cellStyle name="Percent 3 2 3 3 6" xfId="2334"/>
    <cellStyle name="Percent 3 2 3 3 6 2" xfId="6050"/>
    <cellStyle name="Percent 3 2 3 3 7" xfId="4041"/>
    <cellStyle name="Percent 3 2 3 3 7 2" xfId="6051"/>
    <cellStyle name="Percent 3 2 3 3 7 2 2" xfId="7002"/>
    <cellStyle name="Percent 3 2 3 3 7 2 3" xfId="10664"/>
    <cellStyle name="Percent 3 2 3 3 7 2 3 2" xfId="17647"/>
    <cellStyle name="Percent 3 2 3 3 7 2 3 2 2" xfId="24614"/>
    <cellStyle name="Percent 3 2 3 3 7 2 3 2 3" xfId="31581"/>
    <cellStyle name="Percent 3 2 3 3 7 2 3 2 4" xfId="38550"/>
    <cellStyle name="Percent 3 2 3 3 7 2 3 3" xfId="13005"/>
    <cellStyle name="Percent 3 2 3 3 7 2 3 4" xfId="19972"/>
    <cellStyle name="Percent 3 2 3 3 7 2 3 5" xfId="26939"/>
    <cellStyle name="Percent 3 2 3 3 7 2 3 6" xfId="33907"/>
    <cellStyle name="Percent 3 2 3 3 7 2 4" xfId="15327"/>
    <cellStyle name="Percent 3 2 3 3 7 2 4 2" xfId="22294"/>
    <cellStyle name="Percent 3 2 3 3 7 2 4 3" xfId="29261"/>
    <cellStyle name="Percent 3 2 3 3 7 2 4 4" xfId="36230"/>
    <cellStyle name="Percent 3 2 3 3 7 3" xfId="7001"/>
    <cellStyle name="Percent 3 2 3 3 7 4" xfId="9647"/>
    <cellStyle name="Percent 3 2 3 3 7 4 2" xfId="16682"/>
    <cellStyle name="Percent 3 2 3 3 7 4 2 2" xfId="23649"/>
    <cellStyle name="Percent 3 2 3 3 7 4 2 3" xfId="30616"/>
    <cellStyle name="Percent 3 2 3 3 7 4 2 4" xfId="37585"/>
    <cellStyle name="Percent 3 2 3 3 7 4 3" xfId="12040"/>
    <cellStyle name="Percent 3 2 3 3 7 4 4" xfId="19007"/>
    <cellStyle name="Percent 3 2 3 3 7 4 5" xfId="25974"/>
    <cellStyle name="Percent 3 2 3 3 7 4 6" xfId="32942"/>
    <cellStyle name="Percent 3 2 3 3 7 5" xfId="14362"/>
    <cellStyle name="Percent 3 2 3 3 7 5 2" xfId="21329"/>
    <cellStyle name="Percent 3 2 3 3 7 5 3" xfId="28296"/>
    <cellStyle name="Percent 3 2 3 3 7 5 4" xfId="35265"/>
    <cellStyle name="Percent 3 2 3 4" xfId="2335"/>
    <cellStyle name="Percent 3 2 3 4 2" xfId="2336"/>
    <cellStyle name="Percent 3 2 3 4 2 2" xfId="2337"/>
    <cellStyle name="Percent 3 2 3 4 2 3" xfId="2338"/>
    <cellStyle name="Percent 3 2 3 4 2 3 2" xfId="2339"/>
    <cellStyle name="Percent 3 2 3 4 2 4" xfId="2340"/>
    <cellStyle name="Percent 3 2 3 4 2 4 2" xfId="2341"/>
    <cellStyle name="Percent 3 2 3 4 2 5" xfId="2342"/>
    <cellStyle name="Percent 3 2 3 4 2 5 2" xfId="2343"/>
    <cellStyle name="Percent 3 2 3 4 3" xfId="2344"/>
    <cellStyle name="Percent 3 2 3 4 4" xfId="2345"/>
    <cellStyle name="Percent 3 2 3 4 5" xfId="2346"/>
    <cellStyle name="Percent 3 2 3 4 5 2" xfId="2347"/>
    <cellStyle name="Percent 3 2 3 4 6" xfId="2348"/>
    <cellStyle name="Percent 3 2 3 4 6 2" xfId="6052"/>
    <cellStyle name="Percent 3 2 3 4 7" xfId="2349"/>
    <cellStyle name="Percent 3 2 3 4 7 2" xfId="6053"/>
    <cellStyle name="Percent 3 2 3 4 8" xfId="3866"/>
    <cellStyle name="Percent 3 2 3 4 8 2" xfId="6054"/>
    <cellStyle name="Percent 3 2 3 4 8 2 2" xfId="7004"/>
    <cellStyle name="Percent 3 2 3 4 8 2 3" xfId="10665"/>
    <cellStyle name="Percent 3 2 3 4 8 2 3 2" xfId="17648"/>
    <cellStyle name="Percent 3 2 3 4 8 2 3 2 2" xfId="24615"/>
    <cellStyle name="Percent 3 2 3 4 8 2 3 2 3" xfId="31582"/>
    <cellStyle name="Percent 3 2 3 4 8 2 3 2 4" xfId="38551"/>
    <cellStyle name="Percent 3 2 3 4 8 2 3 3" xfId="13006"/>
    <cellStyle name="Percent 3 2 3 4 8 2 3 4" xfId="19973"/>
    <cellStyle name="Percent 3 2 3 4 8 2 3 5" xfId="26940"/>
    <cellStyle name="Percent 3 2 3 4 8 2 3 6" xfId="33908"/>
    <cellStyle name="Percent 3 2 3 4 8 2 4" xfId="15328"/>
    <cellStyle name="Percent 3 2 3 4 8 2 4 2" xfId="22295"/>
    <cellStyle name="Percent 3 2 3 4 8 2 4 3" xfId="29262"/>
    <cellStyle name="Percent 3 2 3 4 8 2 4 4" xfId="36231"/>
    <cellStyle name="Percent 3 2 3 4 8 3" xfId="7003"/>
    <cellStyle name="Percent 3 2 3 4 8 4" xfId="9472"/>
    <cellStyle name="Percent 3 2 3 4 8 4 2" xfId="16509"/>
    <cellStyle name="Percent 3 2 3 4 8 4 2 2" xfId="23476"/>
    <cellStyle name="Percent 3 2 3 4 8 4 2 3" xfId="30443"/>
    <cellStyle name="Percent 3 2 3 4 8 4 2 4" xfId="37412"/>
    <cellStyle name="Percent 3 2 3 4 8 4 3" xfId="11867"/>
    <cellStyle name="Percent 3 2 3 4 8 4 4" xfId="18834"/>
    <cellStyle name="Percent 3 2 3 4 8 4 5" xfId="25801"/>
    <cellStyle name="Percent 3 2 3 4 8 4 6" xfId="32769"/>
    <cellStyle name="Percent 3 2 3 4 8 5" xfId="14189"/>
    <cellStyle name="Percent 3 2 3 4 8 5 2" xfId="21156"/>
    <cellStyle name="Percent 3 2 3 4 8 5 3" xfId="28123"/>
    <cellStyle name="Percent 3 2 3 4 8 5 4" xfId="35092"/>
    <cellStyle name="Percent 3 2 3 5" xfId="2350"/>
    <cellStyle name="Percent 3 2 3 6" xfId="2351"/>
    <cellStyle name="Percent 3 2 3 6 2" xfId="2352"/>
    <cellStyle name="Percent 3 2 3 6 3" xfId="2353"/>
    <cellStyle name="Percent 3 2 3 6 4" xfId="2354"/>
    <cellStyle name="Percent 3 2 3 7" xfId="2355"/>
    <cellStyle name="Percent 3 2 3 7 2" xfId="2356"/>
    <cellStyle name="Percent 3 2 3 7 3" xfId="3782"/>
    <cellStyle name="Percent 3 2 3 7 3 2" xfId="6055"/>
    <cellStyle name="Percent 3 2 3 7 3 2 2" xfId="10666"/>
    <cellStyle name="Percent 3 2 3 7 3 2 2 2" xfId="17649"/>
    <cellStyle name="Percent 3 2 3 7 3 2 2 3" xfId="24616"/>
    <cellStyle name="Percent 3 2 3 7 3 2 2 4" xfId="31583"/>
    <cellStyle name="Percent 3 2 3 7 3 2 2 5" xfId="38552"/>
    <cellStyle name="Percent 3 2 3 7 3 2 3" xfId="15329"/>
    <cellStyle name="Percent 3 2 3 7 3 2 3 2" xfId="22296"/>
    <cellStyle name="Percent 3 2 3 7 3 2 3 3" xfId="29263"/>
    <cellStyle name="Percent 3 2 3 7 3 2 3 4" xfId="36232"/>
    <cellStyle name="Percent 3 2 3 7 3 2 4" xfId="13007"/>
    <cellStyle name="Percent 3 2 3 7 3 2 5" xfId="19974"/>
    <cellStyle name="Percent 3 2 3 7 3 2 6" xfId="26941"/>
    <cellStyle name="Percent 3 2 3 7 3 2 7" xfId="33909"/>
    <cellStyle name="Percent 3 2 3 7 3 3" xfId="9389"/>
    <cellStyle name="Percent 3 2 3 7 3 3 2" xfId="16427"/>
    <cellStyle name="Percent 3 2 3 7 3 3 3" xfId="23394"/>
    <cellStyle name="Percent 3 2 3 7 3 3 4" xfId="30361"/>
    <cellStyle name="Percent 3 2 3 7 3 3 5" xfId="37330"/>
    <cellStyle name="Percent 3 2 3 7 3 4" xfId="14107"/>
    <cellStyle name="Percent 3 2 3 7 3 4 2" xfId="21074"/>
    <cellStyle name="Percent 3 2 3 7 3 4 3" xfId="28041"/>
    <cellStyle name="Percent 3 2 3 7 3 4 4" xfId="35010"/>
    <cellStyle name="Percent 3 2 3 7 3 5" xfId="11785"/>
    <cellStyle name="Percent 3 2 3 7 3 6" xfId="18752"/>
    <cellStyle name="Percent 3 2 3 7 3 7" xfId="25719"/>
    <cellStyle name="Percent 3 2 3 7 3 8" xfId="32687"/>
    <cellStyle name="Percent 3 2 3 8" xfId="2357"/>
    <cellStyle name="Percent 3 2 3 8 2" xfId="3400"/>
    <cellStyle name="Percent 3 2 3 8 2 2" xfId="7005"/>
    <cellStyle name="Percent 3 2 3 8 2 3" xfId="9024"/>
    <cellStyle name="Percent 3 2 3 8 3" xfId="6056"/>
    <cellStyle name="Percent 3 2 3 9" xfId="2358"/>
    <cellStyle name="Percent 3 2 3 9 2" xfId="6057"/>
    <cellStyle name="Percent 3 2 4" xfId="2359"/>
    <cellStyle name="Percent 3 2 4 2" xfId="2360"/>
    <cellStyle name="Percent 3 2 4 2 2" xfId="2361"/>
    <cellStyle name="Percent 3 2 4 2 2 2" xfId="2362"/>
    <cellStyle name="Percent 3 2 4 2 2 3" xfId="2363"/>
    <cellStyle name="Percent 3 2 4 2 3" xfId="2364"/>
    <cellStyle name="Percent 3 2 4 2 3 2" xfId="2365"/>
    <cellStyle name="Percent 3 2 4 2 4" xfId="2366"/>
    <cellStyle name="Percent 3 2 4 2 5" xfId="2367"/>
    <cellStyle name="Percent 3 2 4 2 5 2" xfId="3779"/>
    <cellStyle name="Percent 3 2 4 2 5 2 2" xfId="6058"/>
    <cellStyle name="Percent 3 2 4 2 5 2 2 2" xfId="10667"/>
    <cellStyle name="Percent 3 2 4 2 5 2 2 2 2" xfId="17650"/>
    <cellStyle name="Percent 3 2 4 2 5 2 2 2 3" xfId="24617"/>
    <cellStyle name="Percent 3 2 4 2 5 2 2 2 4" xfId="31584"/>
    <cellStyle name="Percent 3 2 4 2 5 2 2 2 5" xfId="38553"/>
    <cellStyle name="Percent 3 2 4 2 5 2 2 3" xfId="15330"/>
    <cellStyle name="Percent 3 2 4 2 5 2 2 3 2" xfId="22297"/>
    <cellStyle name="Percent 3 2 4 2 5 2 2 3 3" xfId="29264"/>
    <cellStyle name="Percent 3 2 4 2 5 2 2 3 4" xfId="36233"/>
    <cellStyle name="Percent 3 2 4 2 5 2 2 4" xfId="13008"/>
    <cellStyle name="Percent 3 2 4 2 5 2 2 5" xfId="19975"/>
    <cellStyle name="Percent 3 2 4 2 5 2 2 6" xfId="26942"/>
    <cellStyle name="Percent 3 2 4 2 5 2 2 7" xfId="33910"/>
    <cellStyle name="Percent 3 2 4 2 5 2 3" xfId="9386"/>
    <cellStyle name="Percent 3 2 4 2 5 2 3 2" xfId="16424"/>
    <cellStyle name="Percent 3 2 4 2 5 2 3 3" xfId="23391"/>
    <cellStyle name="Percent 3 2 4 2 5 2 3 4" xfId="30358"/>
    <cellStyle name="Percent 3 2 4 2 5 2 3 5" xfId="37327"/>
    <cellStyle name="Percent 3 2 4 2 5 2 4" xfId="14104"/>
    <cellStyle name="Percent 3 2 4 2 5 2 4 2" xfId="21071"/>
    <cellStyle name="Percent 3 2 4 2 5 2 4 3" xfId="28038"/>
    <cellStyle name="Percent 3 2 4 2 5 2 4 4" xfId="35007"/>
    <cellStyle name="Percent 3 2 4 2 5 2 5" xfId="11782"/>
    <cellStyle name="Percent 3 2 4 2 5 2 6" xfId="18749"/>
    <cellStyle name="Percent 3 2 4 2 5 2 7" xfId="25716"/>
    <cellStyle name="Percent 3 2 4 2 5 2 8" xfId="32684"/>
    <cellStyle name="Percent 3 2 4 2 6" xfId="2368"/>
    <cellStyle name="Percent 3 2 4 2 6 2" xfId="2369"/>
    <cellStyle name="Percent 3 2 4 2 7" xfId="2370"/>
    <cellStyle name="Percent 3 2 4 2 7 2" xfId="6059"/>
    <cellStyle name="Percent 3 2 4 2 8" xfId="2371"/>
    <cellStyle name="Percent 3 2 4 2 8 2" xfId="6060"/>
    <cellStyle name="Percent 3 2 4 2 9" xfId="3862"/>
    <cellStyle name="Percent 3 2 4 2 9 2" xfId="6061"/>
    <cellStyle name="Percent 3 2 4 2 9 2 2" xfId="7007"/>
    <cellStyle name="Percent 3 2 4 2 9 2 3" xfId="10668"/>
    <cellStyle name="Percent 3 2 4 2 9 2 3 2" xfId="17651"/>
    <cellStyle name="Percent 3 2 4 2 9 2 3 2 2" xfId="24618"/>
    <cellStyle name="Percent 3 2 4 2 9 2 3 2 3" xfId="31585"/>
    <cellStyle name="Percent 3 2 4 2 9 2 3 2 4" xfId="38554"/>
    <cellStyle name="Percent 3 2 4 2 9 2 3 3" xfId="13009"/>
    <cellStyle name="Percent 3 2 4 2 9 2 3 4" xfId="19976"/>
    <cellStyle name="Percent 3 2 4 2 9 2 3 5" xfId="26943"/>
    <cellStyle name="Percent 3 2 4 2 9 2 3 6" xfId="33911"/>
    <cellStyle name="Percent 3 2 4 2 9 2 4" xfId="15331"/>
    <cellStyle name="Percent 3 2 4 2 9 2 4 2" xfId="22298"/>
    <cellStyle name="Percent 3 2 4 2 9 2 4 3" xfId="29265"/>
    <cellStyle name="Percent 3 2 4 2 9 2 4 4" xfId="36234"/>
    <cellStyle name="Percent 3 2 4 2 9 3" xfId="7006"/>
    <cellStyle name="Percent 3 2 4 2 9 4" xfId="9468"/>
    <cellStyle name="Percent 3 2 4 2 9 4 2" xfId="16505"/>
    <cellStyle name="Percent 3 2 4 2 9 4 2 2" xfId="23472"/>
    <cellStyle name="Percent 3 2 4 2 9 4 2 3" xfId="30439"/>
    <cellStyle name="Percent 3 2 4 2 9 4 2 4" xfId="37408"/>
    <cellStyle name="Percent 3 2 4 2 9 4 3" xfId="11863"/>
    <cellStyle name="Percent 3 2 4 2 9 4 4" xfId="18830"/>
    <cellStyle name="Percent 3 2 4 2 9 4 5" xfId="25797"/>
    <cellStyle name="Percent 3 2 4 2 9 4 6" xfId="32765"/>
    <cellStyle name="Percent 3 2 4 2 9 5" xfId="14185"/>
    <cellStyle name="Percent 3 2 4 2 9 5 2" xfId="21152"/>
    <cellStyle name="Percent 3 2 4 2 9 5 3" xfId="28119"/>
    <cellStyle name="Percent 3 2 4 2 9 5 4" xfId="35088"/>
    <cellStyle name="Percent 3 2 4 3" xfId="2372"/>
    <cellStyle name="Percent 3 2 4 4" xfId="2373"/>
    <cellStyle name="Percent 3 2 4 4 2" xfId="2374"/>
    <cellStyle name="Percent 3 2 4 4 3" xfId="2375"/>
    <cellStyle name="Percent 3 2 4 4 3 2" xfId="2376"/>
    <cellStyle name="Percent 3 2 4 4 4" xfId="2377"/>
    <cellStyle name="Percent 3 2 4 4 4 2" xfId="2378"/>
    <cellStyle name="Percent 3 2 4 4 5" xfId="2379"/>
    <cellStyle name="Percent 3 2 4 4 5 2" xfId="2380"/>
    <cellStyle name="Percent 3 2 4 5" xfId="2381"/>
    <cellStyle name="Percent 3 2 4 5 2" xfId="2382"/>
    <cellStyle name="Percent 3 2 4 5 3" xfId="3780"/>
    <cellStyle name="Percent 3 2 4 5 3 2" xfId="6062"/>
    <cellStyle name="Percent 3 2 4 5 3 2 2" xfId="10669"/>
    <cellStyle name="Percent 3 2 4 5 3 2 2 2" xfId="17652"/>
    <cellStyle name="Percent 3 2 4 5 3 2 2 3" xfId="24619"/>
    <cellStyle name="Percent 3 2 4 5 3 2 2 4" xfId="31586"/>
    <cellStyle name="Percent 3 2 4 5 3 2 2 5" xfId="38555"/>
    <cellStyle name="Percent 3 2 4 5 3 2 3" xfId="15332"/>
    <cellStyle name="Percent 3 2 4 5 3 2 3 2" xfId="22299"/>
    <cellStyle name="Percent 3 2 4 5 3 2 3 3" xfId="29266"/>
    <cellStyle name="Percent 3 2 4 5 3 2 3 4" xfId="36235"/>
    <cellStyle name="Percent 3 2 4 5 3 2 4" xfId="13010"/>
    <cellStyle name="Percent 3 2 4 5 3 2 5" xfId="19977"/>
    <cellStyle name="Percent 3 2 4 5 3 2 6" xfId="26944"/>
    <cellStyle name="Percent 3 2 4 5 3 2 7" xfId="33912"/>
    <cellStyle name="Percent 3 2 4 5 3 3" xfId="9387"/>
    <cellStyle name="Percent 3 2 4 5 3 3 2" xfId="16425"/>
    <cellStyle name="Percent 3 2 4 5 3 3 3" xfId="23392"/>
    <cellStyle name="Percent 3 2 4 5 3 3 4" xfId="30359"/>
    <cellStyle name="Percent 3 2 4 5 3 3 5" xfId="37328"/>
    <cellStyle name="Percent 3 2 4 5 3 4" xfId="14105"/>
    <cellStyle name="Percent 3 2 4 5 3 4 2" xfId="21072"/>
    <cellStyle name="Percent 3 2 4 5 3 4 3" xfId="28039"/>
    <cellStyle name="Percent 3 2 4 5 3 4 4" xfId="35008"/>
    <cellStyle name="Percent 3 2 4 5 3 5" xfId="11783"/>
    <cellStyle name="Percent 3 2 4 5 3 6" xfId="18750"/>
    <cellStyle name="Percent 3 2 4 5 3 7" xfId="25717"/>
    <cellStyle name="Percent 3 2 4 5 3 8" xfId="32685"/>
    <cellStyle name="Percent 3 2 4 6" xfId="2383"/>
    <cellStyle name="Percent 3 2 4 6 2" xfId="6063"/>
    <cellStyle name="Percent 3 2 4 7" xfId="2384"/>
    <cellStyle name="Percent 3 2 4 7 2" xfId="6064"/>
    <cellStyle name="Percent 3 2 4 8" xfId="4042"/>
    <cellStyle name="Percent 3 2 4 8 2" xfId="7009"/>
    <cellStyle name="Percent 3 2 4 8 3" xfId="7008"/>
    <cellStyle name="Percent 3 2 4 8 4" xfId="9648"/>
    <cellStyle name="Percent 3 2 5" xfId="2385"/>
    <cellStyle name="Percent 3 2 5 2" xfId="2386"/>
    <cellStyle name="Percent 3 2 5 2 2" xfId="3777"/>
    <cellStyle name="Percent 3 2 5 2 2 2" xfId="6065"/>
    <cellStyle name="Percent 3 2 5 2 2 2 2" xfId="10670"/>
    <cellStyle name="Percent 3 2 5 2 2 2 2 2" xfId="17653"/>
    <cellStyle name="Percent 3 2 5 2 2 2 2 3" xfId="24620"/>
    <cellStyle name="Percent 3 2 5 2 2 2 2 4" xfId="31587"/>
    <cellStyle name="Percent 3 2 5 2 2 2 2 5" xfId="38556"/>
    <cellStyle name="Percent 3 2 5 2 2 2 3" xfId="15333"/>
    <cellStyle name="Percent 3 2 5 2 2 2 3 2" xfId="22300"/>
    <cellStyle name="Percent 3 2 5 2 2 2 3 3" xfId="29267"/>
    <cellStyle name="Percent 3 2 5 2 2 2 3 4" xfId="36236"/>
    <cellStyle name="Percent 3 2 5 2 2 2 4" xfId="13011"/>
    <cellStyle name="Percent 3 2 5 2 2 2 5" xfId="19978"/>
    <cellStyle name="Percent 3 2 5 2 2 2 6" xfId="26945"/>
    <cellStyle name="Percent 3 2 5 2 2 2 7" xfId="33913"/>
    <cellStyle name="Percent 3 2 5 2 2 3" xfId="9384"/>
    <cellStyle name="Percent 3 2 5 2 2 3 2" xfId="16422"/>
    <cellStyle name="Percent 3 2 5 2 2 3 3" xfId="23389"/>
    <cellStyle name="Percent 3 2 5 2 2 3 4" xfId="30356"/>
    <cellStyle name="Percent 3 2 5 2 2 3 5" xfId="37325"/>
    <cellStyle name="Percent 3 2 5 2 2 4" xfId="14102"/>
    <cellStyle name="Percent 3 2 5 2 2 4 2" xfId="21069"/>
    <cellStyle name="Percent 3 2 5 2 2 4 3" xfId="28036"/>
    <cellStyle name="Percent 3 2 5 2 2 4 4" xfId="35005"/>
    <cellStyle name="Percent 3 2 5 2 2 5" xfId="11780"/>
    <cellStyle name="Percent 3 2 5 2 2 6" xfId="18747"/>
    <cellStyle name="Percent 3 2 5 2 2 7" xfId="25714"/>
    <cellStyle name="Percent 3 2 5 2 2 8" xfId="32682"/>
    <cellStyle name="Percent 3 2 5 3" xfId="2387"/>
    <cellStyle name="Percent 3 2 5 3 2" xfId="3778"/>
    <cellStyle name="Percent 3 2 5 3 2 2" xfId="6066"/>
    <cellStyle name="Percent 3 2 5 3 2 2 2" xfId="10671"/>
    <cellStyle name="Percent 3 2 5 3 2 2 2 2" xfId="17654"/>
    <cellStyle name="Percent 3 2 5 3 2 2 2 3" xfId="24621"/>
    <cellStyle name="Percent 3 2 5 3 2 2 2 4" xfId="31588"/>
    <cellStyle name="Percent 3 2 5 3 2 2 2 5" xfId="38557"/>
    <cellStyle name="Percent 3 2 5 3 2 2 3" xfId="15334"/>
    <cellStyle name="Percent 3 2 5 3 2 2 3 2" xfId="22301"/>
    <cellStyle name="Percent 3 2 5 3 2 2 3 3" xfId="29268"/>
    <cellStyle name="Percent 3 2 5 3 2 2 3 4" xfId="36237"/>
    <cellStyle name="Percent 3 2 5 3 2 2 4" xfId="13012"/>
    <cellStyle name="Percent 3 2 5 3 2 2 5" xfId="19979"/>
    <cellStyle name="Percent 3 2 5 3 2 2 6" xfId="26946"/>
    <cellStyle name="Percent 3 2 5 3 2 2 7" xfId="33914"/>
    <cellStyle name="Percent 3 2 5 3 2 3" xfId="9385"/>
    <cellStyle name="Percent 3 2 5 3 2 3 2" xfId="16423"/>
    <cellStyle name="Percent 3 2 5 3 2 3 3" xfId="23390"/>
    <cellStyle name="Percent 3 2 5 3 2 3 4" xfId="30357"/>
    <cellStyle name="Percent 3 2 5 3 2 3 5" xfId="37326"/>
    <cellStyle name="Percent 3 2 5 3 2 4" xfId="14103"/>
    <cellStyle name="Percent 3 2 5 3 2 4 2" xfId="21070"/>
    <cellStyle name="Percent 3 2 5 3 2 4 3" xfId="28037"/>
    <cellStyle name="Percent 3 2 5 3 2 4 4" xfId="35006"/>
    <cellStyle name="Percent 3 2 5 3 2 5" xfId="11781"/>
    <cellStyle name="Percent 3 2 5 3 2 6" xfId="18748"/>
    <cellStyle name="Percent 3 2 5 3 2 7" xfId="25715"/>
    <cellStyle name="Percent 3 2 5 3 2 8" xfId="32683"/>
    <cellStyle name="Percent 3 2 5 4" xfId="2388"/>
    <cellStyle name="Percent 3 2 5 4 2" xfId="2389"/>
    <cellStyle name="Percent 3 2 5 5" xfId="2390"/>
    <cellStyle name="Percent 3 2 5 5 2" xfId="6067"/>
    <cellStyle name="Percent 3 2 5 6" xfId="2391"/>
    <cellStyle name="Percent 3 2 5 6 2" xfId="6068"/>
    <cellStyle name="Percent 3 2 5 7" xfId="4070"/>
    <cellStyle name="Percent 3 2 5 7 2" xfId="6069"/>
    <cellStyle name="Percent 3 2 5 7 2 2" xfId="7011"/>
    <cellStyle name="Percent 3 2 5 7 2 3" xfId="10672"/>
    <cellStyle name="Percent 3 2 5 7 2 3 2" xfId="17655"/>
    <cellStyle name="Percent 3 2 5 7 2 3 2 2" xfId="24622"/>
    <cellStyle name="Percent 3 2 5 7 2 3 2 3" xfId="31589"/>
    <cellStyle name="Percent 3 2 5 7 2 3 2 4" xfId="38558"/>
    <cellStyle name="Percent 3 2 5 7 2 3 3" xfId="13013"/>
    <cellStyle name="Percent 3 2 5 7 2 3 4" xfId="19980"/>
    <cellStyle name="Percent 3 2 5 7 2 3 5" xfId="26947"/>
    <cellStyle name="Percent 3 2 5 7 2 3 6" xfId="33915"/>
    <cellStyle name="Percent 3 2 5 7 2 4" xfId="15335"/>
    <cellStyle name="Percent 3 2 5 7 2 4 2" xfId="22302"/>
    <cellStyle name="Percent 3 2 5 7 2 4 3" xfId="29269"/>
    <cellStyle name="Percent 3 2 5 7 2 4 4" xfId="36238"/>
    <cellStyle name="Percent 3 2 5 7 3" xfId="7010"/>
    <cellStyle name="Percent 3 2 5 7 4" xfId="9676"/>
    <cellStyle name="Percent 3 2 5 7 4 2" xfId="16699"/>
    <cellStyle name="Percent 3 2 5 7 4 2 2" xfId="23666"/>
    <cellStyle name="Percent 3 2 5 7 4 2 3" xfId="30633"/>
    <cellStyle name="Percent 3 2 5 7 4 2 4" xfId="37602"/>
    <cellStyle name="Percent 3 2 5 7 4 3" xfId="12057"/>
    <cellStyle name="Percent 3 2 5 7 4 4" xfId="19024"/>
    <cellStyle name="Percent 3 2 5 7 4 5" xfId="25991"/>
    <cellStyle name="Percent 3 2 5 7 4 6" xfId="32959"/>
    <cellStyle name="Percent 3 2 5 7 5" xfId="14379"/>
    <cellStyle name="Percent 3 2 5 7 5 2" xfId="21346"/>
    <cellStyle name="Percent 3 2 5 7 5 3" xfId="28313"/>
    <cellStyle name="Percent 3 2 5 7 5 4" xfId="35282"/>
    <cellStyle name="Percent 3 2 6" xfId="2392"/>
    <cellStyle name="Percent 3 2 6 2" xfId="2393"/>
    <cellStyle name="Percent 3 2 6 2 2" xfId="3776"/>
    <cellStyle name="Percent 3 2 6 2 2 2" xfId="6070"/>
    <cellStyle name="Percent 3 2 6 2 2 2 2" xfId="10673"/>
    <cellStyle name="Percent 3 2 6 2 2 2 2 2" xfId="17656"/>
    <cellStyle name="Percent 3 2 6 2 2 2 2 3" xfId="24623"/>
    <cellStyle name="Percent 3 2 6 2 2 2 2 4" xfId="31590"/>
    <cellStyle name="Percent 3 2 6 2 2 2 2 5" xfId="38559"/>
    <cellStyle name="Percent 3 2 6 2 2 2 3" xfId="15336"/>
    <cellStyle name="Percent 3 2 6 2 2 2 3 2" xfId="22303"/>
    <cellStyle name="Percent 3 2 6 2 2 2 3 3" xfId="29270"/>
    <cellStyle name="Percent 3 2 6 2 2 2 3 4" xfId="36239"/>
    <cellStyle name="Percent 3 2 6 2 2 2 4" xfId="13014"/>
    <cellStyle name="Percent 3 2 6 2 2 2 5" xfId="19981"/>
    <cellStyle name="Percent 3 2 6 2 2 2 6" xfId="26948"/>
    <cellStyle name="Percent 3 2 6 2 2 2 7" xfId="33916"/>
    <cellStyle name="Percent 3 2 6 2 2 3" xfId="9383"/>
    <cellStyle name="Percent 3 2 6 2 2 3 2" xfId="16421"/>
    <cellStyle name="Percent 3 2 6 2 2 3 3" xfId="23388"/>
    <cellStyle name="Percent 3 2 6 2 2 3 4" xfId="30355"/>
    <cellStyle name="Percent 3 2 6 2 2 3 5" xfId="37324"/>
    <cellStyle name="Percent 3 2 6 2 2 4" xfId="14101"/>
    <cellStyle name="Percent 3 2 6 2 2 4 2" xfId="21068"/>
    <cellStyle name="Percent 3 2 6 2 2 4 3" xfId="28035"/>
    <cellStyle name="Percent 3 2 6 2 2 4 4" xfId="35004"/>
    <cellStyle name="Percent 3 2 6 2 2 5" xfId="11779"/>
    <cellStyle name="Percent 3 2 6 2 2 6" xfId="18746"/>
    <cellStyle name="Percent 3 2 6 2 2 7" xfId="25713"/>
    <cellStyle name="Percent 3 2 6 2 2 8" xfId="32681"/>
    <cellStyle name="Percent 3 2 6 3" xfId="2394"/>
    <cellStyle name="Percent 3 2 6 3 2" xfId="6071"/>
    <cellStyle name="Percent 3 2 6 4" xfId="2395"/>
    <cellStyle name="Percent 3 2 6 4 2" xfId="6072"/>
    <cellStyle name="Percent 3 2 6 5" xfId="3401"/>
    <cellStyle name="Percent 3 2 6 5 2" xfId="7013"/>
    <cellStyle name="Percent 3 2 6 5 3" xfId="7012"/>
    <cellStyle name="Percent 3 2 6 5 4" xfId="9025"/>
    <cellStyle name="Percent 3 2 6 6" xfId="3870"/>
    <cellStyle name="Percent 3 2 6 6 2" xfId="6073"/>
    <cellStyle name="Percent 3 2 6 6 2 2" xfId="10674"/>
    <cellStyle name="Percent 3 2 6 6 2 2 2" xfId="17657"/>
    <cellStyle name="Percent 3 2 6 6 2 2 3" xfId="24624"/>
    <cellStyle name="Percent 3 2 6 6 2 2 4" xfId="31591"/>
    <cellStyle name="Percent 3 2 6 6 2 2 5" xfId="38560"/>
    <cellStyle name="Percent 3 2 6 6 2 3" xfId="15337"/>
    <cellStyle name="Percent 3 2 6 6 2 3 2" xfId="22304"/>
    <cellStyle name="Percent 3 2 6 6 2 3 3" xfId="29271"/>
    <cellStyle name="Percent 3 2 6 6 2 3 4" xfId="36240"/>
    <cellStyle name="Percent 3 2 6 6 2 4" xfId="13015"/>
    <cellStyle name="Percent 3 2 6 6 2 5" xfId="19982"/>
    <cellStyle name="Percent 3 2 6 6 2 6" xfId="26949"/>
    <cellStyle name="Percent 3 2 6 6 2 7" xfId="33917"/>
    <cellStyle name="Percent 3 2 6 6 3" xfId="9476"/>
    <cellStyle name="Percent 3 2 6 6 3 2" xfId="16513"/>
    <cellStyle name="Percent 3 2 6 6 3 3" xfId="23480"/>
    <cellStyle name="Percent 3 2 6 6 3 4" xfId="30447"/>
    <cellStyle name="Percent 3 2 6 6 3 5" xfId="37416"/>
    <cellStyle name="Percent 3 2 6 6 4" xfId="14193"/>
    <cellStyle name="Percent 3 2 6 6 4 2" xfId="21160"/>
    <cellStyle name="Percent 3 2 6 6 4 3" xfId="28127"/>
    <cellStyle name="Percent 3 2 6 6 4 4" xfId="35096"/>
    <cellStyle name="Percent 3 2 6 6 5" xfId="11871"/>
    <cellStyle name="Percent 3 2 6 6 6" xfId="18838"/>
    <cellStyle name="Percent 3 2 6 6 7" xfId="25805"/>
    <cellStyle name="Percent 3 2 6 6 8" xfId="32773"/>
    <cellStyle name="Percent 3 2 7" xfId="2396"/>
    <cellStyle name="Percent 3 2 8" xfId="2397"/>
    <cellStyle name="Percent 3 2 8 2" xfId="2398"/>
    <cellStyle name="Percent 3 2 8 3" xfId="3791"/>
    <cellStyle name="Percent 3 2 8 3 2" xfId="6074"/>
    <cellStyle name="Percent 3 2 8 3 2 2" xfId="10675"/>
    <cellStyle name="Percent 3 2 8 3 2 2 2" xfId="17658"/>
    <cellStyle name="Percent 3 2 8 3 2 2 3" xfId="24625"/>
    <cellStyle name="Percent 3 2 8 3 2 2 4" xfId="31592"/>
    <cellStyle name="Percent 3 2 8 3 2 2 5" xfId="38561"/>
    <cellStyle name="Percent 3 2 8 3 2 3" xfId="15338"/>
    <cellStyle name="Percent 3 2 8 3 2 3 2" xfId="22305"/>
    <cellStyle name="Percent 3 2 8 3 2 3 3" xfId="29272"/>
    <cellStyle name="Percent 3 2 8 3 2 3 4" xfId="36241"/>
    <cellStyle name="Percent 3 2 8 3 2 4" xfId="13016"/>
    <cellStyle name="Percent 3 2 8 3 2 5" xfId="19983"/>
    <cellStyle name="Percent 3 2 8 3 2 6" xfId="26950"/>
    <cellStyle name="Percent 3 2 8 3 2 7" xfId="33918"/>
    <cellStyle name="Percent 3 2 8 3 3" xfId="9398"/>
    <cellStyle name="Percent 3 2 8 3 3 2" xfId="16436"/>
    <cellStyle name="Percent 3 2 8 3 3 3" xfId="23403"/>
    <cellStyle name="Percent 3 2 8 3 3 4" xfId="30370"/>
    <cellStyle name="Percent 3 2 8 3 3 5" xfId="37339"/>
    <cellStyle name="Percent 3 2 8 3 4" xfId="14116"/>
    <cellStyle name="Percent 3 2 8 3 4 2" xfId="21083"/>
    <cellStyle name="Percent 3 2 8 3 4 3" xfId="28050"/>
    <cellStyle name="Percent 3 2 8 3 4 4" xfId="35019"/>
    <cellStyle name="Percent 3 2 8 3 5" xfId="11794"/>
    <cellStyle name="Percent 3 2 8 3 6" xfId="18761"/>
    <cellStyle name="Percent 3 2 8 3 7" xfId="25728"/>
    <cellStyle name="Percent 3 2 8 3 8" xfId="32696"/>
    <cellStyle name="Percent 3 2 9" xfId="2399"/>
    <cellStyle name="Percent 3 2 9 2" xfId="3403"/>
    <cellStyle name="Percent 3 2 9 2 2" xfId="7014"/>
    <cellStyle name="Percent 3 2 9 2 3" xfId="9026"/>
    <cellStyle name="Percent 3 2 9 3" xfId="3402"/>
    <cellStyle name="Percent 3 2 9 4" xfId="6075"/>
    <cellStyle name="Percent 3 3" xfId="2400"/>
    <cellStyle name="Percent 3 3 10" xfId="4077"/>
    <cellStyle name="Percent 3 3 10 2" xfId="6076"/>
    <cellStyle name="Percent 3 3 10 2 2" xfId="7016"/>
    <cellStyle name="Percent 3 3 10 2 3" xfId="10676"/>
    <cellStyle name="Percent 3 3 10 2 3 2" xfId="17659"/>
    <cellStyle name="Percent 3 3 10 2 3 2 2" xfId="24626"/>
    <cellStyle name="Percent 3 3 10 2 3 2 3" xfId="31593"/>
    <cellStyle name="Percent 3 3 10 2 3 2 4" xfId="38562"/>
    <cellStyle name="Percent 3 3 10 2 3 3" xfId="13017"/>
    <cellStyle name="Percent 3 3 10 2 3 4" xfId="19984"/>
    <cellStyle name="Percent 3 3 10 2 3 5" xfId="26951"/>
    <cellStyle name="Percent 3 3 10 2 3 6" xfId="33919"/>
    <cellStyle name="Percent 3 3 10 2 4" xfId="15339"/>
    <cellStyle name="Percent 3 3 10 2 4 2" xfId="22306"/>
    <cellStyle name="Percent 3 3 10 2 4 3" xfId="29273"/>
    <cellStyle name="Percent 3 3 10 2 4 4" xfId="36242"/>
    <cellStyle name="Percent 3 3 10 3" xfId="7015"/>
    <cellStyle name="Percent 3 3 10 4" xfId="9683"/>
    <cellStyle name="Percent 3 3 10 4 2" xfId="16706"/>
    <cellStyle name="Percent 3 3 10 4 2 2" xfId="23673"/>
    <cellStyle name="Percent 3 3 10 4 2 3" xfId="30640"/>
    <cellStyle name="Percent 3 3 10 4 2 4" xfId="37609"/>
    <cellStyle name="Percent 3 3 10 4 3" xfId="12064"/>
    <cellStyle name="Percent 3 3 10 4 4" xfId="19031"/>
    <cellStyle name="Percent 3 3 10 4 5" xfId="25998"/>
    <cellStyle name="Percent 3 3 10 4 6" xfId="32966"/>
    <cellStyle name="Percent 3 3 10 5" xfId="14386"/>
    <cellStyle name="Percent 3 3 10 5 2" xfId="21353"/>
    <cellStyle name="Percent 3 3 10 5 3" xfId="28320"/>
    <cellStyle name="Percent 3 3 10 5 4" xfId="35289"/>
    <cellStyle name="Percent 3 3 2" xfId="2401"/>
    <cellStyle name="Percent 3 3 2 2" xfId="2402"/>
    <cellStyle name="Percent 3 3 2 2 2" xfId="2403"/>
    <cellStyle name="Percent 3 3 2 2 2 2" xfId="2404"/>
    <cellStyle name="Percent 3 3 2 2 2 3" xfId="2405"/>
    <cellStyle name="Percent 3 3 2 2 3" xfId="2406"/>
    <cellStyle name="Percent 3 3 2 2 4" xfId="2407"/>
    <cellStyle name="Percent 3 3 2 2 4 2" xfId="2408"/>
    <cellStyle name="Percent 3 3 2 2 4 3" xfId="2409"/>
    <cellStyle name="Percent 3 3 2 2 4 3 2" xfId="2410"/>
    <cellStyle name="Percent 3 3 2 2 4 4" xfId="2411"/>
    <cellStyle name="Percent 3 3 2 2 4 4 2" xfId="2412"/>
    <cellStyle name="Percent 3 3 2 2 4 5" xfId="2413"/>
    <cellStyle name="Percent 3 3 2 2 4 5 2" xfId="2414"/>
    <cellStyle name="Percent 3 3 2 2 5" xfId="2415"/>
    <cellStyle name="Percent 3 3 2 2 5 2" xfId="2416"/>
    <cellStyle name="Percent 3 3 2 2 5 3" xfId="3773"/>
    <cellStyle name="Percent 3 3 2 2 5 3 2" xfId="6077"/>
    <cellStyle name="Percent 3 3 2 2 5 3 2 2" xfId="10677"/>
    <cellStyle name="Percent 3 3 2 2 5 3 2 2 2" xfId="17660"/>
    <cellStyle name="Percent 3 3 2 2 5 3 2 2 3" xfId="24627"/>
    <cellStyle name="Percent 3 3 2 2 5 3 2 2 4" xfId="31594"/>
    <cellStyle name="Percent 3 3 2 2 5 3 2 2 5" xfId="38563"/>
    <cellStyle name="Percent 3 3 2 2 5 3 2 3" xfId="15340"/>
    <cellStyle name="Percent 3 3 2 2 5 3 2 3 2" xfId="22307"/>
    <cellStyle name="Percent 3 3 2 2 5 3 2 3 3" xfId="29274"/>
    <cellStyle name="Percent 3 3 2 2 5 3 2 3 4" xfId="36243"/>
    <cellStyle name="Percent 3 3 2 2 5 3 2 4" xfId="13018"/>
    <cellStyle name="Percent 3 3 2 2 5 3 2 5" xfId="19985"/>
    <cellStyle name="Percent 3 3 2 2 5 3 2 6" xfId="26952"/>
    <cellStyle name="Percent 3 3 2 2 5 3 2 7" xfId="33920"/>
    <cellStyle name="Percent 3 3 2 2 5 3 3" xfId="9380"/>
    <cellStyle name="Percent 3 3 2 2 5 3 3 2" xfId="16418"/>
    <cellStyle name="Percent 3 3 2 2 5 3 3 3" xfId="23385"/>
    <cellStyle name="Percent 3 3 2 2 5 3 3 4" xfId="30352"/>
    <cellStyle name="Percent 3 3 2 2 5 3 3 5" xfId="37321"/>
    <cellStyle name="Percent 3 3 2 2 5 3 4" xfId="14098"/>
    <cellStyle name="Percent 3 3 2 2 5 3 4 2" xfId="21065"/>
    <cellStyle name="Percent 3 3 2 2 5 3 4 3" xfId="28032"/>
    <cellStyle name="Percent 3 3 2 2 5 3 4 4" xfId="35001"/>
    <cellStyle name="Percent 3 3 2 2 5 3 5" xfId="11776"/>
    <cellStyle name="Percent 3 3 2 2 5 3 6" xfId="18743"/>
    <cellStyle name="Percent 3 3 2 2 5 3 7" xfId="25710"/>
    <cellStyle name="Percent 3 3 2 2 5 3 8" xfId="32678"/>
    <cellStyle name="Percent 3 3 2 2 6" xfId="2417"/>
    <cellStyle name="Percent 3 3 2 2 6 2" xfId="6078"/>
    <cellStyle name="Percent 3 3 2 2 7" xfId="2418"/>
    <cellStyle name="Percent 3 3 2 2 7 2" xfId="6079"/>
    <cellStyle name="Percent 3 3 2 2 8" xfId="4039"/>
    <cellStyle name="Percent 3 3 2 2 8 2" xfId="6080"/>
    <cellStyle name="Percent 3 3 2 2 8 2 2" xfId="7018"/>
    <cellStyle name="Percent 3 3 2 2 8 2 3" xfId="10678"/>
    <cellStyle name="Percent 3 3 2 2 8 2 3 2" xfId="17661"/>
    <cellStyle name="Percent 3 3 2 2 8 2 3 2 2" xfId="24628"/>
    <cellStyle name="Percent 3 3 2 2 8 2 3 2 3" xfId="31595"/>
    <cellStyle name="Percent 3 3 2 2 8 2 3 2 4" xfId="38564"/>
    <cellStyle name="Percent 3 3 2 2 8 2 3 3" xfId="13019"/>
    <cellStyle name="Percent 3 3 2 2 8 2 3 4" xfId="19986"/>
    <cellStyle name="Percent 3 3 2 2 8 2 3 5" xfId="26953"/>
    <cellStyle name="Percent 3 3 2 2 8 2 3 6" xfId="33921"/>
    <cellStyle name="Percent 3 3 2 2 8 2 4" xfId="15341"/>
    <cellStyle name="Percent 3 3 2 2 8 2 4 2" xfId="22308"/>
    <cellStyle name="Percent 3 3 2 2 8 2 4 3" xfId="29275"/>
    <cellStyle name="Percent 3 3 2 2 8 2 4 4" xfId="36244"/>
    <cellStyle name="Percent 3 3 2 2 8 3" xfId="7017"/>
    <cellStyle name="Percent 3 3 2 2 8 4" xfId="9645"/>
    <cellStyle name="Percent 3 3 2 2 8 4 2" xfId="16681"/>
    <cellStyle name="Percent 3 3 2 2 8 4 2 2" xfId="23648"/>
    <cellStyle name="Percent 3 3 2 2 8 4 2 3" xfId="30615"/>
    <cellStyle name="Percent 3 3 2 2 8 4 2 4" xfId="37584"/>
    <cellStyle name="Percent 3 3 2 2 8 4 3" xfId="12039"/>
    <cellStyle name="Percent 3 3 2 2 8 4 4" xfId="19006"/>
    <cellStyle name="Percent 3 3 2 2 8 4 5" xfId="25973"/>
    <cellStyle name="Percent 3 3 2 2 8 4 6" xfId="32941"/>
    <cellStyle name="Percent 3 3 2 2 8 5" xfId="14361"/>
    <cellStyle name="Percent 3 3 2 2 8 5 2" xfId="21328"/>
    <cellStyle name="Percent 3 3 2 2 8 5 3" xfId="28295"/>
    <cellStyle name="Percent 3 3 2 2 8 5 4" xfId="35264"/>
    <cellStyle name="Percent 3 3 2 2 9" xfId="7019"/>
    <cellStyle name="Percent 3 3 2 3" xfId="2419"/>
    <cellStyle name="Percent 3 3 2 3 2" xfId="2420"/>
    <cellStyle name="Percent 3 3 2 3 3" xfId="2421"/>
    <cellStyle name="Percent 3 3 2 3 3 2" xfId="2422"/>
    <cellStyle name="Percent 3 3 2 3 4" xfId="2423"/>
    <cellStyle name="Percent 3 3 2 3 5" xfId="2424"/>
    <cellStyle name="Percent 3 3 2 3 5 2" xfId="2425"/>
    <cellStyle name="Percent 3 3 2 3 6" xfId="2426"/>
    <cellStyle name="Percent 3 3 2 3 6 2" xfId="6081"/>
    <cellStyle name="Percent 3 3 2 3 7" xfId="2427"/>
    <cellStyle name="Percent 3 3 2 3 7 2" xfId="6082"/>
    <cellStyle name="Percent 3 3 2 3 8" xfId="3865"/>
    <cellStyle name="Percent 3 3 2 3 8 2" xfId="6083"/>
    <cellStyle name="Percent 3 3 2 3 8 2 2" xfId="7021"/>
    <cellStyle name="Percent 3 3 2 3 8 2 3" xfId="10679"/>
    <cellStyle name="Percent 3 3 2 3 8 2 3 2" xfId="17662"/>
    <cellStyle name="Percent 3 3 2 3 8 2 3 2 2" xfId="24629"/>
    <cellStyle name="Percent 3 3 2 3 8 2 3 2 3" xfId="31596"/>
    <cellStyle name="Percent 3 3 2 3 8 2 3 2 4" xfId="38565"/>
    <cellStyle name="Percent 3 3 2 3 8 2 3 3" xfId="13020"/>
    <cellStyle name="Percent 3 3 2 3 8 2 3 4" xfId="19987"/>
    <cellStyle name="Percent 3 3 2 3 8 2 3 5" xfId="26954"/>
    <cellStyle name="Percent 3 3 2 3 8 2 3 6" xfId="33922"/>
    <cellStyle name="Percent 3 3 2 3 8 2 4" xfId="15342"/>
    <cellStyle name="Percent 3 3 2 3 8 2 4 2" xfId="22309"/>
    <cellStyle name="Percent 3 3 2 3 8 2 4 3" xfId="29276"/>
    <cellStyle name="Percent 3 3 2 3 8 2 4 4" xfId="36245"/>
    <cellStyle name="Percent 3 3 2 3 8 3" xfId="7020"/>
    <cellStyle name="Percent 3 3 2 3 8 4" xfId="9471"/>
    <cellStyle name="Percent 3 3 2 3 8 4 2" xfId="16508"/>
    <cellStyle name="Percent 3 3 2 3 8 4 2 2" xfId="23475"/>
    <cellStyle name="Percent 3 3 2 3 8 4 2 3" xfId="30442"/>
    <cellStyle name="Percent 3 3 2 3 8 4 2 4" xfId="37411"/>
    <cellStyle name="Percent 3 3 2 3 8 4 3" xfId="11866"/>
    <cellStyle name="Percent 3 3 2 3 8 4 4" xfId="18833"/>
    <cellStyle name="Percent 3 3 2 3 8 4 5" xfId="25800"/>
    <cellStyle name="Percent 3 3 2 3 8 4 6" xfId="32768"/>
    <cellStyle name="Percent 3 3 2 3 8 5" xfId="14188"/>
    <cellStyle name="Percent 3 3 2 3 8 5 2" xfId="21155"/>
    <cellStyle name="Percent 3 3 2 3 8 5 3" xfId="28122"/>
    <cellStyle name="Percent 3 3 2 3 8 5 4" xfId="35091"/>
    <cellStyle name="Percent 3 3 2 4" xfId="2428"/>
    <cellStyle name="Percent 3 3 2 4 2" xfId="2429"/>
    <cellStyle name="Percent 3 3 2 4 3" xfId="2430"/>
    <cellStyle name="Percent 3 3 2 5" xfId="2431"/>
    <cellStyle name="Percent 3 3 2 5 2" xfId="2432"/>
    <cellStyle name="Percent 3 3 2 5 3" xfId="3774"/>
    <cellStyle name="Percent 3 3 2 5 3 2" xfId="6084"/>
    <cellStyle name="Percent 3 3 2 5 3 2 2" xfId="10680"/>
    <cellStyle name="Percent 3 3 2 5 3 2 2 2" xfId="17663"/>
    <cellStyle name="Percent 3 3 2 5 3 2 2 3" xfId="24630"/>
    <cellStyle name="Percent 3 3 2 5 3 2 2 4" xfId="31597"/>
    <cellStyle name="Percent 3 3 2 5 3 2 2 5" xfId="38566"/>
    <cellStyle name="Percent 3 3 2 5 3 2 3" xfId="15343"/>
    <cellStyle name="Percent 3 3 2 5 3 2 3 2" xfId="22310"/>
    <cellStyle name="Percent 3 3 2 5 3 2 3 3" xfId="29277"/>
    <cellStyle name="Percent 3 3 2 5 3 2 3 4" xfId="36246"/>
    <cellStyle name="Percent 3 3 2 5 3 2 4" xfId="13021"/>
    <cellStyle name="Percent 3 3 2 5 3 2 5" xfId="19988"/>
    <cellStyle name="Percent 3 3 2 5 3 2 6" xfId="26955"/>
    <cellStyle name="Percent 3 3 2 5 3 2 7" xfId="33923"/>
    <cellStyle name="Percent 3 3 2 5 3 3" xfId="9381"/>
    <cellStyle name="Percent 3 3 2 5 3 3 2" xfId="16419"/>
    <cellStyle name="Percent 3 3 2 5 3 3 3" xfId="23386"/>
    <cellStyle name="Percent 3 3 2 5 3 3 4" xfId="30353"/>
    <cellStyle name="Percent 3 3 2 5 3 3 5" xfId="37322"/>
    <cellStyle name="Percent 3 3 2 5 3 4" xfId="14099"/>
    <cellStyle name="Percent 3 3 2 5 3 4 2" xfId="21066"/>
    <cellStyle name="Percent 3 3 2 5 3 4 3" xfId="28033"/>
    <cellStyle name="Percent 3 3 2 5 3 4 4" xfId="35002"/>
    <cellStyle name="Percent 3 3 2 5 3 5" xfId="11777"/>
    <cellStyle name="Percent 3 3 2 5 3 6" xfId="18744"/>
    <cellStyle name="Percent 3 3 2 5 3 7" xfId="25711"/>
    <cellStyle name="Percent 3 3 2 5 3 8" xfId="32679"/>
    <cellStyle name="Percent 3 3 2 6" xfId="2433"/>
    <cellStyle name="Percent 3 3 2 6 2" xfId="3404"/>
    <cellStyle name="Percent 3 3 2 6 3" xfId="6085"/>
    <cellStyle name="Percent 3 3 2 7" xfId="2434"/>
    <cellStyle name="Percent 3 3 2 7 2" xfId="6086"/>
    <cellStyle name="Percent 3 3 2 8" xfId="4072"/>
    <cellStyle name="Percent 3 3 2 8 2" xfId="6087"/>
    <cellStyle name="Percent 3 3 2 8 2 2" xfId="7023"/>
    <cellStyle name="Percent 3 3 2 8 2 3" xfId="10681"/>
    <cellStyle name="Percent 3 3 2 8 2 3 2" xfId="17664"/>
    <cellStyle name="Percent 3 3 2 8 2 3 2 2" xfId="24631"/>
    <cellStyle name="Percent 3 3 2 8 2 3 2 3" xfId="31598"/>
    <cellStyle name="Percent 3 3 2 8 2 3 2 4" xfId="38567"/>
    <cellStyle name="Percent 3 3 2 8 2 3 3" xfId="13022"/>
    <cellStyle name="Percent 3 3 2 8 2 3 4" xfId="19989"/>
    <cellStyle name="Percent 3 3 2 8 2 3 5" xfId="26956"/>
    <cellStyle name="Percent 3 3 2 8 2 3 6" xfId="33924"/>
    <cellStyle name="Percent 3 3 2 8 2 4" xfId="15344"/>
    <cellStyle name="Percent 3 3 2 8 2 4 2" xfId="22311"/>
    <cellStyle name="Percent 3 3 2 8 2 4 3" xfId="29278"/>
    <cellStyle name="Percent 3 3 2 8 2 4 4" xfId="36247"/>
    <cellStyle name="Percent 3 3 2 8 3" xfId="7022"/>
    <cellStyle name="Percent 3 3 2 8 4" xfId="9678"/>
    <cellStyle name="Percent 3 3 2 8 4 2" xfId="16701"/>
    <cellStyle name="Percent 3 3 2 8 4 2 2" xfId="23668"/>
    <cellStyle name="Percent 3 3 2 8 4 2 3" xfId="30635"/>
    <cellStyle name="Percent 3 3 2 8 4 2 4" xfId="37604"/>
    <cellStyle name="Percent 3 3 2 8 4 3" xfId="12059"/>
    <cellStyle name="Percent 3 3 2 8 4 4" xfId="19026"/>
    <cellStyle name="Percent 3 3 2 8 4 5" xfId="25993"/>
    <cellStyle name="Percent 3 3 2 8 4 6" xfId="32961"/>
    <cellStyle name="Percent 3 3 2 8 5" xfId="14381"/>
    <cellStyle name="Percent 3 3 2 8 5 2" xfId="21348"/>
    <cellStyle name="Percent 3 3 2 8 5 3" xfId="28315"/>
    <cellStyle name="Percent 3 3 2 8 5 4" xfId="35284"/>
    <cellStyle name="Percent 3 3 2 9" xfId="7024"/>
    <cellStyle name="Percent 3 3 3" xfId="2435"/>
    <cellStyle name="Percent 3 3 3 2" xfId="2436"/>
    <cellStyle name="Percent 3 3 3 2 2" xfId="2437"/>
    <cellStyle name="Percent 3 3 3 2 3" xfId="2438"/>
    <cellStyle name="Percent 3 3 3 2 3 2" xfId="2439"/>
    <cellStyle name="Percent 3 3 3 2 3 3" xfId="3771"/>
    <cellStyle name="Percent 3 3 3 2 3 3 2" xfId="6088"/>
    <cellStyle name="Percent 3 3 3 2 3 3 2 2" xfId="10682"/>
    <cellStyle name="Percent 3 3 3 2 3 3 2 2 2" xfId="17665"/>
    <cellStyle name="Percent 3 3 3 2 3 3 2 2 3" xfId="24632"/>
    <cellStyle name="Percent 3 3 3 2 3 3 2 2 4" xfId="31599"/>
    <cellStyle name="Percent 3 3 3 2 3 3 2 2 5" xfId="38568"/>
    <cellStyle name="Percent 3 3 3 2 3 3 2 3" xfId="15345"/>
    <cellStyle name="Percent 3 3 3 2 3 3 2 3 2" xfId="22312"/>
    <cellStyle name="Percent 3 3 3 2 3 3 2 3 3" xfId="29279"/>
    <cellStyle name="Percent 3 3 3 2 3 3 2 3 4" xfId="36248"/>
    <cellStyle name="Percent 3 3 3 2 3 3 2 4" xfId="13023"/>
    <cellStyle name="Percent 3 3 3 2 3 3 2 5" xfId="19990"/>
    <cellStyle name="Percent 3 3 3 2 3 3 2 6" xfId="26957"/>
    <cellStyle name="Percent 3 3 3 2 3 3 2 7" xfId="33925"/>
    <cellStyle name="Percent 3 3 3 2 3 3 3" xfId="9378"/>
    <cellStyle name="Percent 3 3 3 2 3 3 3 2" xfId="16416"/>
    <cellStyle name="Percent 3 3 3 2 3 3 3 3" xfId="23383"/>
    <cellStyle name="Percent 3 3 3 2 3 3 3 4" xfId="30350"/>
    <cellStyle name="Percent 3 3 3 2 3 3 3 5" xfId="37319"/>
    <cellStyle name="Percent 3 3 3 2 3 3 4" xfId="14096"/>
    <cellStyle name="Percent 3 3 3 2 3 3 4 2" xfId="21063"/>
    <cellStyle name="Percent 3 3 3 2 3 3 4 3" xfId="28030"/>
    <cellStyle name="Percent 3 3 3 2 3 3 4 4" xfId="34999"/>
    <cellStyle name="Percent 3 3 3 2 3 3 5" xfId="11774"/>
    <cellStyle name="Percent 3 3 3 2 3 3 6" xfId="18741"/>
    <cellStyle name="Percent 3 3 3 2 3 3 7" xfId="25708"/>
    <cellStyle name="Percent 3 3 3 2 3 3 8" xfId="32676"/>
    <cellStyle name="Percent 3 3 3 2 4" xfId="2440"/>
    <cellStyle name="Percent 3 3 3 2 4 2" xfId="6089"/>
    <cellStyle name="Percent 3 3 3 2 5" xfId="2441"/>
    <cellStyle name="Percent 3 3 3 2 5 2" xfId="6090"/>
    <cellStyle name="Percent 3 3 3 2 6" xfId="3861"/>
    <cellStyle name="Percent 3 3 3 2 6 2" xfId="6091"/>
    <cellStyle name="Percent 3 3 3 2 6 2 2" xfId="7026"/>
    <cellStyle name="Percent 3 3 3 2 6 2 3" xfId="10683"/>
    <cellStyle name="Percent 3 3 3 2 6 2 3 2" xfId="17666"/>
    <cellStyle name="Percent 3 3 3 2 6 2 3 2 2" xfId="24633"/>
    <cellStyle name="Percent 3 3 3 2 6 2 3 2 3" xfId="31600"/>
    <cellStyle name="Percent 3 3 3 2 6 2 3 2 4" xfId="38569"/>
    <cellStyle name="Percent 3 3 3 2 6 2 3 3" xfId="13024"/>
    <cellStyle name="Percent 3 3 3 2 6 2 3 4" xfId="19991"/>
    <cellStyle name="Percent 3 3 3 2 6 2 3 5" xfId="26958"/>
    <cellStyle name="Percent 3 3 3 2 6 2 3 6" xfId="33926"/>
    <cellStyle name="Percent 3 3 3 2 6 2 4" xfId="15346"/>
    <cellStyle name="Percent 3 3 3 2 6 2 4 2" xfId="22313"/>
    <cellStyle name="Percent 3 3 3 2 6 2 4 3" xfId="29280"/>
    <cellStyle name="Percent 3 3 3 2 6 2 4 4" xfId="36249"/>
    <cellStyle name="Percent 3 3 3 2 6 3" xfId="7025"/>
    <cellStyle name="Percent 3 3 3 2 6 4" xfId="9467"/>
    <cellStyle name="Percent 3 3 3 2 6 4 2" xfId="16504"/>
    <cellStyle name="Percent 3 3 3 2 6 4 2 2" xfId="23471"/>
    <cellStyle name="Percent 3 3 3 2 6 4 2 3" xfId="30438"/>
    <cellStyle name="Percent 3 3 3 2 6 4 2 4" xfId="37407"/>
    <cellStyle name="Percent 3 3 3 2 6 4 3" xfId="11862"/>
    <cellStyle name="Percent 3 3 3 2 6 4 4" xfId="18829"/>
    <cellStyle name="Percent 3 3 3 2 6 4 5" xfId="25796"/>
    <cellStyle name="Percent 3 3 3 2 6 4 6" xfId="32764"/>
    <cellStyle name="Percent 3 3 3 2 6 5" xfId="14184"/>
    <cellStyle name="Percent 3 3 3 2 6 5 2" xfId="21151"/>
    <cellStyle name="Percent 3 3 3 2 6 5 3" xfId="28118"/>
    <cellStyle name="Percent 3 3 3 2 6 5 4" xfId="35087"/>
    <cellStyle name="Percent 3 3 3 3" xfId="2442"/>
    <cellStyle name="Percent 3 3 3 3 2" xfId="2443"/>
    <cellStyle name="Percent 3 3 3 3 3" xfId="2444"/>
    <cellStyle name="Percent 3 3 3 4" xfId="3772"/>
    <cellStyle name="Percent 3 3 3 4 2" xfId="6092"/>
    <cellStyle name="Percent 3 3 3 4 2 2" xfId="10684"/>
    <cellStyle name="Percent 3 3 3 4 2 2 2" xfId="17667"/>
    <cellStyle name="Percent 3 3 3 4 2 2 3" xfId="24634"/>
    <cellStyle name="Percent 3 3 3 4 2 2 4" xfId="31601"/>
    <cellStyle name="Percent 3 3 3 4 2 2 5" xfId="38570"/>
    <cellStyle name="Percent 3 3 3 4 2 3" xfId="15347"/>
    <cellStyle name="Percent 3 3 3 4 2 3 2" xfId="22314"/>
    <cellStyle name="Percent 3 3 3 4 2 3 3" xfId="29281"/>
    <cellStyle name="Percent 3 3 3 4 2 3 4" xfId="36250"/>
    <cellStyle name="Percent 3 3 3 4 2 4" xfId="13025"/>
    <cellStyle name="Percent 3 3 3 4 2 5" xfId="19992"/>
    <cellStyle name="Percent 3 3 3 4 2 6" xfId="26959"/>
    <cellStyle name="Percent 3 3 3 4 2 7" xfId="33927"/>
    <cellStyle name="Percent 3 3 3 4 3" xfId="9379"/>
    <cellStyle name="Percent 3 3 3 4 3 2" xfId="16417"/>
    <cellStyle name="Percent 3 3 3 4 3 3" xfId="23384"/>
    <cellStyle name="Percent 3 3 3 4 3 4" xfId="30351"/>
    <cellStyle name="Percent 3 3 3 4 3 5" xfId="37320"/>
    <cellStyle name="Percent 3 3 3 4 4" xfId="14097"/>
    <cellStyle name="Percent 3 3 3 4 4 2" xfId="21064"/>
    <cellStyle name="Percent 3 3 3 4 4 3" xfId="28031"/>
    <cellStyle name="Percent 3 3 3 4 4 4" xfId="35000"/>
    <cellStyle name="Percent 3 3 3 4 5" xfId="11775"/>
    <cellStyle name="Percent 3 3 3 4 6" xfId="18742"/>
    <cellStyle name="Percent 3 3 3 4 7" xfId="25709"/>
    <cellStyle name="Percent 3 3 3 4 8" xfId="32677"/>
    <cellStyle name="Percent 3 3 4" xfId="2445"/>
    <cellStyle name="Percent 3 3 4 2" xfId="2446"/>
    <cellStyle name="Percent 3 3 4 2 2" xfId="3769"/>
    <cellStyle name="Percent 3 3 4 2 2 2" xfId="6093"/>
    <cellStyle name="Percent 3 3 4 2 2 2 2" xfId="10685"/>
    <cellStyle name="Percent 3 3 4 2 2 2 2 2" xfId="17668"/>
    <cellStyle name="Percent 3 3 4 2 2 2 2 3" xfId="24635"/>
    <cellStyle name="Percent 3 3 4 2 2 2 2 4" xfId="31602"/>
    <cellStyle name="Percent 3 3 4 2 2 2 2 5" xfId="38571"/>
    <cellStyle name="Percent 3 3 4 2 2 2 3" xfId="15348"/>
    <cellStyle name="Percent 3 3 4 2 2 2 3 2" xfId="22315"/>
    <cellStyle name="Percent 3 3 4 2 2 2 3 3" xfId="29282"/>
    <cellStyle name="Percent 3 3 4 2 2 2 3 4" xfId="36251"/>
    <cellStyle name="Percent 3 3 4 2 2 2 4" xfId="13026"/>
    <cellStyle name="Percent 3 3 4 2 2 2 5" xfId="19993"/>
    <cellStyle name="Percent 3 3 4 2 2 2 6" xfId="26960"/>
    <cellStyle name="Percent 3 3 4 2 2 2 7" xfId="33928"/>
    <cellStyle name="Percent 3 3 4 2 2 3" xfId="9376"/>
    <cellStyle name="Percent 3 3 4 2 2 3 2" xfId="16414"/>
    <cellStyle name="Percent 3 3 4 2 2 3 3" xfId="23381"/>
    <cellStyle name="Percent 3 3 4 2 2 3 4" xfId="30348"/>
    <cellStyle name="Percent 3 3 4 2 2 3 5" xfId="37317"/>
    <cellStyle name="Percent 3 3 4 2 2 4" xfId="14094"/>
    <cellStyle name="Percent 3 3 4 2 2 4 2" xfId="21061"/>
    <cellStyle name="Percent 3 3 4 2 2 4 3" xfId="28028"/>
    <cellStyle name="Percent 3 3 4 2 2 4 4" xfId="34997"/>
    <cellStyle name="Percent 3 3 4 2 2 5" xfId="11772"/>
    <cellStyle name="Percent 3 3 4 2 2 6" xfId="18739"/>
    <cellStyle name="Percent 3 3 4 2 2 7" xfId="25706"/>
    <cellStyle name="Percent 3 3 4 2 2 8" xfId="32674"/>
    <cellStyle name="Percent 3 3 4 3" xfId="2447"/>
    <cellStyle name="Percent 3 3 4 4" xfId="3770"/>
    <cellStyle name="Percent 3 3 4 4 2" xfId="6094"/>
    <cellStyle name="Percent 3 3 4 4 2 2" xfId="10686"/>
    <cellStyle name="Percent 3 3 4 4 2 2 2" xfId="17669"/>
    <cellStyle name="Percent 3 3 4 4 2 2 3" xfId="24636"/>
    <cellStyle name="Percent 3 3 4 4 2 2 4" xfId="31603"/>
    <cellStyle name="Percent 3 3 4 4 2 2 5" xfId="38572"/>
    <cellStyle name="Percent 3 3 4 4 2 3" xfId="15349"/>
    <cellStyle name="Percent 3 3 4 4 2 3 2" xfId="22316"/>
    <cellStyle name="Percent 3 3 4 4 2 3 3" xfId="29283"/>
    <cellStyle name="Percent 3 3 4 4 2 3 4" xfId="36252"/>
    <cellStyle name="Percent 3 3 4 4 2 4" xfId="13027"/>
    <cellStyle name="Percent 3 3 4 4 2 5" xfId="19994"/>
    <cellStyle name="Percent 3 3 4 4 2 6" xfId="26961"/>
    <cellStyle name="Percent 3 3 4 4 2 7" xfId="33929"/>
    <cellStyle name="Percent 3 3 4 4 3" xfId="9377"/>
    <cellStyle name="Percent 3 3 4 4 3 2" xfId="16415"/>
    <cellStyle name="Percent 3 3 4 4 3 3" xfId="23382"/>
    <cellStyle name="Percent 3 3 4 4 3 4" xfId="30349"/>
    <cellStyle name="Percent 3 3 4 4 3 5" xfId="37318"/>
    <cellStyle name="Percent 3 3 4 4 4" xfId="14095"/>
    <cellStyle name="Percent 3 3 4 4 4 2" xfId="21062"/>
    <cellStyle name="Percent 3 3 4 4 4 3" xfId="28029"/>
    <cellStyle name="Percent 3 3 4 4 4 4" xfId="34998"/>
    <cellStyle name="Percent 3 3 4 4 5" xfId="11773"/>
    <cellStyle name="Percent 3 3 4 4 6" xfId="18740"/>
    <cellStyle name="Percent 3 3 4 4 7" xfId="25707"/>
    <cellStyle name="Percent 3 3 4 4 8" xfId="32675"/>
    <cellStyle name="Percent 3 3 5" xfId="2448"/>
    <cellStyle name="Percent 3 3 5 2" xfId="2449"/>
    <cellStyle name="Percent 3 3 5 2 2" xfId="3768"/>
    <cellStyle name="Percent 3 3 5 2 2 2" xfId="6095"/>
    <cellStyle name="Percent 3 3 5 2 2 2 2" xfId="10687"/>
    <cellStyle name="Percent 3 3 5 2 2 2 2 2" xfId="17670"/>
    <cellStyle name="Percent 3 3 5 2 2 2 2 3" xfId="24637"/>
    <cellStyle name="Percent 3 3 5 2 2 2 2 4" xfId="31604"/>
    <cellStyle name="Percent 3 3 5 2 2 2 2 5" xfId="38573"/>
    <cellStyle name="Percent 3 3 5 2 2 2 3" xfId="15350"/>
    <cellStyle name="Percent 3 3 5 2 2 2 3 2" xfId="22317"/>
    <cellStyle name="Percent 3 3 5 2 2 2 3 3" xfId="29284"/>
    <cellStyle name="Percent 3 3 5 2 2 2 3 4" xfId="36253"/>
    <cellStyle name="Percent 3 3 5 2 2 2 4" xfId="13028"/>
    <cellStyle name="Percent 3 3 5 2 2 2 5" xfId="19995"/>
    <cellStyle name="Percent 3 3 5 2 2 2 6" xfId="26962"/>
    <cellStyle name="Percent 3 3 5 2 2 2 7" xfId="33930"/>
    <cellStyle name="Percent 3 3 5 2 2 3" xfId="9375"/>
    <cellStyle name="Percent 3 3 5 2 2 3 2" xfId="16413"/>
    <cellStyle name="Percent 3 3 5 2 2 3 3" xfId="23380"/>
    <cellStyle name="Percent 3 3 5 2 2 3 4" xfId="30347"/>
    <cellStyle name="Percent 3 3 5 2 2 3 5" xfId="37316"/>
    <cellStyle name="Percent 3 3 5 2 2 4" xfId="14093"/>
    <cellStyle name="Percent 3 3 5 2 2 4 2" xfId="21060"/>
    <cellStyle name="Percent 3 3 5 2 2 4 3" xfId="28027"/>
    <cellStyle name="Percent 3 3 5 2 2 4 4" xfId="34996"/>
    <cellStyle name="Percent 3 3 5 2 2 5" xfId="11771"/>
    <cellStyle name="Percent 3 3 5 2 2 6" xfId="18738"/>
    <cellStyle name="Percent 3 3 5 2 2 7" xfId="25705"/>
    <cellStyle name="Percent 3 3 5 2 2 8" xfId="32673"/>
    <cellStyle name="Percent 3 3 5 3" xfId="2450"/>
    <cellStyle name="Percent 3 3 5 4" xfId="2451"/>
    <cellStyle name="Percent 3 3 5 4 2" xfId="2452"/>
    <cellStyle name="Percent 3 3 5 5" xfId="2453"/>
    <cellStyle name="Percent 3 3 5 5 2" xfId="6096"/>
    <cellStyle name="Percent 3 3 5 6" xfId="2454"/>
    <cellStyle name="Percent 3 3 5 6 2" xfId="6097"/>
    <cellStyle name="Percent 3 3 5 7" xfId="4068"/>
    <cellStyle name="Percent 3 3 5 7 2" xfId="6098"/>
    <cellStyle name="Percent 3 3 5 7 2 2" xfId="7028"/>
    <cellStyle name="Percent 3 3 5 7 2 3" xfId="10688"/>
    <cellStyle name="Percent 3 3 5 7 2 3 2" xfId="17671"/>
    <cellStyle name="Percent 3 3 5 7 2 3 2 2" xfId="24638"/>
    <cellStyle name="Percent 3 3 5 7 2 3 2 3" xfId="31605"/>
    <cellStyle name="Percent 3 3 5 7 2 3 2 4" xfId="38574"/>
    <cellStyle name="Percent 3 3 5 7 2 3 3" xfId="13029"/>
    <cellStyle name="Percent 3 3 5 7 2 3 4" xfId="19996"/>
    <cellStyle name="Percent 3 3 5 7 2 3 5" xfId="26963"/>
    <cellStyle name="Percent 3 3 5 7 2 3 6" xfId="33931"/>
    <cellStyle name="Percent 3 3 5 7 2 4" xfId="15351"/>
    <cellStyle name="Percent 3 3 5 7 2 4 2" xfId="22318"/>
    <cellStyle name="Percent 3 3 5 7 2 4 3" xfId="29285"/>
    <cellStyle name="Percent 3 3 5 7 2 4 4" xfId="36254"/>
    <cellStyle name="Percent 3 3 5 7 3" xfId="7027"/>
    <cellStyle name="Percent 3 3 5 7 4" xfId="9674"/>
    <cellStyle name="Percent 3 3 5 7 4 2" xfId="16697"/>
    <cellStyle name="Percent 3 3 5 7 4 2 2" xfId="23664"/>
    <cellStyle name="Percent 3 3 5 7 4 2 3" xfId="30631"/>
    <cellStyle name="Percent 3 3 5 7 4 2 4" xfId="37600"/>
    <cellStyle name="Percent 3 3 5 7 4 3" xfId="12055"/>
    <cellStyle name="Percent 3 3 5 7 4 4" xfId="19022"/>
    <cellStyle name="Percent 3 3 5 7 4 5" xfId="25989"/>
    <cellStyle name="Percent 3 3 5 7 4 6" xfId="32957"/>
    <cellStyle name="Percent 3 3 5 7 5" xfId="14377"/>
    <cellStyle name="Percent 3 3 5 7 5 2" xfId="21344"/>
    <cellStyle name="Percent 3 3 5 7 5 3" xfId="28311"/>
    <cellStyle name="Percent 3 3 5 7 5 4" xfId="35280"/>
    <cellStyle name="Percent 3 3 6" xfId="2455"/>
    <cellStyle name="Percent 3 3 6 2" xfId="2456"/>
    <cellStyle name="Percent 3 3 6 3" xfId="2457"/>
    <cellStyle name="Percent 3 3 6 3 2" xfId="6099"/>
    <cellStyle name="Percent 3 3 6 4" xfId="2458"/>
    <cellStyle name="Percent 3 3 6 4 2" xfId="6100"/>
    <cellStyle name="Percent 3 3 6 5" xfId="3869"/>
    <cellStyle name="Percent 3 3 6 5 2" xfId="6101"/>
    <cellStyle name="Percent 3 3 6 5 2 2" xfId="7030"/>
    <cellStyle name="Percent 3 3 6 5 2 3" xfId="10689"/>
    <cellStyle name="Percent 3 3 6 5 2 3 2" xfId="17672"/>
    <cellStyle name="Percent 3 3 6 5 2 3 2 2" xfId="24639"/>
    <cellStyle name="Percent 3 3 6 5 2 3 2 3" xfId="31606"/>
    <cellStyle name="Percent 3 3 6 5 2 3 2 4" xfId="38575"/>
    <cellStyle name="Percent 3 3 6 5 2 3 3" xfId="13030"/>
    <cellStyle name="Percent 3 3 6 5 2 3 4" xfId="19997"/>
    <cellStyle name="Percent 3 3 6 5 2 3 5" xfId="26964"/>
    <cellStyle name="Percent 3 3 6 5 2 3 6" xfId="33932"/>
    <cellStyle name="Percent 3 3 6 5 2 4" xfId="15352"/>
    <cellStyle name="Percent 3 3 6 5 2 4 2" xfId="22319"/>
    <cellStyle name="Percent 3 3 6 5 2 4 3" xfId="29286"/>
    <cellStyle name="Percent 3 3 6 5 2 4 4" xfId="36255"/>
    <cellStyle name="Percent 3 3 6 5 3" xfId="7029"/>
    <cellStyle name="Percent 3 3 6 5 4" xfId="9475"/>
    <cellStyle name="Percent 3 3 6 5 4 2" xfId="16512"/>
    <cellStyle name="Percent 3 3 6 5 4 2 2" xfId="23479"/>
    <cellStyle name="Percent 3 3 6 5 4 2 3" xfId="30446"/>
    <cellStyle name="Percent 3 3 6 5 4 2 4" xfId="37415"/>
    <cellStyle name="Percent 3 3 6 5 4 3" xfId="11870"/>
    <cellStyle name="Percent 3 3 6 5 4 4" xfId="18837"/>
    <cellStyle name="Percent 3 3 6 5 4 5" xfId="25804"/>
    <cellStyle name="Percent 3 3 6 5 4 6" xfId="32772"/>
    <cellStyle name="Percent 3 3 6 5 5" xfId="14192"/>
    <cellStyle name="Percent 3 3 6 5 5 2" xfId="21159"/>
    <cellStyle name="Percent 3 3 6 5 5 3" xfId="28126"/>
    <cellStyle name="Percent 3 3 6 5 5 4" xfId="35095"/>
    <cellStyle name="Percent 3 3 7" xfId="2459"/>
    <cellStyle name="Percent 3 3 7 2" xfId="2460"/>
    <cellStyle name="Percent 3 3 7 3" xfId="3775"/>
    <cellStyle name="Percent 3 3 7 3 2" xfId="6102"/>
    <cellStyle name="Percent 3 3 7 3 2 2" xfId="10690"/>
    <cellStyle name="Percent 3 3 7 3 2 2 2" xfId="17673"/>
    <cellStyle name="Percent 3 3 7 3 2 2 3" xfId="24640"/>
    <cellStyle name="Percent 3 3 7 3 2 2 4" xfId="31607"/>
    <cellStyle name="Percent 3 3 7 3 2 2 5" xfId="38576"/>
    <cellStyle name="Percent 3 3 7 3 2 3" xfId="15353"/>
    <cellStyle name="Percent 3 3 7 3 2 3 2" xfId="22320"/>
    <cellStyle name="Percent 3 3 7 3 2 3 3" xfId="29287"/>
    <cellStyle name="Percent 3 3 7 3 2 3 4" xfId="36256"/>
    <cellStyle name="Percent 3 3 7 3 2 4" xfId="13031"/>
    <cellStyle name="Percent 3 3 7 3 2 5" xfId="19998"/>
    <cellStyle name="Percent 3 3 7 3 2 6" xfId="26965"/>
    <cellStyle name="Percent 3 3 7 3 2 7" xfId="33933"/>
    <cellStyle name="Percent 3 3 7 3 3" xfId="9382"/>
    <cellStyle name="Percent 3 3 7 3 3 2" xfId="16420"/>
    <cellStyle name="Percent 3 3 7 3 3 3" xfId="23387"/>
    <cellStyle name="Percent 3 3 7 3 3 4" xfId="30354"/>
    <cellStyle name="Percent 3 3 7 3 3 5" xfId="37323"/>
    <cellStyle name="Percent 3 3 7 3 4" xfId="14100"/>
    <cellStyle name="Percent 3 3 7 3 4 2" xfId="21067"/>
    <cellStyle name="Percent 3 3 7 3 4 3" xfId="28034"/>
    <cellStyle name="Percent 3 3 7 3 4 4" xfId="35003"/>
    <cellStyle name="Percent 3 3 7 3 5" xfId="11778"/>
    <cellStyle name="Percent 3 3 7 3 6" xfId="18745"/>
    <cellStyle name="Percent 3 3 7 3 7" xfId="25712"/>
    <cellStyle name="Percent 3 3 7 3 8" xfId="32680"/>
    <cellStyle name="Percent 3 3 8" xfId="2461"/>
    <cellStyle name="Percent 3 3 8 2" xfId="3405"/>
    <cellStyle name="Percent 3 3 8 3" xfId="6103"/>
    <cellStyle name="Percent 3 3 9" xfId="2462"/>
    <cellStyle name="Percent 3 3 9 2" xfId="6104"/>
    <cellStyle name="Percent 3 4" xfId="2463"/>
    <cellStyle name="Percent 3 4 10" xfId="8335"/>
    <cellStyle name="Percent 3 4 2" xfId="2464"/>
    <cellStyle name="Percent 3 4 2 2" xfId="2465"/>
    <cellStyle name="Percent 3 4 2 2 2" xfId="6106"/>
    <cellStyle name="Percent 3 4 2 2 3" xfId="8336"/>
    <cellStyle name="Percent 3 4 2 3" xfId="3766"/>
    <cellStyle name="Percent 3 4 2 3 2" xfId="6107"/>
    <cellStyle name="Percent 3 4 2 3 2 2" xfId="10691"/>
    <cellStyle name="Percent 3 4 2 3 2 2 2" xfId="17674"/>
    <cellStyle name="Percent 3 4 2 3 2 2 3" xfId="24641"/>
    <cellStyle name="Percent 3 4 2 3 2 2 4" xfId="31608"/>
    <cellStyle name="Percent 3 4 2 3 2 2 5" xfId="38577"/>
    <cellStyle name="Percent 3 4 2 3 2 3" xfId="15354"/>
    <cellStyle name="Percent 3 4 2 3 2 3 2" xfId="22321"/>
    <cellStyle name="Percent 3 4 2 3 2 3 3" xfId="29288"/>
    <cellStyle name="Percent 3 4 2 3 2 3 4" xfId="36257"/>
    <cellStyle name="Percent 3 4 2 3 2 4" xfId="13032"/>
    <cellStyle name="Percent 3 4 2 3 2 5" xfId="19999"/>
    <cellStyle name="Percent 3 4 2 3 2 6" xfId="26966"/>
    <cellStyle name="Percent 3 4 2 3 2 7" xfId="33934"/>
    <cellStyle name="Percent 3 4 2 3 3" xfId="9373"/>
    <cellStyle name="Percent 3 4 2 3 3 2" xfId="16411"/>
    <cellStyle name="Percent 3 4 2 3 3 3" xfId="23378"/>
    <cellStyle name="Percent 3 4 2 3 3 4" xfId="30345"/>
    <cellStyle name="Percent 3 4 2 3 3 5" xfId="37314"/>
    <cellStyle name="Percent 3 4 2 3 4" xfId="14091"/>
    <cellStyle name="Percent 3 4 2 3 4 2" xfId="21058"/>
    <cellStyle name="Percent 3 4 2 3 4 3" xfId="28025"/>
    <cellStyle name="Percent 3 4 2 3 4 4" xfId="34994"/>
    <cellStyle name="Percent 3 4 2 3 5" xfId="11769"/>
    <cellStyle name="Percent 3 4 2 3 6" xfId="18736"/>
    <cellStyle name="Percent 3 4 2 3 7" xfId="25703"/>
    <cellStyle name="Percent 3 4 2 3 8" xfId="32671"/>
    <cellStyle name="Percent 3 4 3" xfId="2466"/>
    <cellStyle name="Percent 3 4 3 2" xfId="2467"/>
    <cellStyle name="Percent 3 4 3 3" xfId="2468"/>
    <cellStyle name="Percent 3 4 3 4" xfId="2469"/>
    <cellStyle name="Percent 3 4 3 4 2" xfId="6108"/>
    <cellStyle name="Percent 3 4 3 4 3" xfId="8337"/>
    <cellStyle name="Percent 3 4 4" xfId="2470"/>
    <cellStyle name="Percent 3 4 4 2" xfId="2471"/>
    <cellStyle name="Percent 3 4 4 3" xfId="2472"/>
    <cellStyle name="Percent 3 4 4 3 2" xfId="6109"/>
    <cellStyle name="Percent 3 4 4 4" xfId="2473"/>
    <cellStyle name="Percent 3 4 4 4 2" xfId="6110"/>
    <cellStyle name="Percent 3 4 4 5" xfId="3867"/>
    <cellStyle name="Percent 3 4 4 5 2" xfId="6111"/>
    <cellStyle name="Percent 3 4 4 5 2 2" xfId="7032"/>
    <cellStyle name="Percent 3 4 4 5 2 3" xfId="10692"/>
    <cellStyle name="Percent 3 4 4 5 2 3 2" xfId="17675"/>
    <cellStyle name="Percent 3 4 4 5 2 3 2 2" xfId="24642"/>
    <cellStyle name="Percent 3 4 4 5 2 3 2 3" xfId="31609"/>
    <cellStyle name="Percent 3 4 4 5 2 3 2 4" xfId="38578"/>
    <cellStyle name="Percent 3 4 4 5 2 3 3" xfId="13033"/>
    <cellStyle name="Percent 3 4 4 5 2 3 4" xfId="20000"/>
    <cellStyle name="Percent 3 4 4 5 2 3 5" xfId="26967"/>
    <cellStyle name="Percent 3 4 4 5 2 3 6" xfId="33935"/>
    <cellStyle name="Percent 3 4 4 5 2 4" xfId="15355"/>
    <cellStyle name="Percent 3 4 4 5 2 4 2" xfId="22322"/>
    <cellStyle name="Percent 3 4 4 5 2 4 3" xfId="29289"/>
    <cellStyle name="Percent 3 4 4 5 2 4 4" xfId="36258"/>
    <cellStyle name="Percent 3 4 4 5 3" xfId="7031"/>
    <cellStyle name="Percent 3 4 4 5 4" xfId="9473"/>
    <cellStyle name="Percent 3 4 4 5 4 2" xfId="16510"/>
    <cellStyle name="Percent 3 4 4 5 4 2 2" xfId="23477"/>
    <cellStyle name="Percent 3 4 4 5 4 2 3" xfId="30444"/>
    <cellStyle name="Percent 3 4 4 5 4 2 4" xfId="37413"/>
    <cellStyle name="Percent 3 4 4 5 4 3" xfId="11868"/>
    <cellStyle name="Percent 3 4 4 5 4 4" xfId="18835"/>
    <cellStyle name="Percent 3 4 4 5 4 5" xfId="25802"/>
    <cellStyle name="Percent 3 4 4 5 4 6" xfId="32770"/>
    <cellStyle name="Percent 3 4 4 5 5" xfId="14190"/>
    <cellStyle name="Percent 3 4 4 5 5 2" xfId="21157"/>
    <cellStyle name="Percent 3 4 4 5 5 3" xfId="28124"/>
    <cellStyle name="Percent 3 4 4 5 5 4" xfId="35093"/>
    <cellStyle name="Percent 3 4 4 6" xfId="7033"/>
    <cellStyle name="Percent 3 4 5" xfId="2474"/>
    <cellStyle name="Percent 3 4 5 2" xfId="2475"/>
    <cellStyle name="Percent 3 4 5 3" xfId="3767"/>
    <cellStyle name="Percent 3 4 5 3 2" xfId="6112"/>
    <cellStyle name="Percent 3 4 5 3 2 2" xfId="10693"/>
    <cellStyle name="Percent 3 4 5 3 2 2 2" xfId="17676"/>
    <cellStyle name="Percent 3 4 5 3 2 2 3" xfId="24643"/>
    <cellStyle name="Percent 3 4 5 3 2 2 4" xfId="31610"/>
    <cellStyle name="Percent 3 4 5 3 2 2 5" xfId="38579"/>
    <cellStyle name="Percent 3 4 5 3 2 3" xfId="15356"/>
    <cellStyle name="Percent 3 4 5 3 2 3 2" xfId="22323"/>
    <cellStyle name="Percent 3 4 5 3 2 3 3" xfId="29290"/>
    <cellStyle name="Percent 3 4 5 3 2 3 4" xfId="36259"/>
    <cellStyle name="Percent 3 4 5 3 2 4" xfId="13034"/>
    <cellStyle name="Percent 3 4 5 3 2 5" xfId="20001"/>
    <cellStyle name="Percent 3 4 5 3 2 6" xfId="26968"/>
    <cellStyle name="Percent 3 4 5 3 2 7" xfId="33936"/>
    <cellStyle name="Percent 3 4 5 3 3" xfId="9374"/>
    <cellStyle name="Percent 3 4 5 3 3 2" xfId="16412"/>
    <cellStyle name="Percent 3 4 5 3 3 3" xfId="23379"/>
    <cellStyle name="Percent 3 4 5 3 3 4" xfId="30346"/>
    <cellStyle name="Percent 3 4 5 3 3 5" xfId="37315"/>
    <cellStyle name="Percent 3 4 5 3 4" xfId="14092"/>
    <cellStyle name="Percent 3 4 5 3 4 2" xfId="21059"/>
    <cellStyle name="Percent 3 4 5 3 4 3" xfId="28026"/>
    <cellStyle name="Percent 3 4 5 3 4 4" xfId="34995"/>
    <cellStyle name="Percent 3 4 5 3 5" xfId="11770"/>
    <cellStyle name="Percent 3 4 5 3 6" xfId="18737"/>
    <cellStyle name="Percent 3 4 5 3 7" xfId="25704"/>
    <cellStyle name="Percent 3 4 5 3 8" xfId="32672"/>
    <cellStyle name="Percent 3 4 6" xfId="2476"/>
    <cellStyle name="Percent 3 4 6 2" xfId="6113"/>
    <cellStyle name="Percent 3 4 7" xfId="2477"/>
    <cellStyle name="Percent 3 4 7 2" xfId="6114"/>
    <cellStyle name="Percent 3 4 8" xfId="4075"/>
    <cellStyle name="Percent 3 4 8 2" xfId="6115"/>
    <cellStyle name="Percent 3 4 8 2 2" xfId="7035"/>
    <cellStyle name="Percent 3 4 8 2 3" xfId="10694"/>
    <cellStyle name="Percent 3 4 8 2 3 2" xfId="17677"/>
    <cellStyle name="Percent 3 4 8 2 3 2 2" xfId="24644"/>
    <cellStyle name="Percent 3 4 8 2 3 2 3" xfId="31611"/>
    <cellStyle name="Percent 3 4 8 2 3 2 4" xfId="38580"/>
    <cellStyle name="Percent 3 4 8 2 3 3" xfId="13035"/>
    <cellStyle name="Percent 3 4 8 2 3 4" xfId="20002"/>
    <cellStyle name="Percent 3 4 8 2 3 5" xfId="26969"/>
    <cellStyle name="Percent 3 4 8 2 3 6" xfId="33937"/>
    <cellStyle name="Percent 3 4 8 2 4" xfId="15357"/>
    <cellStyle name="Percent 3 4 8 2 4 2" xfId="22324"/>
    <cellStyle name="Percent 3 4 8 2 4 3" xfId="29291"/>
    <cellStyle name="Percent 3 4 8 2 4 4" xfId="36260"/>
    <cellStyle name="Percent 3 4 8 3" xfId="7034"/>
    <cellStyle name="Percent 3 4 8 4" xfId="9681"/>
    <cellStyle name="Percent 3 4 8 4 2" xfId="16704"/>
    <cellStyle name="Percent 3 4 8 4 2 2" xfId="23671"/>
    <cellStyle name="Percent 3 4 8 4 2 3" xfId="30638"/>
    <cellStyle name="Percent 3 4 8 4 2 4" xfId="37607"/>
    <cellStyle name="Percent 3 4 8 4 3" xfId="12062"/>
    <cellStyle name="Percent 3 4 8 4 4" xfId="19029"/>
    <cellStyle name="Percent 3 4 8 4 5" xfId="25996"/>
    <cellStyle name="Percent 3 4 8 4 6" xfId="32964"/>
    <cellStyle name="Percent 3 4 8 5" xfId="14384"/>
    <cellStyle name="Percent 3 4 8 5 2" xfId="21351"/>
    <cellStyle name="Percent 3 4 8 5 3" xfId="28318"/>
    <cellStyle name="Percent 3 4 8 5 4" xfId="35287"/>
    <cellStyle name="Percent 3 4 9" xfId="6105"/>
    <cellStyle name="Percent 3 5" xfId="2478"/>
    <cellStyle name="Percent 3 5 2" xfId="2479"/>
    <cellStyle name="Percent 3 5 2 2" xfId="2480"/>
    <cellStyle name="Percent 3 5 2 2 2" xfId="2481"/>
    <cellStyle name="Percent 3 5 2 2 3" xfId="2482"/>
    <cellStyle name="Percent 3 5 2 3" xfId="2483"/>
    <cellStyle name="Percent 3 5 2 4" xfId="2484"/>
    <cellStyle name="Percent 3 5 2 4 2" xfId="2485"/>
    <cellStyle name="Percent 3 5 2 4 3" xfId="2486"/>
    <cellStyle name="Percent 3 5 2 4 3 2" xfId="2487"/>
    <cellStyle name="Percent 3 5 2 4 4" xfId="2488"/>
    <cellStyle name="Percent 3 5 2 4 4 2" xfId="2489"/>
    <cellStyle name="Percent 3 5 2 4 5" xfId="2490"/>
    <cellStyle name="Percent 3 5 2 4 5 2" xfId="2491"/>
    <cellStyle name="Percent 3 5 2 5" xfId="2492"/>
    <cellStyle name="Percent 3 5 2 5 2" xfId="2493"/>
    <cellStyle name="Percent 3 5 2 5 3" xfId="3764"/>
    <cellStyle name="Percent 3 5 2 5 3 2" xfId="6116"/>
    <cellStyle name="Percent 3 5 2 5 3 2 2" xfId="10695"/>
    <cellStyle name="Percent 3 5 2 5 3 2 2 2" xfId="17678"/>
    <cellStyle name="Percent 3 5 2 5 3 2 2 3" xfId="24645"/>
    <cellStyle name="Percent 3 5 2 5 3 2 2 4" xfId="31612"/>
    <cellStyle name="Percent 3 5 2 5 3 2 2 5" xfId="38581"/>
    <cellStyle name="Percent 3 5 2 5 3 2 3" xfId="15358"/>
    <cellStyle name="Percent 3 5 2 5 3 2 3 2" xfId="22325"/>
    <cellStyle name="Percent 3 5 2 5 3 2 3 3" xfId="29292"/>
    <cellStyle name="Percent 3 5 2 5 3 2 3 4" xfId="36261"/>
    <cellStyle name="Percent 3 5 2 5 3 2 4" xfId="13036"/>
    <cellStyle name="Percent 3 5 2 5 3 2 5" xfId="20003"/>
    <cellStyle name="Percent 3 5 2 5 3 2 6" xfId="26970"/>
    <cellStyle name="Percent 3 5 2 5 3 2 7" xfId="33938"/>
    <cellStyle name="Percent 3 5 2 5 3 3" xfId="9371"/>
    <cellStyle name="Percent 3 5 2 5 3 3 2" xfId="16409"/>
    <cellStyle name="Percent 3 5 2 5 3 3 3" xfId="23376"/>
    <cellStyle name="Percent 3 5 2 5 3 3 4" xfId="30343"/>
    <cellStyle name="Percent 3 5 2 5 3 3 5" xfId="37312"/>
    <cellStyle name="Percent 3 5 2 5 3 4" xfId="14089"/>
    <cellStyle name="Percent 3 5 2 5 3 4 2" xfId="21056"/>
    <cellStyle name="Percent 3 5 2 5 3 4 3" xfId="28023"/>
    <cellStyle name="Percent 3 5 2 5 3 4 4" xfId="34992"/>
    <cellStyle name="Percent 3 5 2 5 3 5" xfId="11767"/>
    <cellStyle name="Percent 3 5 2 5 3 6" xfId="18734"/>
    <cellStyle name="Percent 3 5 2 5 3 7" xfId="25701"/>
    <cellStyle name="Percent 3 5 2 5 3 8" xfId="32669"/>
    <cellStyle name="Percent 3 5 2 6" xfId="2494"/>
    <cellStyle name="Percent 3 5 2 6 2" xfId="6117"/>
    <cellStyle name="Percent 3 5 2 7" xfId="2495"/>
    <cellStyle name="Percent 3 5 2 7 2" xfId="6118"/>
    <cellStyle name="Percent 3 5 2 8" xfId="3863"/>
    <cellStyle name="Percent 3 5 2 8 2" xfId="6119"/>
    <cellStyle name="Percent 3 5 2 8 2 2" xfId="7037"/>
    <cellStyle name="Percent 3 5 2 8 2 3" xfId="10696"/>
    <cellStyle name="Percent 3 5 2 8 2 3 2" xfId="17679"/>
    <cellStyle name="Percent 3 5 2 8 2 3 2 2" xfId="24646"/>
    <cellStyle name="Percent 3 5 2 8 2 3 2 3" xfId="31613"/>
    <cellStyle name="Percent 3 5 2 8 2 3 2 4" xfId="38582"/>
    <cellStyle name="Percent 3 5 2 8 2 3 3" xfId="13037"/>
    <cellStyle name="Percent 3 5 2 8 2 3 4" xfId="20004"/>
    <cellStyle name="Percent 3 5 2 8 2 3 5" xfId="26971"/>
    <cellStyle name="Percent 3 5 2 8 2 3 6" xfId="33939"/>
    <cellStyle name="Percent 3 5 2 8 2 4" xfId="15359"/>
    <cellStyle name="Percent 3 5 2 8 2 4 2" xfId="22326"/>
    <cellStyle name="Percent 3 5 2 8 2 4 3" xfId="29293"/>
    <cellStyle name="Percent 3 5 2 8 2 4 4" xfId="36262"/>
    <cellStyle name="Percent 3 5 2 8 3" xfId="7036"/>
    <cellStyle name="Percent 3 5 2 8 4" xfId="9469"/>
    <cellStyle name="Percent 3 5 2 8 4 2" xfId="16506"/>
    <cellStyle name="Percent 3 5 2 8 4 2 2" xfId="23473"/>
    <cellStyle name="Percent 3 5 2 8 4 2 3" xfId="30440"/>
    <cellStyle name="Percent 3 5 2 8 4 2 4" xfId="37409"/>
    <cellStyle name="Percent 3 5 2 8 4 3" xfId="11864"/>
    <cellStyle name="Percent 3 5 2 8 4 4" xfId="18831"/>
    <cellStyle name="Percent 3 5 2 8 4 5" xfId="25798"/>
    <cellStyle name="Percent 3 5 2 8 4 6" xfId="32766"/>
    <cellStyle name="Percent 3 5 2 8 5" xfId="14186"/>
    <cellStyle name="Percent 3 5 2 8 5 2" xfId="21153"/>
    <cellStyle name="Percent 3 5 2 8 5 3" xfId="28120"/>
    <cellStyle name="Percent 3 5 2 8 5 4" xfId="35089"/>
    <cellStyle name="Percent 3 5 2 9" xfId="7038"/>
    <cellStyle name="Percent 3 5 3" xfId="2496"/>
    <cellStyle name="Percent 3 5 3 2" xfId="2497"/>
    <cellStyle name="Percent 3 5 3 3" xfId="2498"/>
    <cellStyle name="Percent 3 5 3 3 2" xfId="2499"/>
    <cellStyle name="Percent 3 5 4" xfId="2500"/>
    <cellStyle name="Percent 3 5 4 2" xfId="2501"/>
    <cellStyle name="Percent 3 5 4 3" xfId="2502"/>
    <cellStyle name="Percent 3 5 5" xfId="2503"/>
    <cellStyle name="Percent 3 5 5 2" xfId="2504"/>
    <cellStyle name="Percent 3 5 5 3" xfId="3765"/>
    <cellStyle name="Percent 3 5 5 3 2" xfId="6120"/>
    <cellStyle name="Percent 3 5 5 3 2 2" xfId="10697"/>
    <cellStyle name="Percent 3 5 5 3 2 2 2" xfId="17680"/>
    <cellStyle name="Percent 3 5 5 3 2 2 3" xfId="24647"/>
    <cellStyle name="Percent 3 5 5 3 2 2 4" xfId="31614"/>
    <cellStyle name="Percent 3 5 5 3 2 2 5" xfId="38583"/>
    <cellStyle name="Percent 3 5 5 3 2 3" xfId="15360"/>
    <cellStyle name="Percent 3 5 5 3 2 3 2" xfId="22327"/>
    <cellStyle name="Percent 3 5 5 3 2 3 3" xfId="29294"/>
    <cellStyle name="Percent 3 5 5 3 2 3 4" xfId="36263"/>
    <cellStyle name="Percent 3 5 5 3 2 4" xfId="13038"/>
    <cellStyle name="Percent 3 5 5 3 2 5" xfId="20005"/>
    <cellStyle name="Percent 3 5 5 3 2 6" xfId="26972"/>
    <cellStyle name="Percent 3 5 5 3 2 7" xfId="33940"/>
    <cellStyle name="Percent 3 5 5 3 3" xfId="9372"/>
    <cellStyle name="Percent 3 5 5 3 3 2" xfId="16410"/>
    <cellStyle name="Percent 3 5 5 3 3 3" xfId="23377"/>
    <cellStyle name="Percent 3 5 5 3 3 4" xfId="30344"/>
    <cellStyle name="Percent 3 5 5 3 3 5" xfId="37313"/>
    <cellStyle name="Percent 3 5 5 3 4" xfId="14090"/>
    <cellStyle name="Percent 3 5 5 3 4 2" xfId="21057"/>
    <cellStyle name="Percent 3 5 5 3 4 3" xfId="28024"/>
    <cellStyle name="Percent 3 5 5 3 4 4" xfId="34993"/>
    <cellStyle name="Percent 3 5 5 3 5" xfId="11768"/>
    <cellStyle name="Percent 3 5 5 3 6" xfId="18735"/>
    <cellStyle name="Percent 3 5 5 3 7" xfId="25702"/>
    <cellStyle name="Percent 3 5 5 3 8" xfId="32670"/>
    <cellStyle name="Percent 3 5 6" xfId="2505"/>
    <cellStyle name="Percent 3 5 6 2" xfId="6121"/>
    <cellStyle name="Percent 3 5 7" xfId="2506"/>
    <cellStyle name="Percent 3 5 7 2" xfId="6122"/>
    <cellStyle name="Percent 3 5 8" xfId="4038"/>
    <cellStyle name="Percent 3 5 8 2" xfId="6123"/>
    <cellStyle name="Percent 3 5 8 2 2" xfId="7040"/>
    <cellStyle name="Percent 3 5 8 2 3" xfId="10698"/>
    <cellStyle name="Percent 3 5 8 2 3 2" xfId="17681"/>
    <cellStyle name="Percent 3 5 8 2 3 2 2" xfId="24648"/>
    <cellStyle name="Percent 3 5 8 2 3 2 3" xfId="31615"/>
    <cellStyle name="Percent 3 5 8 2 3 2 4" xfId="38584"/>
    <cellStyle name="Percent 3 5 8 2 3 3" xfId="13039"/>
    <cellStyle name="Percent 3 5 8 2 3 4" xfId="20006"/>
    <cellStyle name="Percent 3 5 8 2 3 5" xfId="26973"/>
    <cellStyle name="Percent 3 5 8 2 3 6" xfId="33941"/>
    <cellStyle name="Percent 3 5 8 2 4" xfId="15361"/>
    <cellStyle name="Percent 3 5 8 2 4 2" xfId="22328"/>
    <cellStyle name="Percent 3 5 8 2 4 3" xfId="29295"/>
    <cellStyle name="Percent 3 5 8 2 4 4" xfId="36264"/>
    <cellStyle name="Percent 3 5 8 3" xfId="7039"/>
    <cellStyle name="Percent 3 5 8 4" xfId="9644"/>
    <cellStyle name="Percent 3 5 8 4 2" xfId="16680"/>
    <cellStyle name="Percent 3 5 8 4 2 2" xfId="23647"/>
    <cellStyle name="Percent 3 5 8 4 2 3" xfId="30614"/>
    <cellStyle name="Percent 3 5 8 4 2 4" xfId="37583"/>
    <cellStyle name="Percent 3 5 8 4 3" xfId="12038"/>
    <cellStyle name="Percent 3 5 8 4 4" xfId="19005"/>
    <cellStyle name="Percent 3 5 8 4 5" xfId="25972"/>
    <cellStyle name="Percent 3 5 8 4 6" xfId="32940"/>
    <cellStyle name="Percent 3 5 8 5" xfId="14360"/>
    <cellStyle name="Percent 3 5 8 5 2" xfId="21327"/>
    <cellStyle name="Percent 3 5 8 5 3" xfId="28294"/>
    <cellStyle name="Percent 3 5 8 5 4" xfId="35263"/>
    <cellStyle name="Percent 3 5 9" xfId="7041"/>
    <cellStyle name="Percent 3 6" xfId="2507"/>
    <cellStyle name="Percent 3 6 2" xfId="2508"/>
    <cellStyle name="Percent 3 6 2 2" xfId="2509"/>
    <cellStyle name="Percent 3 6 2 2 2" xfId="3762"/>
    <cellStyle name="Percent 3 6 2 2 2 2" xfId="6124"/>
    <cellStyle name="Percent 3 6 2 2 2 2 2" xfId="10699"/>
    <cellStyle name="Percent 3 6 2 2 2 2 2 2" xfId="17682"/>
    <cellStyle name="Percent 3 6 2 2 2 2 2 3" xfId="24649"/>
    <cellStyle name="Percent 3 6 2 2 2 2 2 4" xfId="31616"/>
    <cellStyle name="Percent 3 6 2 2 2 2 2 5" xfId="38585"/>
    <cellStyle name="Percent 3 6 2 2 2 2 3" xfId="15362"/>
    <cellStyle name="Percent 3 6 2 2 2 2 3 2" xfId="22329"/>
    <cellStyle name="Percent 3 6 2 2 2 2 3 3" xfId="29296"/>
    <cellStyle name="Percent 3 6 2 2 2 2 3 4" xfId="36265"/>
    <cellStyle name="Percent 3 6 2 2 2 2 4" xfId="13040"/>
    <cellStyle name="Percent 3 6 2 2 2 2 5" xfId="20007"/>
    <cellStyle name="Percent 3 6 2 2 2 2 6" xfId="26974"/>
    <cellStyle name="Percent 3 6 2 2 2 2 7" xfId="33942"/>
    <cellStyle name="Percent 3 6 2 2 2 3" xfId="9369"/>
    <cellStyle name="Percent 3 6 2 2 2 3 2" xfId="16407"/>
    <cellStyle name="Percent 3 6 2 2 2 3 3" xfId="23374"/>
    <cellStyle name="Percent 3 6 2 2 2 3 4" xfId="30341"/>
    <cellStyle name="Percent 3 6 2 2 2 3 5" xfId="37310"/>
    <cellStyle name="Percent 3 6 2 2 2 4" xfId="14087"/>
    <cellStyle name="Percent 3 6 2 2 2 4 2" xfId="21054"/>
    <cellStyle name="Percent 3 6 2 2 2 4 3" xfId="28021"/>
    <cellStyle name="Percent 3 6 2 2 2 4 4" xfId="34990"/>
    <cellStyle name="Percent 3 6 2 2 2 5" xfId="11765"/>
    <cellStyle name="Percent 3 6 2 2 2 6" xfId="18732"/>
    <cellStyle name="Percent 3 6 2 2 2 7" xfId="25699"/>
    <cellStyle name="Percent 3 6 2 2 2 8" xfId="32667"/>
    <cellStyle name="Percent 3 6 2 3" xfId="2510"/>
    <cellStyle name="Percent 3 6 3" xfId="2511"/>
    <cellStyle name="Percent 3 6 4" xfId="2512"/>
    <cellStyle name="Percent 3 6 4 2" xfId="2513"/>
    <cellStyle name="Percent 3 6 4 3" xfId="2514"/>
    <cellStyle name="Percent 3 6 4 3 2" xfId="2515"/>
    <cellStyle name="Percent 3 6 4 4" xfId="2516"/>
    <cellStyle name="Percent 3 6 4 4 2" xfId="2517"/>
    <cellStyle name="Percent 3 6 4 5" xfId="2518"/>
    <cellStyle name="Percent 3 6 4 5 2" xfId="2519"/>
    <cellStyle name="Percent 3 6 5" xfId="2520"/>
    <cellStyle name="Percent 3 6 5 2" xfId="2521"/>
    <cellStyle name="Percent 3 6 5 3" xfId="3763"/>
    <cellStyle name="Percent 3 6 5 3 2" xfId="6125"/>
    <cellStyle name="Percent 3 6 5 3 2 2" xfId="10700"/>
    <cellStyle name="Percent 3 6 5 3 2 2 2" xfId="17683"/>
    <cellStyle name="Percent 3 6 5 3 2 2 3" xfId="24650"/>
    <cellStyle name="Percent 3 6 5 3 2 2 4" xfId="31617"/>
    <cellStyle name="Percent 3 6 5 3 2 2 5" xfId="38586"/>
    <cellStyle name="Percent 3 6 5 3 2 3" xfId="15363"/>
    <cellStyle name="Percent 3 6 5 3 2 3 2" xfId="22330"/>
    <cellStyle name="Percent 3 6 5 3 2 3 3" xfId="29297"/>
    <cellStyle name="Percent 3 6 5 3 2 3 4" xfId="36266"/>
    <cellStyle name="Percent 3 6 5 3 2 4" xfId="13041"/>
    <cellStyle name="Percent 3 6 5 3 2 5" xfId="20008"/>
    <cellStyle name="Percent 3 6 5 3 2 6" xfId="26975"/>
    <cellStyle name="Percent 3 6 5 3 2 7" xfId="33943"/>
    <cellStyle name="Percent 3 6 5 3 3" xfId="9370"/>
    <cellStyle name="Percent 3 6 5 3 3 2" xfId="16408"/>
    <cellStyle name="Percent 3 6 5 3 3 3" xfId="23375"/>
    <cellStyle name="Percent 3 6 5 3 3 4" xfId="30342"/>
    <cellStyle name="Percent 3 6 5 3 3 5" xfId="37311"/>
    <cellStyle name="Percent 3 6 5 3 4" xfId="14088"/>
    <cellStyle name="Percent 3 6 5 3 4 2" xfId="21055"/>
    <cellStyle name="Percent 3 6 5 3 4 3" xfId="28022"/>
    <cellStyle name="Percent 3 6 5 3 4 4" xfId="34991"/>
    <cellStyle name="Percent 3 6 5 3 5" xfId="11766"/>
    <cellStyle name="Percent 3 6 5 3 6" xfId="18733"/>
    <cellStyle name="Percent 3 6 5 3 7" xfId="25700"/>
    <cellStyle name="Percent 3 6 5 3 8" xfId="32668"/>
    <cellStyle name="Percent 3 6 6" xfId="2522"/>
    <cellStyle name="Percent 3 6 6 2" xfId="6126"/>
    <cellStyle name="Percent 3 6 7" xfId="2523"/>
    <cellStyle name="Percent 3 6 7 2" xfId="6127"/>
    <cellStyle name="Percent 3 6 8" xfId="4043"/>
    <cellStyle name="Percent 3 6 8 2" xfId="6128"/>
    <cellStyle name="Percent 3 6 8 2 2" xfId="7043"/>
    <cellStyle name="Percent 3 6 8 2 3" xfId="10701"/>
    <cellStyle name="Percent 3 6 8 2 3 2" xfId="17684"/>
    <cellStyle name="Percent 3 6 8 2 3 2 2" xfId="24651"/>
    <cellStyle name="Percent 3 6 8 2 3 2 3" xfId="31618"/>
    <cellStyle name="Percent 3 6 8 2 3 2 4" xfId="38587"/>
    <cellStyle name="Percent 3 6 8 2 3 3" xfId="13042"/>
    <cellStyle name="Percent 3 6 8 2 3 4" xfId="20009"/>
    <cellStyle name="Percent 3 6 8 2 3 5" xfId="26976"/>
    <cellStyle name="Percent 3 6 8 2 3 6" xfId="33944"/>
    <cellStyle name="Percent 3 6 8 2 4" xfId="15364"/>
    <cellStyle name="Percent 3 6 8 2 4 2" xfId="22331"/>
    <cellStyle name="Percent 3 6 8 2 4 3" xfId="29298"/>
    <cellStyle name="Percent 3 6 8 2 4 4" xfId="36267"/>
    <cellStyle name="Percent 3 6 8 3" xfId="7042"/>
    <cellStyle name="Percent 3 6 8 4" xfId="9649"/>
    <cellStyle name="Percent 3 6 8 4 2" xfId="16683"/>
    <cellStyle name="Percent 3 6 8 4 2 2" xfId="23650"/>
    <cellStyle name="Percent 3 6 8 4 2 3" xfId="30617"/>
    <cellStyle name="Percent 3 6 8 4 2 4" xfId="37586"/>
    <cellStyle name="Percent 3 6 8 4 3" xfId="12041"/>
    <cellStyle name="Percent 3 6 8 4 4" xfId="19008"/>
    <cellStyle name="Percent 3 6 8 4 5" xfId="25975"/>
    <cellStyle name="Percent 3 6 8 4 6" xfId="32943"/>
    <cellStyle name="Percent 3 6 8 5" xfId="14363"/>
    <cellStyle name="Percent 3 6 8 5 2" xfId="21330"/>
    <cellStyle name="Percent 3 6 8 5 3" xfId="28297"/>
    <cellStyle name="Percent 3 6 8 5 4" xfId="35266"/>
    <cellStyle name="Percent 3 6 9" xfId="7044"/>
    <cellStyle name="Percent 3 7" xfId="2524"/>
    <cellStyle name="Percent 3 7 2" xfId="2525"/>
    <cellStyle name="Percent 3 7 3" xfId="2526"/>
    <cellStyle name="Percent 3 7 3 2" xfId="3761"/>
    <cellStyle name="Percent 3 7 3 2 2" xfId="6129"/>
    <cellStyle name="Percent 3 7 3 2 2 2" xfId="10702"/>
    <cellStyle name="Percent 3 7 3 2 2 2 2" xfId="17685"/>
    <cellStyle name="Percent 3 7 3 2 2 2 3" xfId="24652"/>
    <cellStyle name="Percent 3 7 3 2 2 2 4" xfId="31619"/>
    <cellStyle name="Percent 3 7 3 2 2 2 5" xfId="38588"/>
    <cellStyle name="Percent 3 7 3 2 2 3" xfId="15365"/>
    <cellStyle name="Percent 3 7 3 2 2 3 2" xfId="22332"/>
    <cellStyle name="Percent 3 7 3 2 2 3 3" xfId="29299"/>
    <cellStyle name="Percent 3 7 3 2 2 3 4" xfId="36268"/>
    <cellStyle name="Percent 3 7 3 2 2 4" xfId="13043"/>
    <cellStyle name="Percent 3 7 3 2 2 5" xfId="20010"/>
    <cellStyle name="Percent 3 7 3 2 2 6" xfId="26977"/>
    <cellStyle name="Percent 3 7 3 2 2 7" xfId="33945"/>
    <cellStyle name="Percent 3 7 3 2 3" xfId="9368"/>
    <cellStyle name="Percent 3 7 3 2 3 2" xfId="16406"/>
    <cellStyle name="Percent 3 7 3 2 3 3" xfId="23373"/>
    <cellStyle name="Percent 3 7 3 2 3 4" xfId="30340"/>
    <cellStyle name="Percent 3 7 3 2 3 5" xfId="37309"/>
    <cellStyle name="Percent 3 7 3 2 4" xfId="14086"/>
    <cellStyle name="Percent 3 7 3 2 4 2" xfId="21053"/>
    <cellStyle name="Percent 3 7 3 2 4 3" xfId="28020"/>
    <cellStyle name="Percent 3 7 3 2 4 4" xfId="34989"/>
    <cellStyle name="Percent 3 7 3 2 5" xfId="11764"/>
    <cellStyle name="Percent 3 7 3 2 6" xfId="18731"/>
    <cellStyle name="Percent 3 7 3 2 7" xfId="25698"/>
    <cellStyle name="Percent 3 7 3 2 8" xfId="32666"/>
    <cellStyle name="Percent 3 7 4" xfId="2527"/>
    <cellStyle name="Percent 3 7 4 2" xfId="2528"/>
    <cellStyle name="Percent 3 7 5" xfId="2529"/>
    <cellStyle name="Percent 3 7 5 2" xfId="6130"/>
    <cellStyle name="Percent 3 7 6" xfId="2530"/>
    <cellStyle name="Percent 3 7 6 2" xfId="6131"/>
    <cellStyle name="Percent 3 7 7" xfId="4071"/>
    <cellStyle name="Percent 3 7 7 2" xfId="6132"/>
    <cellStyle name="Percent 3 7 7 2 2" xfId="7046"/>
    <cellStyle name="Percent 3 7 7 2 3" xfId="10703"/>
    <cellStyle name="Percent 3 7 7 2 3 2" xfId="17686"/>
    <cellStyle name="Percent 3 7 7 2 3 2 2" xfId="24653"/>
    <cellStyle name="Percent 3 7 7 2 3 2 3" xfId="31620"/>
    <cellStyle name="Percent 3 7 7 2 3 2 4" xfId="38589"/>
    <cellStyle name="Percent 3 7 7 2 3 3" xfId="13044"/>
    <cellStyle name="Percent 3 7 7 2 3 4" xfId="20011"/>
    <cellStyle name="Percent 3 7 7 2 3 5" xfId="26978"/>
    <cellStyle name="Percent 3 7 7 2 3 6" xfId="33946"/>
    <cellStyle name="Percent 3 7 7 2 4" xfId="15366"/>
    <cellStyle name="Percent 3 7 7 2 4 2" xfId="22333"/>
    <cellStyle name="Percent 3 7 7 2 4 3" xfId="29300"/>
    <cellStyle name="Percent 3 7 7 2 4 4" xfId="36269"/>
    <cellStyle name="Percent 3 7 7 3" xfId="7045"/>
    <cellStyle name="Percent 3 7 7 4" xfId="9677"/>
    <cellStyle name="Percent 3 7 7 4 2" xfId="16700"/>
    <cellStyle name="Percent 3 7 7 4 2 2" xfId="23667"/>
    <cellStyle name="Percent 3 7 7 4 2 3" xfId="30634"/>
    <cellStyle name="Percent 3 7 7 4 2 4" xfId="37603"/>
    <cellStyle name="Percent 3 7 7 4 3" xfId="12058"/>
    <cellStyle name="Percent 3 7 7 4 4" xfId="19025"/>
    <cellStyle name="Percent 3 7 7 4 5" xfId="25992"/>
    <cellStyle name="Percent 3 7 7 4 6" xfId="32960"/>
    <cellStyle name="Percent 3 7 7 5" xfId="14380"/>
    <cellStyle name="Percent 3 7 7 5 2" xfId="21347"/>
    <cellStyle name="Percent 3 7 7 5 3" xfId="28314"/>
    <cellStyle name="Percent 3 7 7 5 4" xfId="35283"/>
    <cellStyle name="Percent 3 7 8" xfId="7047"/>
    <cellStyle name="Percent 3 8" xfId="2531"/>
    <cellStyle name="Percent 3 8 2" xfId="2532"/>
    <cellStyle name="Percent 3 8 3" xfId="2533"/>
    <cellStyle name="Percent 3 8 4" xfId="2534"/>
    <cellStyle name="Percent 3 8 4 2" xfId="2535"/>
    <cellStyle name="Percent 3 8 5" xfId="2536"/>
    <cellStyle name="Percent 3 8 5 2" xfId="6133"/>
    <cellStyle name="Percent 3 8 6" xfId="2537"/>
    <cellStyle name="Percent 3 8 6 2" xfId="6134"/>
    <cellStyle name="Percent 3 8 7" xfId="3871"/>
    <cellStyle name="Percent 3 8 7 2" xfId="6135"/>
    <cellStyle name="Percent 3 8 7 2 2" xfId="7049"/>
    <cellStyle name="Percent 3 8 7 2 3" xfId="10704"/>
    <cellStyle name="Percent 3 8 7 2 3 2" xfId="17687"/>
    <cellStyle name="Percent 3 8 7 2 3 2 2" xfId="24654"/>
    <cellStyle name="Percent 3 8 7 2 3 2 3" xfId="31621"/>
    <cellStyle name="Percent 3 8 7 2 3 2 4" xfId="38590"/>
    <cellStyle name="Percent 3 8 7 2 3 3" xfId="13045"/>
    <cellStyle name="Percent 3 8 7 2 3 4" xfId="20012"/>
    <cellStyle name="Percent 3 8 7 2 3 5" xfId="26979"/>
    <cellStyle name="Percent 3 8 7 2 3 6" xfId="33947"/>
    <cellStyle name="Percent 3 8 7 2 4" xfId="15367"/>
    <cellStyle name="Percent 3 8 7 2 4 2" xfId="22334"/>
    <cellStyle name="Percent 3 8 7 2 4 3" xfId="29301"/>
    <cellStyle name="Percent 3 8 7 2 4 4" xfId="36270"/>
    <cellStyle name="Percent 3 8 7 3" xfId="7048"/>
    <cellStyle name="Percent 3 8 7 4" xfId="9477"/>
    <cellStyle name="Percent 3 8 7 4 2" xfId="16514"/>
    <cellStyle name="Percent 3 8 7 4 2 2" xfId="23481"/>
    <cellStyle name="Percent 3 8 7 4 2 3" xfId="30448"/>
    <cellStyle name="Percent 3 8 7 4 2 4" xfId="37417"/>
    <cellStyle name="Percent 3 8 7 4 3" xfId="11872"/>
    <cellStyle name="Percent 3 8 7 4 4" xfId="18839"/>
    <cellStyle name="Percent 3 8 7 4 5" xfId="25806"/>
    <cellStyle name="Percent 3 8 7 4 6" xfId="32774"/>
    <cellStyle name="Percent 3 8 7 5" xfId="14194"/>
    <cellStyle name="Percent 3 8 7 5 2" xfId="21161"/>
    <cellStyle name="Percent 3 8 7 5 3" xfId="28128"/>
    <cellStyle name="Percent 3 8 7 5 4" xfId="35097"/>
    <cellStyle name="Percent 3 9" xfId="2538"/>
    <cellStyle name="Percent 4" xfId="2539"/>
    <cellStyle name="Percent 4 2" xfId="2540"/>
    <cellStyle name="Percent 4 2 2" xfId="2541"/>
    <cellStyle name="Percent 4 2 2 2" xfId="2542"/>
    <cellStyle name="Percent 4 2 2 2 2" xfId="2543"/>
    <cellStyle name="Percent 4 2 2 2 3" xfId="2544"/>
    <cellStyle name="Percent 4 2 2 3" xfId="2545"/>
    <cellStyle name="Percent 4 2 2 4" xfId="2546"/>
    <cellStyle name="Percent 4 2 2 4 2" xfId="2547"/>
    <cellStyle name="Percent 4 2 2 4 3" xfId="2548"/>
    <cellStyle name="Percent 4 2 2 4 3 2" xfId="2549"/>
    <cellStyle name="Percent 4 2 2 4 4" xfId="2550"/>
    <cellStyle name="Percent 4 2 2 4 4 2" xfId="2551"/>
    <cellStyle name="Percent 4 2 2 4 5" xfId="2552"/>
    <cellStyle name="Percent 4 2 2 4 5 2" xfId="2553"/>
    <cellStyle name="Percent 4 2 2 5" xfId="3406"/>
    <cellStyle name="Percent 4 2 3" xfId="2554"/>
    <cellStyle name="Percent 4 2 3 2" xfId="2555"/>
    <cellStyle name="Percent 4 2 3 3" xfId="2556"/>
    <cellStyle name="Percent 4 2 3 3 2" xfId="2557"/>
    <cellStyle name="Percent 4 2 4" xfId="2558"/>
    <cellStyle name="Percent 4 2 4 2" xfId="2559"/>
    <cellStyle name="Percent 4 2 4 3" xfId="2560"/>
    <cellStyle name="Percent 4 2 5" xfId="2561"/>
    <cellStyle name="Percent 4 2 5 2" xfId="2562"/>
    <cellStyle name="Percent 4 2 6" xfId="2563"/>
    <cellStyle name="Percent 4 2 6 2" xfId="3407"/>
    <cellStyle name="Percent 4 2 6 3" xfId="6136"/>
    <cellStyle name="Percent 4 2 7" xfId="2564"/>
    <cellStyle name="Percent 4 2 7 2" xfId="6137"/>
    <cellStyle name="Percent 4 2 8" xfId="4037"/>
    <cellStyle name="Percent 4 2 8 2" xfId="6138"/>
    <cellStyle name="Percent 4 2 8 2 2" xfId="7051"/>
    <cellStyle name="Percent 4 2 8 2 3" xfId="10705"/>
    <cellStyle name="Percent 4 2 8 2 3 2" xfId="17688"/>
    <cellStyle name="Percent 4 2 8 2 3 2 2" xfId="24655"/>
    <cellStyle name="Percent 4 2 8 2 3 2 3" xfId="31622"/>
    <cellStyle name="Percent 4 2 8 2 3 2 4" xfId="38591"/>
    <cellStyle name="Percent 4 2 8 2 3 3" xfId="13046"/>
    <cellStyle name="Percent 4 2 8 2 3 4" xfId="20013"/>
    <cellStyle name="Percent 4 2 8 2 3 5" xfId="26980"/>
    <cellStyle name="Percent 4 2 8 2 3 6" xfId="33948"/>
    <cellStyle name="Percent 4 2 8 2 4" xfId="15368"/>
    <cellStyle name="Percent 4 2 8 2 4 2" xfId="22335"/>
    <cellStyle name="Percent 4 2 8 2 4 3" xfId="29302"/>
    <cellStyle name="Percent 4 2 8 2 4 4" xfId="36271"/>
    <cellStyle name="Percent 4 2 8 3" xfId="7050"/>
    <cellStyle name="Percent 4 2 8 4" xfId="9643"/>
    <cellStyle name="Percent 4 2 8 4 2" xfId="16679"/>
    <cellStyle name="Percent 4 2 8 4 2 2" xfId="23646"/>
    <cellStyle name="Percent 4 2 8 4 2 3" xfId="30613"/>
    <cellStyle name="Percent 4 2 8 4 2 4" xfId="37582"/>
    <cellStyle name="Percent 4 2 8 4 3" xfId="12037"/>
    <cellStyle name="Percent 4 2 8 4 4" xfId="19004"/>
    <cellStyle name="Percent 4 2 8 4 5" xfId="25971"/>
    <cellStyle name="Percent 4 2 8 4 6" xfId="32939"/>
    <cellStyle name="Percent 4 2 8 5" xfId="14359"/>
    <cellStyle name="Percent 4 2 8 5 2" xfId="21326"/>
    <cellStyle name="Percent 4 2 8 5 3" xfId="28293"/>
    <cellStyle name="Percent 4 2 8 5 4" xfId="35262"/>
    <cellStyle name="Percent 4 2 9" xfId="7052"/>
    <cellStyle name="Percent 4 3" xfId="2565"/>
    <cellStyle name="Percent 4 3 2" xfId="6139"/>
    <cellStyle name="Percent 4 3 3" xfId="8339"/>
    <cellStyle name="Percent 4 4" xfId="2566"/>
    <cellStyle name="Percent 4 5" xfId="3408"/>
    <cellStyle name="Percent 4 5 2" xfId="6140"/>
    <cellStyle name="Percent 4 6" xfId="4098"/>
    <cellStyle name="Percent 4 7" xfId="8338"/>
    <cellStyle name="Percent 5" xfId="2567"/>
    <cellStyle name="Percent 5 2" xfId="2568"/>
    <cellStyle name="Percent 5 2 10" xfId="8341"/>
    <cellStyle name="Percent 5 2 2" xfId="2569"/>
    <cellStyle name="Percent 5 2 2 2" xfId="2570"/>
    <cellStyle name="Percent 5 2 2 2 2" xfId="6143"/>
    <cellStyle name="Percent 5 2 2 2 3" xfId="8343"/>
    <cellStyle name="Percent 5 2 2 3" xfId="2571"/>
    <cellStyle name="Percent 5 2 2 3 2" xfId="6144"/>
    <cellStyle name="Percent 5 2 2 3 3" xfId="8344"/>
    <cellStyle name="Percent 5 2 2 4" xfId="2572"/>
    <cellStyle name="Percent 5 2 2 4 2" xfId="2573"/>
    <cellStyle name="Percent 5 2 2 4 2 2" xfId="6146"/>
    <cellStyle name="Percent 5 2 2 4 2 3" xfId="8346"/>
    <cellStyle name="Percent 5 2 2 4 3" xfId="2574"/>
    <cellStyle name="Percent 5 2 2 4 3 2" xfId="2575"/>
    <cellStyle name="Percent 5 2 2 4 3 2 2" xfId="6148"/>
    <cellStyle name="Percent 5 2 2 4 3 2 3" xfId="8348"/>
    <cellStyle name="Percent 5 2 2 4 3 3" xfId="2576"/>
    <cellStyle name="Percent 5 2 2 4 3 3 2" xfId="2577"/>
    <cellStyle name="Percent 5 2 2 4 3 3 2 2" xfId="6150"/>
    <cellStyle name="Percent 5 2 2 4 3 3 2 3" xfId="8350"/>
    <cellStyle name="Percent 5 2 2 4 3 3 3" xfId="6149"/>
    <cellStyle name="Percent 5 2 2 4 3 3 4" xfId="8349"/>
    <cellStyle name="Percent 5 2 2 4 3 4" xfId="2578"/>
    <cellStyle name="Percent 5 2 2 4 3 4 2" xfId="2579"/>
    <cellStyle name="Percent 5 2 2 4 3 4 2 2" xfId="6152"/>
    <cellStyle name="Percent 5 2 2 4 3 4 2 3" xfId="8352"/>
    <cellStyle name="Percent 5 2 2 4 3 4 3" xfId="2580"/>
    <cellStyle name="Percent 5 2 2 4 3 4 3 2" xfId="6153"/>
    <cellStyle name="Percent 5 2 2 4 3 4 3 3" xfId="8353"/>
    <cellStyle name="Percent 5 2 2 4 3 4 4" xfId="2581"/>
    <cellStyle name="Percent 5 2 2 4 3 4 4 2" xfId="2582"/>
    <cellStyle name="Percent 5 2 2 4 3 4 4 2 2" xfId="2583"/>
    <cellStyle name="Percent 5 2 2 4 3 4 4 2 2 2" xfId="6156"/>
    <cellStyle name="Percent 5 2 2 4 3 4 4 2 2 3" xfId="8356"/>
    <cellStyle name="Percent 5 2 2 4 3 4 4 2 3" xfId="2584"/>
    <cellStyle name="Percent 5 2 2 4 3 4 4 2 3 2" xfId="2585"/>
    <cellStyle name="Percent 5 2 2 4 3 4 4 2 3 2 2" xfId="6158"/>
    <cellStyle name="Percent 5 2 2 4 3 4 4 2 3 2 3" xfId="8358"/>
    <cellStyle name="Percent 5 2 2 4 3 4 4 2 3 3" xfId="2586"/>
    <cellStyle name="Percent 5 2 2 4 3 4 4 2 3 3 2" xfId="2587"/>
    <cellStyle name="Percent 5 2 2 4 3 4 4 2 3 3 2 2" xfId="6160"/>
    <cellStyle name="Percent 5 2 2 4 3 4 4 2 3 3 2 3" xfId="8360"/>
    <cellStyle name="Percent 5 2 2 4 3 4 4 2 3 3 3" xfId="2588"/>
    <cellStyle name="Percent 5 2 2 4 3 4 4 2 3 3 3 2" xfId="6161"/>
    <cellStyle name="Percent 5 2 2 4 3 4 4 2 3 3 3 3" xfId="8361"/>
    <cellStyle name="Percent 5 2 2 4 3 4 4 2 3 3 4" xfId="2589"/>
    <cellStyle name="Percent 5 2 2 4 3 4 4 2 3 3 4 2" xfId="2590"/>
    <cellStyle name="Percent 5 2 2 4 3 4 4 2 3 3 4 2 2" xfId="6163"/>
    <cellStyle name="Percent 5 2 2 4 3 4 4 2 3 3 4 2 3" xfId="8363"/>
    <cellStyle name="Percent 5 2 2 4 3 4 4 2 3 3 4 3" xfId="2591"/>
    <cellStyle name="Percent 5 2 2 4 3 4 4 2 3 3 4 3 2" xfId="6164"/>
    <cellStyle name="Percent 5 2 2 4 3 4 4 2 3 3 4 3 3" xfId="8364"/>
    <cellStyle name="Percent 5 2 2 4 3 4 4 2 3 3 4 4" xfId="6162"/>
    <cellStyle name="Percent 5 2 2 4 3 4 4 2 3 3 4 5" xfId="8362"/>
    <cellStyle name="Percent 5 2 2 4 3 4 4 2 3 3 5" xfId="6159"/>
    <cellStyle name="Percent 5 2 2 4 3 4 4 2 3 3 6" xfId="8359"/>
    <cellStyle name="Percent 5 2 2 4 3 4 4 2 3 4" xfId="6157"/>
    <cellStyle name="Percent 5 2 2 4 3 4 4 2 3 5" xfId="8357"/>
    <cellStyle name="Percent 5 2 2 4 3 4 4 2 4" xfId="6155"/>
    <cellStyle name="Percent 5 2 2 4 3 4 4 2 5" xfId="8355"/>
    <cellStyle name="Percent 5 2 2 4 3 4 4 3" xfId="2592"/>
    <cellStyle name="Percent 5 2 2 4 3 4 4 3 2" xfId="6165"/>
    <cellStyle name="Percent 5 2 2 4 3 4 4 3 3" xfId="8365"/>
    <cellStyle name="Percent 5 2 2 4 3 4 4 4" xfId="2593"/>
    <cellStyle name="Percent 5 2 2 4 3 4 4 4 2" xfId="2594"/>
    <cellStyle name="Percent 5 2 2 4 3 4 4 4 2 2" xfId="6167"/>
    <cellStyle name="Percent 5 2 2 4 3 4 4 4 2 3" xfId="8367"/>
    <cellStyle name="Percent 5 2 2 4 3 4 4 4 3" xfId="2595"/>
    <cellStyle name="Percent 5 2 2 4 3 4 4 4 3 2" xfId="2596"/>
    <cellStyle name="Percent 5 2 2 4 3 4 4 4 3 2 2" xfId="6169"/>
    <cellStyle name="Percent 5 2 2 4 3 4 4 4 3 2 3" xfId="8369"/>
    <cellStyle name="Percent 5 2 2 4 3 4 4 4 3 3" xfId="2597"/>
    <cellStyle name="Percent 5 2 2 4 3 4 4 4 3 3 2" xfId="6170"/>
    <cellStyle name="Percent 5 2 2 4 3 4 4 4 3 3 3" xfId="8370"/>
    <cellStyle name="Percent 5 2 2 4 3 4 4 4 3 4" xfId="2598"/>
    <cellStyle name="Percent 5 2 2 4 3 4 4 4 3 4 2" xfId="2599"/>
    <cellStyle name="Percent 5 2 2 4 3 4 4 4 3 4 2 2" xfId="6172"/>
    <cellStyle name="Percent 5 2 2 4 3 4 4 4 3 4 2 3" xfId="8372"/>
    <cellStyle name="Percent 5 2 2 4 3 4 4 4 3 4 3" xfId="2600"/>
    <cellStyle name="Percent 5 2 2 4 3 4 4 4 3 4 3 2" xfId="6173"/>
    <cellStyle name="Percent 5 2 2 4 3 4 4 4 3 4 3 3" xfId="8373"/>
    <cellStyle name="Percent 5 2 2 4 3 4 4 4 3 4 4" xfId="6171"/>
    <cellStyle name="Percent 5 2 2 4 3 4 4 4 3 4 5" xfId="8371"/>
    <cellStyle name="Percent 5 2 2 4 3 4 4 4 3 5" xfId="6168"/>
    <cellStyle name="Percent 5 2 2 4 3 4 4 4 3 6" xfId="8368"/>
    <cellStyle name="Percent 5 2 2 4 3 4 4 4 4" xfId="6166"/>
    <cellStyle name="Percent 5 2 2 4 3 4 4 4 5" xfId="8366"/>
    <cellStyle name="Percent 5 2 2 4 3 4 4 5" xfId="6154"/>
    <cellStyle name="Percent 5 2 2 4 3 4 4 6" xfId="8354"/>
    <cellStyle name="Percent 5 2 2 4 3 4 5" xfId="6151"/>
    <cellStyle name="Percent 5 2 2 4 3 4 6" xfId="8351"/>
    <cellStyle name="Percent 5 2 2 4 3 5" xfId="6147"/>
    <cellStyle name="Percent 5 2 2 4 3 6" xfId="8347"/>
    <cellStyle name="Percent 5 2 2 4 4" xfId="2601"/>
    <cellStyle name="Percent 5 2 2 4 4 2" xfId="2602"/>
    <cellStyle name="Percent 5 2 2 4 4 2 2" xfId="6175"/>
    <cellStyle name="Percent 5 2 2 4 4 2 3" xfId="8375"/>
    <cellStyle name="Percent 5 2 2 4 4 3" xfId="6174"/>
    <cellStyle name="Percent 5 2 2 4 4 4" xfId="8374"/>
    <cellStyle name="Percent 5 2 2 4 5" xfId="2603"/>
    <cellStyle name="Percent 5 2 2 4 5 2" xfId="2604"/>
    <cellStyle name="Percent 5 2 2 4 5 2 2" xfId="6177"/>
    <cellStyle name="Percent 5 2 2 4 5 2 3" xfId="8377"/>
    <cellStyle name="Percent 5 2 2 4 5 3" xfId="2605"/>
    <cellStyle name="Percent 5 2 2 4 5 3 2" xfId="6178"/>
    <cellStyle name="Percent 5 2 2 4 5 3 3" xfId="8378"/>
    <cellStyle name="Percent 5 2 2 4 5 4" xfId="2606"/>
    <cellStyle name="Percent 5 2 2 4 5 4 2" xfId="2607"/>
    <cellStyle name="Percent 5 2 2 4 5 4 2 2" xfId="2608"/>
    <cellStyle name="Percent 5 2 2 4 5 4 2 2 2" xfId="6181"/>
    <cellStyle name="Percent 5 2 2 4 5 4 2 2 3" xfId="8381"/>
    <cellStyle name="Percent 5 2 2 4 5 4 2 3" xfId="2609"/>
    <cellStyle name="Percent 5 2 2 4 5 4 2 3 2" xfId="2610"/>
    <cellStyle name="Percent 5 2 2 4 5 4 2 3 2 2" xfId="6183"/>
    <cellStyle name="Percent 5 2 2 4 5 4 2 3 2 3" xfId="8383"/>
    <cellStyle name="Percent 5 2 2 4 5 4 2 3 3" xfId="2611"/>
    <cellStyle name="Percent 5 2 2 4 5 4 2 3 3 2" xfId="2612"/>
    <cellStyle name="Percent 5 2 2 4 5 4 2 3 3 2 2" xfId="6185"/>
    <cellStyle name="Percent 5 2 2 4 5 4 2 3 3 2 3" xfId="8385"/>
    <cellStyle name="Percent 5 2 2 4 5 4 2 3 3 3" xfId="2613"/>
    <cellStyle name="Percent 5 2 2 4 5 4 2 3 3 3 2" xfId="6186"/>
    <cellStyle name="Percent 5 2 2 4 5 4 2 3 3 3 3" xfId="8386"/>
    <cellStyle name="Percent 5 2 2 4 5 4 2 3 3 4" xfId="2614"/>
    <cellStyle name="Percent 5 2 2 4 5 4 2 3 3 4 2" xfId="2615"/>
    <cellStyle name="Percent 5 2 2 4 5 4 2 3 3 4 2 2" xfId="6188"/>
    <cellStyle name="Percent 5 2 2 4 5 4 2 3 3 4 2 3" xfId="8388"/>
    <cellStyle name="Percent 5 2 2 4 5 4 2 3 3 4 3" xfId="2616"/>
    <cellStyle name="Percent 5 2 2 4 5 4 2 3 3 4 3 2" xfId="6189"/>
    <cellStyle name="Percent 5 2 2 4 5 4 2 3 3 4 3 3" xfId="8389"/>
    <cellStyle name="Percent 5 2 2 4 5 4 2 3 3 4 4" xfId="6187"/>
    <cellStyle name="Percent 5 2 2 4 5 4 2 3 3 4 5" xfId="8387"/>
    <cellStyle name="Percent 5 2 2 4 5 4 2 3 3 5" xfId="6184"/>
    <cellStyle name="Percent 5 2 2 4 5 4 2 3 3 6" xfId="8384"/>
    <cellStyle name="Percent 5 2 2 4 5 4 2 3 4" xfId="6182"/>
    <cellStyle name="Percent 5 2 2 4 5 4 2 3 5" xfId="8382"/>
    <cellStyle name="Percent 5 2 2 4 5 4 2 4" xfId="6180"/>
    <cellStyle name="Percent 5 2 2 4 5 4 2 5" xfId="8380"/>
    <cellStyle name="Percent 5 2 2 4 5 4 3" xfId="2617"/>
    <cellStyle name="Percent 5 2 2 4 5 4 3 2" xfId="6190"/>
    <cellStyle name="Percent 5 2 2 4 5 4 3 3" xfId="8390"/>
    <cellStyle name="Percent 5 2 2 4 5 4 4" xfId="2618"/>
    <cellStyle name="Percent 5 2 2 4 5 4 4 2" xfId="2619"/>
    <cellStyle name="Percent 5 2 2 4 5 4 4 2 2" xfId="6192"/>
    <cellStyle name="Percent 5 2 2 4 5 4 4 2 3" xfId="8392"/>
    <cellStyle name="Percent 5 2 2 4 5 4 4 3" xfId="2620"/>
    <cellStyle name="Percent 5 2 2 4 5 4 4 3 2" xfId="2621"/>
    <cellStyle name="Percent 5 2 2 4 5 4 4 3 2 2" xfId="6194"/>
    <cellStyle name="Percent 5 2 2 4 5 4 4 3 2 3" xfId="8394"/>
    <cellStyle name="Percent 5 2 2 4 5 4 4 3 3" xfId="2622"/>
    <cellStyle name="Percent 5 2 2 4 5 4 4 3 3 2" xfId="6195"/>
    <cellStyle name="Percent 5 2 2 4 5 4 4 3 3 3" xfId="8395"/>
    <cellStyle name="Percent 5 2 2 4 5 4 4 3 4" xfId="2623"/>
    <cellStyle name="Percent 5 2 2 4 5 4 4 3 4 2" xfId="2624"/>
    <cellStyle name="Percent 5 2 2 4 5 4 4 3 4 2 2" xfId="6197"/>
    <cellStyle name="Percent 5 2 2 4 5 4 4 3 4 2 3" xfId="8397"/>
    <cellStyle name="Percent 5 2 2 4 5 4 4 3 4 3" xfId="2625"/>
    <cellStyle name="Percent 5 2 2 4 5 4 4 3 4 3 2" xfId="6198"/>
    <cellStyle name="Percent 5 2 2 4 5 4 4 3 4 3 3" xfId="8398"/>
    <cellStyle name="Percent 5 2 2 4 5 4 4 3 4 4" xfId="6196"/>
    <cellStyle name="Percent 5 2 2 4 5 4 4 3 4 5" xfId="8396"/>
    <cellStyle name="Percent 5 2 2 4 5 4 4 3 5" xfId="6193"/>
    <cellStyle name="Percent 5 2 2 4 5 4 4 3 6" xfId="8393"/>
    <cellStyle name="Percent 5 2 2 4 5 4 4 4" xfId="6191"/>
    <cellStyle name="Percent 5 2 2 4 5 4 4 5" xfId="8391"/>
    <cellStyle name="Percent 5 2 2 4 5 4 5" xfId="6179"/>
    <cellStyle name="Percent 5 2 2 4 5 4 6" xfId="8379"/>
    <cellStyle name="Percent 5 2 2 4 5 5" xfId="6176"/>
    <cellStyle name="Percent 5 2 2 4 5 6" xfId="8376"/>
    <cellStyle name="Percent 5 2 2 4 6" xfId="6145"/>
    <cellStyle name="Percent 5 2 2 4 7" xfId="8345"/>
    <cellStyle name="Percent 5 2 2 5" xfId="2626"/>
    <cellStyle name="Percent 5 2 2 5 2" xfId="2627"/>
    <cellStyle name="Percent 5 2 2 5 2 2" xfId="6200"/>
    <cellStyle name="Percent 5 2 2 5 2 3" xfId="8400"/>
    <cellStyle name="Percent 5 2 2 5 3" xfId="2628"/>
    <cellStyle name="Percent 5 2 2 5 3 2" xfId="2629"/>
    <cellStyle name="Percent 5 2 2 5 3 2 2" xfId="6202"/>
    <cellStyle name="Percent 5 2 2 5 3 2 3" xfId="8402"/>
    <cellStyle name="Percent 5 2 2 5 3 3" xfId="6201"/>
    <cellStyle name="Percent 5 2 2 5 3 4" xfId="8401"/>
    <cellStyle name="Percent 5 2 2 5 4" xfId="2630"/>
    <cellStyle name="Percent 5 2 2 5 4 2" xfId="2631"/>
    <cellStyle name="Percent 5 2 2 5 4 2 2" xfId="6204"/>
    <cellStyle name="Percent 5 2 2 5 4 2 3" xfId="8404"/>
    <cellStyle name="Percent 5 2 2 5 4 3" xfId="2632"/>
    <cellStyle name="Percent 5 2 2 5 4 3 2" xfId="6205"/>
    <cellStyle name="Percent 5 2 2 5 4 3 3" xfId="8405"/>
    <cellStyle name="Percent 5 2 2 5 4 4" xfId="2633"/>
    <cellStyle name="Percent 5 2 2 5 4 4 2" xfId="2634"/>
    <cellStyle name="Percent 5 2 2 5 4 4 2 2" xfId="2635"/>
    <cellStyle name="Percent 5 2 2 5 4 4 2 2 2" xfId="6208"/>
    <cellStyle name="Percent 5 2 2 5 4 4 2 2 3" xfId="8408"/>
    <cellStyle name="Percent 5 2 2 5 4 4 2 3" xfId="2636"/>
    <cellStyle name="Percent 5 2 2 5 4 4 2 3 2" xfId="2637"/>
    <cellStyle name="Percent 5 2 2 5 4 4 2 3 2 2" xfId="6210"/>
    <cellStyle name="Percent 5 2 2 5 4 4 2 3 2 3" xfId="8410"/>
    <cellStyle name="Percent 5 2 2 5 4 4 2 3 3" xfId="2638"/>
    <cellStyle name="Percent 5 2 2 5 4 4 2 3 3 2" xfId="2639"/>
    <cellStyle name="Percent 5 2 2 5 4 4 2 3 3 2 2" xfId="6212"/>
    <cellStyle name="Percent 5 2 2 5 4 4 2 3 3 2 3" xfId="8412"/>
    <cellStyle name="Percent 5 2 2 5 4 4 2 3 3 3" xfId="2640"/>
    <cellStyle name="Percent 5 2 2 5 4 4 2 3 3 3 2" xfId="6213"/>
    <cellStyle name="Percent 5 2 2 5 4 4 2 3 3 3 3" xfId="8413"/>
    <cellStyle name="Percent 5 2 2 5 4 4 2 3 3 4" xfId="2641"/>
    <cellStyle name="Percent 5 2 2 5 4 4 2 3 3 4 2" xfId="2642"/>
    <cellStyle name="Percent 5 2 2 5 4 4 2 3 3 4 2 2" xfId="6215"/>
    <cellStyle name="Percent 5 2 2 5 4 4 2 3 3 4 2 3" xfId="8415"/>
    <cellStyle name="Percent 5 2 2 5 4 4 2 3 3 4 3" xfId="2643"/>
    <cellStyle name="Percent 5 2 2 5 4 4 2 3 3 4 3 2" xfId="6216"/>
    <cellStyle name="Percent 5 2 2 5 4 4 2 3 3 4 3 3" xfId="8416"/>
    <cellStyle name="Percent 5 2 2 5 4 4 2 3 3 4 4" xfId="6214"/>
    <cellStyle name="Percent 5 2 2 5 4 4 2 3 3 4 5" xfId="8414"/>
    <cellStyle name="Percent 5 2 2 5 4 4 2 3 3 5" xfId="6211"/>
    <cellStyle name="Percent 5 2 2 5 4 4 2 3 3 6" xfId="8411"/>
    <cellStyle name="Percent 5 2 2 5 4 4 2 3 4" xfId="6209"/>
    <cellStyle name="Percent 5 2 2 5 4 4 2 3 5" xfId="8409"/>
    <cellStyle name="Percent 5 2 2 5 4 4 2 4" xfId="6207"/>
    <cellStyle name="Percent 5 2 2 5 4 4 2 5" xfId="8407"/>
    <cellStyle name="Percent 5 2 2 5 4 4 3" xfId="2644"/>
    <cellStyle name="Percent 5 2 2 5 4 4 3 2" xfId="6217"/>
    <cellStyle name="Percent 5 2 2 5 4 4 3 3" xfId="8417"/>
    <cellStyle name="Percent 5 2 2 5 4 4 4" xfId="2645"/>
    <cellStyle name="Percent 5 2 2 5 4 4 4 2" xfId="2646"/>
    <cellStyle name="Percent 5 2 2 5 4 4 4 2 2" xfId="6219"/>
    <cellStyle name="Percent 5 2 2 5 4 4 4 2 3" xfId="8419"/>
    <cellStyle name="Percent 5 2 2 5 4 4 4 3" xfId="2647"/>
    <cellStyle name="Percent 5 2 2 5 4 4 4 3 2" xfId="2648"/>
    <cellStyle name="Percent 5 2 2 5 4 4 4 3 2 2" xfId="6221"/>
    <cellStyle name="Percent 5 2 2 5 4 4 4 3 2 3" xfId="8421"/>
    <cellStyle name="Percent 5 2 2 5 4 4 4 3 3" xfId="2649"/>
    <cellStyle name="Percent 5 2 2 5 4 4 4 3 3 2" xfId="6222"/>
    <cellStyle name="Percent 5 2 2 5 4 4 4 3 3 3" xfId="8422"/>
    <cellStyle name="Percent 5 2 2 5 4 4 4 3 4" xfId="2650"/>
    <cellStyle name="Percent 5 2 2 5 4 4 4 3 4 2" xfId="2651"/>
    <cellStyle name="Percent 5 2 2 5 4 4 4 3 4 2 2" xfId="6224"/>
    <cellStyle name="Percent 5 2 2 5 4 4 4 3 4 2 3" xfId="8424"/>
    <cellStyle name="Percent 5 2 2 5 4 4 4 3 4 3" xfId="2652"/>
    <cellStyle name="Percent 5 2 2 5 4 4 4 3 4 3 2" xfId="6225"/>
    <cellStyle name="Percent 5 2 2 5 4 4 4 3 4 3 3" xfId="8425"/>
    <cellStyle name="Percent 5 2 2 5 4 4 4 3 4 4" xfId="6223"/>
    <cellStyle name="Percent 5 2 2 5 4 4 4 3 4 5" xfId="8423"/>
    <cellStyle name="Percent 5 2 2 5 4 4 4 3 5" xfId="6220"/>
    <cellStyle name="Percent 5 2 2 5 4 4 4 3 6" xfId="8420"/>
    <cellStyle name="Percent 5 2 2 5 4 4 4 4" xfId="6218"/>
    <cellStyle name="Percent 5 2 2 5 4 4 4 5" xfId="8418"/>
    <cellStyle name="Percent 5 2 2 5 4 4 5" xfId="6206"/>
    <cellStyle name="Percent 5 2 2 5 4 4 6" xfId="8406"/>
    <cellStyle name="Percent 5 2 2 5 4 5" xfId="6203"/>
    <cellStyle name="Percent 5 2 2 5 4 6" xfId="8403"/>
    <cellStyle name="Percent 5 2 2 5 5" xfId="6199"/>
    <cellStyle name="Percent 5 2 2 5 6" xfId="8399"/>
    <cellStyle name="Percent 5 2 2 6" xfId="2653"/>
    <cellStyle name="Percent 5 2 2 6 2" xfId="2654"/>
    <cellStyle name="Percent 5 2 2 6 2 2" xfId="6227"/>
    <cellStyle name="Percent 5 2 2 6 2 3" xfId="8427"/>
    <cellStyle name="Percent 5 2 2 6 3" xfId="6226"/>
    <cellStyle name="Percent 5 2 2 6 4" xfId="8426"/>
    <cellStyle name="Percent 5 2 2 7" xfId="2655"/>
    <cellStyle name="Percent 5 2 2 7 2" xfId="2656"/>
    <cellStyle name="Percent 5 2 2 7 2 2" xfId="6229"/>
    <cellStyle name="Percent 5 2 2 7 2 3" xfId="8429"/>
    <cellStyle name="Percent 5 2 2 7 3" xfId="2657"/>
    <cellStyle name="Percent 5 2 2 7 3 2" xfId="6230"/>
    <cellStyle name="Percent 5 2 2 7 3 3" xfId="8430"/>
    <cellStyle name="Percent 5 2 2 7 4" xfId="2658"/>
    <cellStyle name="Percent 5 2 2 7 4 2" xfId="2659"/>
    <cellStyle name="Percent 5 2 2 7 4 2 2" xfId="2660"/>
    <cellStyle name="Percent 5 2 2 7 4 2 2 2" xfId="6233"/>
    <cellStyle name="Percent 5 2 2 7 4 2 2 3" xfId="8433"/>
    <cellStyle name="Percent 5 2 2 7 4 2 3" xfId="2661"/>
    <cellStyle name="Percent 5 2 2 7 4 2 3 2" xfId="2662"/>
    <cellStyle name="Percent 5 2 2 7 4 2 3 2 2" xfId="6235"/>
    <cellStyle name="Percent 5 2 2 7 4 2 3 2 3" xfId="8435"/>
    <cellStyle name="Percent 5 2 2 7 4 2 3 3" xfId="2663"/>
    <cellStyle name="Percent 5 2 2 7 4 2 3 3 2" xfId="2664"/>
    <cellStyle name="Percent 5 2 2 7 4 2 3 3 2 2" xfId="6237"/>
    <cellStyle name="Percent 5 2 2 7 4 2 3 3 2 3" xfId="8437"/>
    <cellStyle name="Percent 5 2 2 7 4 2 3 3 3" xfId="2665"/>
    <cellStyle name="Percent 5 2 2 7 4 2 3 3 3 2" xfId="6238"/>
    <cellStyle name="Percent 5 2 2 7 4 2 3 3 3 3" xfId="8438"/>
    <cellStyle name="Percent 5 2 2 7 4 2 3 3 4" xfId="2666"/>
    <cellStyle name="Percent 5 2 2 7 4 2 3 3 4 2" xfId="2667"/>
    <cellStyle name="Percent 5 2 2 7 4 2 3 3 4 2 2" xfId="6240"/>
    <cellStyle name="Percent 5 2 2 7 4 2 3 3 4 2 3" xfId="8440"/>
    <cellStyle name="Percent 5 2 2 7 4 2 3 3 4 3" xfId="2668"/>
    <cellStyle name="Percent 5 2 2 7 4 2 3 3 4 3 2" xfId="6241"/>
    <cellStyle name="Percent 5 2 2 7 4 2 3 3 4 3 3" xfId="8441"/>
    <cellStyle name="Percent 5 2 2 7 4 2 3 3 4 4" xfId="6239"/>
    <cellStyle name="Percent 5 2 2 7 4 2 3 3 4 5" xfId="8439"/>
    <cellStyle name="Percent 5 2 2 7 4 2 3 3 5" xfId="6236"/>
    <cellStyle name="Percent 5 2 2 7 4 2 3 3 6" xfId="8436"/>
    <cellStyle name="Percent 5 2 2 7 4 2 3 4" xfId="6234"/>
    <cellStyle name="Percent 5 2 2 7 4 2 3 5" xfId="8434"/>
    <cellStyle name="Percent 5 2 2 7 4 2 4" xfId="6232"/>
    <cellStyle name="Percent 5 2 2 7 4 2 5" xfId="8432"/>
    <cellStyle name="Percent 5 2 2 7 4 3" xfId="2669"/>
    <cellStyle name="Percent 5 2 2 7 4 3 2" xfId="6242"/>
    <cellStyle name="Percent 5 2 2 7 4 3 3" xfId="8442"/>
    <cellStyle name="Percent 5 2 2 7 4 4" xfId="2670"/>
    <cellStyle name="Percent 5 2 2 7 4 4 2" xfId="2671"/>
    <cellStyle name="Percent 5 2 2 7 4 4 2 2" xfId="6244"/>
    <cellStyle name="Percent 5 2 2 7 4 4 2 3" xfId="8444"/>
    <cellStyle name="Percent 5 2 2 7 4 4 3" xfId="2672"/>
    <cellStyle name="Percent 5 2 2 7 4 4 3 2" xfId="2673"/>
    <cellStyle name="Percent 5 2 2 7 4 4 3 2 2" xfId="6246"/>
    <cellStyle name="Percent 5 2 2 7 4 4 3 2 3" xfId="8446"/>
    <cellStyle name="Percent 5 2 2 7 4 4 3 3" xfId="2674"/>
    <cellStyle name="Percent 5 2 2 7 4 4 3 3 2" xfId="6247"/>
    <cellStyle name="Percent 5 2 2 7 4 4 3 3 3" xfId="8447"/>
    <cellStyle name="Percent 5 2 2 7 4 4 3 4" xfId="2675"/>
    <cellStyle name="Percent 5 2 2 7 4 4 3 4 2" xfId="2676"/>
    <cellStyle name="Percent 5 2 2 7 4 4 3 4 2 2" xfId="6249"/>
    <cellStyle name="Percent 5 2 2 7 4 4 3 4 2 3" xfId="8449"/>
    <cellStyle name="Percent 5 2 2 7 4 4 3 4 3" xfId="2677"/>
    <cellStyle name="Percent 5 2 2 7 4 4 3 4 3 2" xfId="6250"/>
    <cellStyle name="Percent 5 2 2 7 4 4 3 4 3 3" xfId="8450"/>
    <cellStyle name="Percent 5 2 2 7 4 4 3 4 4" xfId="6248"/>
    <cellStyle name="Percent 5 2 2 7 4 4 3 4 5" xfId="8448"/>
    <cellStyle name="Percent 5 2 2 7 4 4 3 5" xfId="6245"/>
    <cellStyle name="Percent 5 2 2 7 4 4 3 6" xfId="8445"/>
    <cellStyle name="Percent 5 2 2 7 4 4 4" xfId="6243"/>
    <cellStyle name="Percent 5 2 2 7 4 4 5" xfId="8443"/>
    <cellStyle name="Percent 5 2 2 7 4 5" xfId="6231"/>
    <cellStyle name="Percent 5 2 2 7 4 6" xfId="8431"/>
    <cellStyle name="Percent 5 2 2 7 5" xfId="6228"/>
    <cellStyle name="Percent 5 2 2 7 6" xfId="8428"/>
    <cellStyle name="Percent 5 2 2 8" xfId="6142"/>
    <cellStyle name="Percent 5 2 2 9" xfId="8342"/>
    <cellStyle name="Percent 5 2 3" xfId="2678"/>
    <cellStyle name="Percent 5 2 3 2" xfId="6251"/>
    <cellStyle name="Percent 5 2 3 3" xfId="8451"/>
    <cellStyle name="Percent 5 2 4" xfId="2679"/>
    <cellStyle name="Percent 5 2 4 2" xfId="2680"/>
    <cellStyle name="Percent 5 2 4 2 2" xfId="6253"/>
    <cellStyle name="Percent 5 2 4 2 3" xfId="8453"/>
    <cellStyle name="Percent 5 2 4 3" xfId="2681"/>
    <cellStyle name="Percent 5 2 4 3 2" xfId="2682"/>
    <cellStyle name="Percent 5 2 4 3 2 2" xfId="6255"/>
    <cellStyle name="Percent 5 2 4 3 2 3" xfId="8455"/>
    <cellStyle name="Percent 5 2 4 3 3" xfId="2683"/>
    <cellStyle name="Percent 5 2 4 3 3 2" xfId="2684"/>
    <cellStyle name="Percent 5 2 4 3 3 2 2" xfId="6257"/>
    <cellStyle name="Percent 5 2 4 3 3 2 3" xfId="8457"/>
    <cellStyle name="Percent 5 2 4 3 3 3" xfId="6256"/>
    <cellStyle name="Percent 5 2 4 3 3 4" xfId="8456"/>
    <cellStyle name="Percent 5 2 4 3 4" xfId="2685"/>
    <cellStyle name="Percent 5 2 4 3 4 2" xfId="2686"/>
    <cellStyle name="Percent 5 2 4 3 4 2 2" xfId="6259"/>
    <cellStyle name="Percent 5 2 4 3 4 2 3" xfId="8459"/>
    <cellStyle name="Percent 5 2 4 3 4 3" xfId="2687"/>
    <cellStyle name="Percent 5 2 4 3 4 3 2" xfId="6260"/>
    <cellStyle name="Percent 5 2 4 3 4 3 3" xfId="8460"/>
    <cellStyle name="Percent 5 2 4 3 4 4" xfId="2688"/>
    <cellStyle name="Percent 5 2 4 3 4 4 2" xfId="2689"/>
    <cellStyle name="Percent 5 2 4 3 4 4 2 2" xfId="2690"/>
    <cellStyle name="Percent 5 2 4 3 4 4 2 2 2" xfId="6263"/>
    <cellStyle name="Percent 5 2 4 3 4 4 2 2 3" xfId="8463"/>
    <cellStyle name="Percent 5 2 4 3 4 4 2 3" xfId="2691"/>
    <cellStyle name="Percent 5 2 4 3 4 4 2 3 2" xfId="2692"/>
    <cellStyle name="Percent 5 2 4 3 4 4 2 3 2 2" xfId="6265"/>
    <cellStyle name="Percent 5 2 4 3 4 4 2 3 2 3" xfId="8465"/>
    <cellStyle name="Percent 5 2 4 3 4 4 2 3 3" xfId="2693"/>
    <cellStyle name="Percent 5 2 4 3 4 4 2 3 3 2" xfId="2694"/>
    <cellStyle name="Percent 5 2 4 3 4 4 2 3 3 2 2" xfId="6267"/>
    <cellStyle name="Percent 5 2 4 3 4 4 2 3 3 2 3" xfId="8467"/>
    <cellStyle name="Percent 5 2 4 3 4 4 2 3 3 3" xfId="2695"/>
    <cellStyle name="Percent 5 2 4 3 4 4 2 3 3 3 2" xfId="6268"/>
    <cellStyle name="Percent 5 2 4 3 4 4 2 3 3 3 3" xfId="8468"/>
    <cellStyle name="Percent 5 2 4 3 4 4 2 3 3 4" xfId="2696"/>
    <cellStyle name="Percent 5 2 4 3 4 4 2 3 3 4 2" xfId="2697"/>
    <cellStyle name="Percent 5 2 4 3 4 4 2 3 3 4 2 2" xfId="6270"/>
    <cellStyle name="Percent 5 2 4 3 4 4 2 3 3 4 2 3" xfId="8470"/>
    <cellStyle name="Percent 5 2 4 3 4 4 2 3 3 4 3" xfId="2698"/>
    <cellStyle name="Percent 5 2 4 3 4 4 2 3 3 4 3 2" xfId="6271"/>
    <cellStyle name="Percent 5 2 4 3 4 4 2 3 3 4 3 3" xfId="8471"/>
    <cellStyle name="Percent 5 2 4 3 4 4 2 3 3 4 4" xfId="6269"/>
    <cellStyle name="Percent 5 2 4 3 4 4 2 3 3 4 5" xfId="8469"/>
    <cellStyle name="Percent 5 2 4 3 4 4 2 3 3 5" xfId="6266"/>
    <cellStyle name="Percent 5 2 4 3 4 4 2 3 3 6" xfId="8466"/>
    <cellStyle name="Percent 5 2 4 3 4 4 2 3 4" xfId="6264"/>
    <cellStyle name="Percent 5 2 4 3 4 4 2 3 5" xfId="8464"/>
    <cellStyle name="Percent 5 2 4 3 4 4 2 4" xfId="6262"/>
    <cellStyle name="Percent 5 2 4 3 4 4 2 5" xfId="8462"/>
    <cellStyle name="Percent 5 2 4 3 4 4 3" xfId="2699"/>
    <cellStyle name="Percent 5 2 4 3 4 4 3 2" xfId="6272"/>
    <cellStyle name="Percent 5 2 4 3 4 4 3 3" xfId="8472"/>
    <cellStyle name="Percent 5 2 4 3 4 4 4" xfId="2700"/>
    <cellStyle name="Percent 5 2 4 3 4 4 4 2" xfId="2701"/>
    <cellStyle name="Percent 5 2 4 3 4 4 4 2 2" xfId="6274"/>
    <cellStyle name="Percent 5 2 4 3 4 4 4 2 3" xfId="8474"/>
    <cellStyle name="Percent 5 2 4 3 4 4 4 3" xfId="2702"/>
    <cellStyle name="Percent 5 2 4 3 4 4 4 3 2" xfId="2703"/>
    <cellStyle name="Percent 5 2 4 3 4 4 4 3 2 2" xfId="6276"/>
    <cellStyle name="Percent 5 2 4 3 4 4 4 3 2 3" xfId="8476"/>
    <cellStyle name="Percent 5 2 4 3 4 4 4 3 3" xfId="2704"/>
    <cellStyle name="Percent 5 2 4 3 4 4 4 3 3 2" xfId="6277"/>
    <cellStyle name="Percent 5 2 4 3 4 4 4 3 3 3" xfId="8477"/>
    <cellStyle name="Percent 5 2 4 3 4 4 4 3 4" xfId="2705"/>
    <cellStyle name="Percent 5 2 4 3 4 4 4 3 4 2" xfId="2706"/>
    <cellStyle name="Percent 5 2 4 3 4 4 4 3 4 2 2" xfId="6279"/>
    <cellStyle name="Percent 5 2 4 3 4 4 4 3 4 2 3" xfId="8479"/>
    <cellStyle name="Percent 5 2 4 3 4 4 4 3 4 3" xfId="2707"/>
    <cellStyle name="Percent 5 2 4 3 4 4 4 3 4 3 2" xfId="6280"/>
    <cellStyle name="Percent 5 2 4 3 4 4 4 3 4 3 3" xfId="8480"/>
    <cellStyle name="Percent 5 2 4 3 4 4 4 3 4 4" xfId="6278"/>
    <cellStyle name="Percent 5 2 4 3 4 4 4 3 4 5" xfId="8478"/>
    <cellStyle name="Percent 5 2 4 3 4 4 4 3 5" xfId="6275"/>
    <cellStyle name="Percent 5 2 4 3 4 4 4 3 6" xfId="8475"/>
    <cellStyle name="Percent 5 2 4 3 4 4 4 4" xfId="6273"/>
    <cellStyle name="Percent 5 2 4 3 4 4 4 5" xfId="8473"/>
    <cellStyle name="Percent 5 2 4 3 4 4 5" xfId="6261"/>
    <cellStyle name="Percent 5 2 4 3 4 4 6" xfId="8461"/>
    <cellStyle name="Percent 5 2 4 3 4 5" xfId="6258"/>
    <cellStyle name="Percent 5 2 4 3 4 6" xfId="8458"/>
    <cellStyle name="Percent 5 2 4 3 5" xfId="6254"/>
    <cellStyle name="Percent 5 2 4 3 6" xfId="8454"/>
    <cellStyle name="Percent 5 2 4 4" xfId="2708"/>
    <cellStyle name="Percent 5 2 4 4 2" xfId="2709"/>
    <cellStyle name="Percent 5 2 4 4 2 2" xfId="6282"/>
    <cellStyle name="Percent 5 2 4 4 2 3" xfId="8482"/>
    <cellStyle name="Percent 5 2 4 4 3" xfId="6281"/>
    <cellStyle name="Percent 5 2 4 4 4" xfId="8481"/>
    <cellStyle name="Percent 5 2 4 5" xfId="2710"/>
    <cellStyle name="Percent 5 2 4 5 2" xfId="2711"/>
    <cellStyle name="Percent 5 2 4 5 2 2" xfId="6284"/>
    <cellStyle name="Percent 5 2 4 5 2 3" xfId="8484"/>
    <cellStyle name="Percent 5 2 4 5 3" xfId="2712"/>
    <cellStyle name="Percent 5 2 4 5 3 2" xfId="6285"/>
    <cellStyle name="Percent 5 2 4 5 3 3" xfId="8485"/>
    <cellStyle name="Percent 5 2 4 5 4" xfId="2713"/>
    <cellStyle name="Percent 5 2 4 5 4 2" xfId="2714"/>
    <cellStyle name="Percent 5 2 4 5 4 2 2" xfId="2715"/>
    <cellStyle name="Percent 5 2 4 5 4 2 2 2" xfId="6288"/>
    <cellStyle name="Percent 5 2 4 5 4 2 2 3" xfId="8488"/>
    <cellStyle name="Percent 5 2 4 5 4 2 3" xfId="2716"/>
    <cellStyle name="Percent 5 2 4 5 4 2 3 2" xfId="2717"/>
    <cellStyle name="Percent 5 2 4 5 4 2 3 2 2" xfId="6290"/>
    <cellStyle name="Percent 5 2 4 5 4 2 3 2 3" xfId="8490"/>
    <cellStyle name="Percent 5 2 4 5 4 2 3 3" xfId="2718"/>
    <cellStyle name="Percent 5 2 4 5 4 2 3 3 2" xfId="2719"/>
    <cellStyle name="Percent 5 2 4 5 4 2 3 3 2 2" xfId="6292"/>
    <cellStyle name="Percent 5 2 4 5 4 2 3 3 2 3" xfId="8492"/>
    <cellStyle name="Percent 5 2 4 5 4 2 3 3 3" xfId="2720"/>
    <cellStyle name="Percent 5 2 4 5 4 2 3 3 3 2" xfId="6293"/>
    <cellStyle name="Percent 5 2 4 5 4 2 3 3 3 3" xfId="8493"/>
    <cellStyle name="Percent 5 2 4 5 4 2 3 3 4" xfId="2721"/>
    <cellStyle name="Percent 5 2 4 5 4 2 3 3 4 2" xfId="2722"/>
    <cellStyle name="Percent 5 2 4 5 4 2 3 3 4 2 2" xfId="6295"/>
    <cellStyle name="Percent 5 2 4 5 4 2 3 3 4 2 3" xfId="8495"/>
    <cellStyle name="Percent 5 2 4 5 4 2 3 3 4 3" xfId="2723"/>
    <cellStyle name="Percent 5 2 4 5 4 2 3 3 4 3 2" xfId="6296"/>
    <cellStyle name="Percent 5 2 4 5 4 2 3 3 4 3 3" xfId="8496"/>
    <cellStyle name="Percent 5 2 4 5 4 2 3 3 4 4" xfId="6294"/>
    <cellStyle name="Percent 5 2 4 5 4 2 3 3 4 5" xfId="8494"/>
    <cellStyle name="Percent 5 2 4 5 4 2 3 3 5" xfId="6291"/>
    <cellStyle name="Percent 5 2 4 5 4 2 3 3 6" xfId="8491"/>
    <cellStyle name="Percent 5 2 4 5 4 2 3 4" xfId="6289"/>
    <cellStyle name="Percent 5 2 4 5 4 2 3 5" xfId="8489"/>
    <cellStyle name="Percent 5 2 4 5 4 2 4" xfId="6287"/>
    <cellStyle name="Percent 5 2 4 5 4 2 5" xfId="8487"/>
    <cellStyle name="Percent 5 2 4 5 4 3" xfId="2724"/>
    <cellStyle name="Percent 5 2 4 5 4 3 2" xfId="6297"/>
    <cellStyle name="Percent 5 2 4 5 4 3 3" xfId="8497"/>
    <cellStyle name="Percent 5 2 4 5 4 4" xfId="2725"/>
    <cellStyle name="Percent 5 2 4 5 4 4 2" xfId="2726"/>
    <cellStyle name="Percent 5 2 4 5 4 4 2 2" xfId="6299"/>
    <cellStyle name="Percent 5 2 4 5 4 4 2 3" xfId="8499"/>
    <cellStyle name="Percent 5 2 4 5 4 4 3" xfId="2727"/>
    <cellStyle name="Percent 5 2 4 5 4 4 3 2" xfId="2728"/>
    <cellStyle name="Percent 5 2 4 5 4 4 3 2 2" xfId="6301"/>
    <cellStyle name="Percent 5 2 4 5 4 4 3 2 3" xfId="8501"/>
    <cellStyle name="Percent 5 2 4 5 4 4 3 3" xfId="2729"/>
    <cellStyle name="Percent 5 2 4 5 4 4 3 3 2" xfId="6302"/>
    <cellStyle name="Percent 5 2 4 5 4 4 3 3 3" xfId="8502"/>
    <cellStyle name="Percent 5 2 4 5 4 4 3 4" xfId="2730"/>
    <cellStyle name="Percent 5 2 4 5 4 4 3 4 2" xfId="2731"/>
    <cellStyle name="Percent 5 2 4 5 4 4 3 4 2 2" xfId="6304"/>
    <cellStyle name="Percent 5 2 4 5 4 4 3 4 2 3" xfId="8504"/>
    <cellStyle name="Percent 5 2 4 5 4 4 3 4 3" xfId="2732"/>
    <cellStyle name="Percent 5 2 4 5 4 4 3 4 3 2" xfId="6305"/>
    <cellStyle name="Percent 5 2 4 5 4 4 3 4 3 3" xfId="8505"/>
    <cellStyle name="Percent 5 2 4 5 4 4 3 4 4" xfId="6303"/>
    <cellStyle name="Percent 5 2 4 5 4 4 3 4 5" xfId="8503"/>
    <cellStyle name="Percent 5 2 4 5 4 4 3 5" xfId="6300"/>
    <cellStyle name="Percent 5 2 4 5 4 4 3 6" xfId="8500"/>
    <cellStyle name="Percent 5 2 4 5 4 4 4" xfId="6298"/>
    <cellStyle name="Percent 5 2 4 5 4 4 5" xfId="8498"/>
    <cellStyle name="Percent 5 2 4 5 4 5" xfId="6286"/>
    <cellStyle name="Percent 5 2 4 5 4 6" xfId="8486"/>
    <cellStyle name="Percent 5 2 4 5 5" xfId="6283"/>
    <cellStyle name="Percent 5 2 4 5 6" xfId="8483"/>
    <cellStyle name="Percent 5 2 4 6" xfId="6252"/>
    <cellStyle name="Percent 5 2 4 7" xfId="8452"/>
    <cellStyle name="Percent 5 2 5" xfId="2733"/>
    <cellStyle name="Percent 5 2 5 2" xfId="2734"/>
    <cellStyle name="Percent 5 2 5 2 2" xfId="6307"/>
    <cellStyle name="Percent 5 2 5 2 3" xfId="8507"/>
    <cellStyle name="Percent 5 2 5 3" xfId="2735"/>
    <cellStyle name="Percent 5 2 5 3 2" xfId="2736"/>
    <cellStyle name="Percent 5 2 5 3 2 2" xfId="6309"/>
    <cellStyle name="Percent 5 2 5 3 2 3" xfId="8509"/>
    <cellStyle name="Percent 5 2 5 3 3" xfId="6308"/>
    <cellStyle name="Percent 5 2 5 3 4" xfId="8508"/>
    <cellStyle name="Percent 5 2 5 4" xfId="2737"/>
    <cellStyle name="Percent 5 2 5 4 2" xfId="2738"/>
    <cellStyle name="Percent 5 2 5 4 2 2" xfId="6311"/>
    <cellStyle name="Percent 5 2 5 4 2 3" xfId="8511"/>
    <cellStyle name="Percent 5 2 5 4 3" xfId="2739"/>
    <cellStyle name="Percent 5 2 5 4 3 2" xfId="6312"/>
    <cellStyle name="Percent 5 2 5 4 3 3" xfId="8512"/>
    <cellStyle name="Percent 5 2 5 4 4" xfId="2740"/>
    <cellStyle name="Percent 5 2 5 4 4 2" xfId="2741"/>
    <cellStyle name="Percent 5 2 5 4 4 2 2" xfId="2742"/>
    <cellStyle name="Percent 5 2 5 4 4 2 2 2" xfId="6315"/>
    <cellStyle name="Percent 5 2 5 4 4 2 2 3" xfId="8515"/>
    <cellStyle name="Percent 5 2 5 4 4 2 3" xfId="2743"/>
    <cellStyle name="Percent 5 2 5 4 4 2 3 2" xfId="2744"/>
    <cellStyle name="Percent 5 2 5 4 4 2 3 2 2" xfId="6317"/>
    <cellStyle name="Percent 5 2 5 4 4 2 3 2 3" xfId="8517"/>
    <cellStyle name="Percent 5 2 5 4 4 2 3 3" xfId="2745"/>
    <cellStyle name="Percent 5 2 5 4 4 2 3 3 2" xfId="2746"/>
    <cellStyle name="Percent 5 2 5 4 4 2 3 3 2 2" xfId="6319"/>
    <cellStyle name="Percent 5 2 5 4 4 2 3 3 2 3" xfId="8519"/>
    <cellStyle name="Percent 5 2 5 4 4 2 3 3 3" xfId="2747"/>
    <cellStyle name="Percent 5 2 5 4 4 2 3 3 3 2" xfId="6320"/>
    <cellStyle name="Percent 5 2 5 4 4 2 3 3 3 3" xfId="8520"/>
    <cellStyle name="Percent 5 2 5 4 4 2 3 3 4" xfId="2748"/>
    <cellStyle name="Percent 5 2 5 4 4 2 3 3 4 2" xfId="2749"/>
    <cellStyle name="Percent 5 2 5 4 4 2 3 3 4 2 2" xfId="6322"/>
    <cellStyle name="Percent 5 2 5 4 4 2 3 3 4 2 3" xfId="8522"/>
    <cellStyle name="Percent 5 2 5 4 4 2 3 3 4 3" xfId="2750"/>
    <cellStyle name="Percent 5 2 5 4 4 2 3 3 4 3 2" xfId="6323"/>
    <cellStyle name="Percent 5 2 5 4 4 2 3 3 4 3 3" xfId="8523"/>
    <cellStyle name="Percent 5 2 5 4 4 2 3 3 4 4" xfId="6321"/>
    <cellStyle name="Percent 5 2 5 4 4 2 3 3 4 5" xfId="8521"/>
    <cellStyle name="Percent 5 2 5 4 4 2 3 3 5" xfId="6318"/>
    <cellStyle name="Percent 5 2 5 4 4 2 3 3 6" xfId="8518"/>
    <cellStyle name="Percent 5 2 5 4 4 2 3 4" xfId="6316"/>
    <cellStyle name="Percent 5 2 5 4 4 2 3 5" xfId="8516"/>
    <cellStyle name="Percent 5 2 5 4 4 2 4" xfId="6314"/>
    <cellStyle name="Percent 5 2 5 4 4 2 5" xfId="8514"/>
    <cellStyle name="Percent 5 2 5 4 4 3" xfId="2751"/>
    <cellStyle name="Percent 5 2 5 4 4 3 2" xfId="6324"/>
    <cellStyle name="Percent 5 2 5 4 4 3 3" xfId="8524"/>
    <cellStyle name="Percent 5 2 5 4 4 4" xfId="2752"/>
    <cellStyle name="Percent 5 2 5 4 4 4 2" xfId="2753"/>
    <cellStyle name="Percent 5 2 5 4 4 4 2 2" xfId="6326"/>
    <cellStyle name="Percent 5 2 5 4 4 4 2 3" xfId="8526"/>
    <cellStyle name="Percent 5 2 5 4 4 4 3" xfId="2754"/>
    <cellStyle name="Percent 5 2 5 4 4 4 3 2" xfId="2755"/>
    <cellStyle name="Percent 5 2 5 4 4 4 3 2 2" xfId="6328"/>
    <cellStyle name="Percent 5 2 5 4 4 4 3 2 3" xfId="8528"/>
    <cellStyle name="Percent 5 2 5 4 4 4 3 3" xfId="2756"/>
    <cellStyle name="Percent 5 2 5 4 4 4 3 3 2" xfId="6329"/>
    <cellStyle name="Percent 5 2 5 4 4 4 3 3 3" xfId="8529"/>
    <cellStyle name="Percent 5 2 5 4 4 4 3 4" xfId="2757"/>
    <cellStyle name="Percent 5 2 5 4 4 4 3 4 2" xfId="2758"/>
    <cellStyle name="Percent 5 2 5 4 4 4 3 4 2 2" xfId="6331"/>
    <cellStyle name="Percent 5 2 5 4 4 4 3 4 2 3" xfId="8531"/>
    <cellStyle name="Percent 5 2 5 4 4 4 3 4 3" xfId="2759"/>
    <cellStyle name="Percent 5 2 5 4 4 4 3 4 3 2" xfId="6332"/>
    <cellStyle name="Percent 5 2 5 4 4 4 3 4 3 3" xfId="8532"/>
    <cellStyle name="Percent 5 2 5 4 4 4 3 4 4" xfId="6330"/>
    <cellStyle name="Percent 5 2 5 4 4 4 3 4 5" xfId="8530"/>
    <cellStyle name="Percent 5 2 5 4 4 4 3 5" xfId="6327"/>
    <cellStyle name="Percent 5 2 5 4 4 4 3 6" xfId="8527"/>
    <cellStyle name="Percent 5 2 5 4 4 4 4" xfId="6325"/>
    <cellStyle name="Percent 5 2 5 4 4 4 5" xfId="8525"/>
    <cellStyle name="Percent 5 2 5 4 4 5" xfId="6313"/>
    <cellStyle name="Percent 5 2 5 4 4 6" xfId="8513"/>
    <cellStyle name="Percent 5 2 5 4 5" xfId="6310"/>
    <cellStyle name="Percent 5 2 5 4 6" xfId="8510"/>
    <cellStyle name="Percent 5 2 5 5" xfId="6306"/>
    <cellStyle name="Percent 5 2 5 6" xfId="8506"/>
    <cellStyle name="Percent 5 2 6" xfId="2760"/>
    <cellStyle name="Percent 5 2 6 2" xfId="2761"/>
    <cellStyle name="Percent 5 2 6 2 2" xfId="6334"/>
    <cellStyle name="Percent 5 2 6 2 3" xfId="8534"/>
    <cellStyle name="Percent 5 2 6 3" xfId="6333"/>
    <cellStyle name="Percent 5 2 6 4" xfId="8533"/>
    <cellStyle name="Percent 5 2 7" xfId="2762"/>
    <cellStyle name="Percent 5 2 7 2" xfId="2763"/>
    <cellStyle name="Percent 5 2 7 2 2" xfId="6336"/>
    <cellStyle name="Percent 5 2 7 2 3" xfId="8536"/>
    <cellStyle name="Percent 5 2 7 3" xfId="2764"/>
    <cellStyle name="Percent 5 2 7 3 2" xfId="6337"/>
    <cellStyle name="Percent 5 2 7 3 3" xfId="8537"/>
    <cellStyle name="Percent 5 2 7 4" xfId="2765"/>
    <cellStyle name="Percent 5 2 7 4 2" xfId="2766"/>
    <cellStyle name="Percent 5 2 7 4 2 2" xfId="2767"/>
    <cellStyle name="Percent 5 2 7 4 2 2 2" xfId="6340"/>
    <cellStyle name="Percent 5 2 7 4 2 2 3" xfId="8540"/>
    <cellStyle name="Percent 5 2 7 4 2 3" xfId="2768"/>
    <cellStyle name="Percent 5 2 7 4 2 3 2" xfId="2769"/>
    <cellStyle name="Percent 5 2 7 4 2 3 2 2" xfId="6342"/>
    <cellStyle name="Percent 5 2 7 4 2 3 2 3" xfId="8542"/>
    <cellStyle name="Percent 5 2 7 4 2 3 3" xfId="2770"/>
    <cellStyle name="Percent 5 2 7 4 2 3 3 2" xfId="2771"/>
    <cellStyle name="Percent 5 2 7 4 2 3 3 2 2" xfId="6344"/>
    <cellStyle name="Percent 5 2 7 4 2 3 3 2 3" xfId="8544"/>
    <cellStyle name="Percent 5 2 7 4 2 3 3 3" xfId="2772"/>
    <cellStyle name="Percent 5 2 7 4 2 3 3 3 2" xfId="6345"/>
    <cellStyle name="Percent 5 2 7 4 2 3 3 3 3" xfId="8545"/>
    <cellStyle name="Percent 5 2 7 4 2 3 3 4" xfId="2773"/>
    <cellStyle name="Percent 5 2 7 4 2 3 3 4 2" xfId="2774"/>
    <cellStyle name="Percent 5 2 7 4 2 3 3 4 2 2" xfId="6347"/>
    <cellStyle name="Percent 5 2 7 4 2 3 3 4 2 3" xfId="8547"/>
    <cellStyle name="Percent 5 2 7 4 2 3 3 4 3" xfId="2775"/>
    <cellStyle name="Percent 5 2 7 4 2 3 3 4 3 2" xfId="6348"/>
    <cellStyle name="Percent 5 2 7 4 2 3 3 4 3 3" xfId="8548"/>
    <cellStyle name="Percent 5 2 7 4 2 3 3 4 4" xfId="6346"/>
    <cellStyle name="Percent 5 2 7 4 2 3 3 4 5" xfId="8546"/>
    <cellStyle name="Percent 5 2 7 4 2 3 3 5" xfId="6343"/>
    <cellStyle name="Percent 5 2 7 4 2 3 3 6" xfId="8543"/>
    <cellStyle name="Percent 5 2 7 4 2 3 4" xfId="6341"/>
    <cellStyle name="Percent 5 2 7 4 2 3 5" xfId="8541"/>
    <cellStyle name="Percent 5 2 7 4 2 4" xfId="6339"/>
    <cellStyle name="Percent 5 2 7 4 2 5" xfId="8539"/>
    <cellStyle name="Percent 5 2 7 4 3" xfId="2776"/>
    <cellStyle name="Percent 5 2 7 4 3 2" xfId="6349"/>
    <cellStyle name="Percent 5 2 7 4 3 3" xfId="8549"/>
    <cellStyle name="Percent 5 2 7 4 4" xfId="2777"/>
    <cellStyle name="Percent 5 2 7 4 4 2" xfId="2778"/>
    <cellStyle name="Percent 5 2 7 4 4 2 2" xfId="6351"/>
    <cellStyle name="Percent 5 2 7 4 4 2 3" xfId="8551"/>
    <cellStyle name="Percent 5 2 7 4 4 3" xfId="2779"/>
    <cellStyle name="Percent 5 2 7 4 4 3 2" xfId="2780"/>
    <cellStyle name="Percent 5 2 7 4 4 3 2 2" xfId="6353"/>
    <cellStyle name="Percent 5 2 7 4 4 3 2 3" xfId="8553"/>
    <cellStyle name="Percent 5 2 7 4 4 3 3" xfId="2781"/>
    <cellStyle name="Percent 5 2 7 4 4 3 3 2" xfId="6354"/>
    <cellStyle name="Percent 5 2 7 4 4 3 3 3" xfId="8554"/>
    <cellStyle name="Percent 5 2 7 4 4 3 4" xfId="2782"/>
    <cellStyle name="Percent 5 2 7 4 4 3 4 2" xfId="2783"/>
    <cellStyle name="Percent 5 2 7 4 4 3 4 2 2" xfId="6356"/>
    <cellStyle name="Percent 5 2 7 4 4 3 4 2 3" xfId="8556"/>
    <cellStyle name="Percent 5 2 7 4 4 3 4 3" xfId="2784"/>
    <cellStyle name="Percent 5 2 7 4 4 3 4 3 2" xfId="6357"/>
    <cellStyle name="Percent 5 2 7 4 4 3 4 3 3" xfId="8557"/>
    <cellStyle name="Percent 5 2 7 4 4 3 4 4" xfId="6355"/>
    <cellStyle name="Percent 5 2 7 4 4 3 4 5" xfId="8555"/>
    <cellStyle name="Percent 5 2 7 4 4 3 5" xfId="6352"/>
    <cellStyle name="Percent 5 2 7 4 4 3 6" xfId="8552"/>
    <cellStyle name="Percent 5 2 7 4 4 4" xfId="6350"/>
    <cellStyle name="Percent 5 2 7 4 4 5" xfId="8550"/>
    <cellStyle name="Percent 5 2 7 4 5" xfId="6338"/>
    <cellStyle name="Percent 5 2 7 4 6" xfId="8538"/>
    <cellStyle name="Percent 5 2 7 5" xfId="6335"/>
    <cellStyle name="Percent 5 2 7 6" xfId="8535"/>
    <cellStyle name="Percent 5 2 8" xfId="2785"/>
    <cellStyle name="Percent 5 2 8 2" xfId="6358"/>
    <cellStyle name="Percent 5 2 8 3" xfId="8558"/>
    <cellStyle name="Percent 5 2 9" xfId="6141"/>
    <cellStyle name="Percent 5 3" xfId="2786"/>
    <cellStyle name="Percent 5 3 2" xfId="2787"/>
    <cellStyle name="Percent 5 3 2 2" xfId="6360"/>
    <cellStyle name="Percent 5 3 2 3" xfId="8560"/>
    <cellStyle name="Percent 5 3 3" xfId="6359"/>
    <cellStyle name="Percent 5 3 4" xfId="8559"/>
    <cellStyle name="Percent 5 4" xfId="2788"/>
    <cellStyle name="Percent 5 4 2" xfId="2789"/>
    <cellStyle name="Percent 5 4 2 2" xfId="2790"/>
    <cellStyle name="Percent 5 4 2 2 2" xfId="2791"/>
    <cellStyle name="Percent 5 4 2 2 3" xfId="2792"/>
    <cellStyle name="Percent 5 4 2 3" xfId="2793"/>
    <cellStyle name="Percent 5 4 2 4" xfId="2794"/>
    <cellStyle name="Percent 5 4 2 4 2" xfId="2795"/>
    <cellStyle name="Percent 5 4 2 4 3" xfId="2796"/>
    <cellStyle name="Percent 5 4 2 4 3 2" xfId="2797"/>
    <cellStyle name="Percent 5 4 2 4 4" xfId="2798"/>
    <cellStyle name="Percent 5 4 2 4 4 2" xfId="2799"/>
    <cellStyle name="Percent 5 4 2 4 5" xfId="2800"/>
    <cellStyle name="Percent 5 4 2 4 5 2" xfId="2801"/>
    <cellStyle name="Percent 5 4 2 5" xfId="3409"/>
    <cellStyle name="Percent 5 4 3" xfId="2802"/>
    <cellStyle name="Percent 5 4 3 2" xfId="2803"/>
    <cellStyle name="Percent 5 4 3 3" xfId="2804"/>
    <cellStyle name="Percent 5 4 3 3 2" xfId="2805"/>
    <cellStyle name="Percent 5 4 4" xfId="2806"/>
    <cellStyle name="Percent 5 4 4 2" xfId="2807"/>
    <cellStyle name="Percent 5 4 4 3" xfId="2808"/>
    <cellStyle name="Percent 5 4 5" xfId="2809"/>
    <cellStyle name="Percent 5 4 5 2" xfId="2810"/>
    <cellStyle name="Percent 5 4 6" xfId="2811"/>
    <cellStyle name="Percent 5 4 6 2" xfId="3410"/>
    <cellStyle name="Percent 5 4 6 3" xfId="6361"/>
    <cellStyle name="Percent 5 4 7" xfId="2812"/>
    <cellStyle name="Percent 5 4 7 2" xfId="6362"/>
    <cellStyle name="Percent 5 4 8" xfId="4006"/>
    <cellStyle name="Percent 5 4 8 2" xfId="6363"/>
    <cellStyle name="Percent 5 4 8 2 2" xfId="7054"/>
    <cellStyle name="Percent 5 4 8 2 3" xfId="10706"/>
    <cellStyle name="Percent 5 4 8 2 3 2" xfId="17689"/>
    <cellStyle name="Percent 5 4 8 2 3 2 2" xfId="24656"/>
    <cellStyle name="Percent 5 4 8 2 3 2 3" xfId="31623"/>
    <cellStyle name="Percent 5 4 8 2 3 2 4" xfId="38592"/>
    <cellStyle name="Percent 5 4 8 2 3 3" xfId="13047"/>
    <cellStyle name="Percent 5 4 8 2 3 4" xfId="20014"/>
    <cellStyle name="Percent 5 4 8 2 3 5" xfId="26981"/>
    <cellStyle name="Percent 5 4 8 2 3 6" xfId="33949"/>
    <cellStyle name="Percent 5 4 8 2 4" xfId="15369"/>
    <cellStyle name="Percent 5 4 8 2 4 2" xfId="22336"/>
    <cellStyle name="Percent 5 4 8 2 4 3" xfId="29303"/>
    <cellStyle name="Percent 5 4 8 2 4 4" xfId="36272"/>
    <cellStyle name="Percent 5 4 8 3" xfId="7053"/>
    <cellStyle name="Percent 5 4 8 4" xfId="9612"/>
    <cellStyle name="Percent 5 4 8 4 2" xfId="16648"/>
    <cellStyle name="Percent 5 4 8 4 2 2" xfId="23615"/>
    <cellStyle name="Percent 5 4 8 4 2 3" xfId="30582"/>
    <cellStyle name="Percent 5 4 8 4 2 4" xfId="37551"/>
    <cellStyle name="Percent 5 4 8 4 3" xfId="12006"/>
    <cellStyle name="Percent 5 4 8 4 4" xfId="18973"/>
    <cellStyle name="Percent 5 4 8 4 5" xfId="25940"/>
    <cellStyle name="Percent 5 4 8 4 6" xfId="32908"/>
    <cellStyle name="Percent 5 4 8 5" xfId="14328"/>
    <cellStyle name="Percent 5 4 8 5 2" xfId="21295"/>
    <cellStyle name="Percent 5 4 8 5 3" xfId="28262"/>
    <cellStyle name="Percent 5 4 8 5 4" xfId="35231"/>
    <cellStyle name="Percent 5 4 9" xfId="7055"/>
    <cellStyle name="Percent 5 5" xfId="2813"/>
    <cellStyle name="Percent 5 5 2" xfId="6364"/>
    <cellStyle name="Percent 5 5 3" xfId="8561"/>
    <cellStyle name="Percent 5 6" xfId="2814"/>
    <cellStyle name="Percent 5 6 2" xfId="7056"/>
    <cellStyle name="Percent 5 7" xfId="2815"/>
    <cellStyle name="Percent 5 7 2" xfId="2816"/>
    <cellStyle name="Percent 5 7 3" xfId="2817"/>
    <cellStyle name="Percent 5 8" xfId="3411"/>
    <cellStyle name="Percent 5 8 2" xfId="6365"/>
    <cellStyle name="Percent 5 9" xfId="8340"/>
    <cellStyle name="Percent 6" xfId="2818"/>
    <cellStyle name="Percent 6 10" xfId="6366"/>
    <cellStyle name="Percent 6 11" xfId="8562"/>
    <cellStyle name="Percent 6 2" xfId="2819"/>
    <cellStyle name="Percent 6 2 10" xfId="6367"/>
    <cellStyle name="Percent 6 2 11" xfId="8563"/>
    <cellStyle name="Percent 6 2 2" xfId="2820"/>
    <cellStyle name="Percent 6 2 2 2" xfId="6368"/>
    <cellStyle name="Percent 6 2 2 3" xfId="8564"/>
    <cellStyle name="Percent 6 2 3" xfId="2821"/>
    <cellStyle name="Percent 6 2 3 2" xfId="6369"/>
    <cellStyle name="Percent 6 2 3 3" xfId="8565"/>
    <cellStyle name="Percent 6 2 4" xfId="2822"/>
    <cellStyle name="Percent 6 2 4 2" xfId="2823"/>
    <cellStyle name="Percent 6 2 4 2 2" xfId="6371"/>
    <cellStyle name="Percent 6 2 4 2 3" xfId="8567"/>
    <cellStyle name="Percent 6 2 4 3" xfId="2824"/>
    <cellStyle name="Percent 6 2 4 3 2" xfId="2825"/>
    <cellStyle name="Percent 6 2 4 3 2 2" xfId="6373"/>
    <cellStyle name="Percent 6 2 4 3 2 3" xfId="8569"/>
    <cellStyle name="Percent 6 2 4 3 3" xfId="2826"/>
    <cellStyle name="Percent 6 2 4 3 3 2" xfId="2827"/>
    <cellStyle name="Percent 6 2 4 3 3 2 2" xfId="6375"/>
    <cellStyle name="Percent 6 2 4 3 3 2 3" xfId="8571"/>
    <cellStyle name="Percent 6 2 4 3 3 3" xfId="6374"/>
    <cellStyle name="Percent 6 2 4 3 3 4" xfId="8570"/>
    <cellStyle name="Percent 6 2 4 3 4" xfId="2828"/>
    <cellStyle name="Percent 6 2 4 3 4 2" xfId="2829"/>
    <cellStyle name="Percent 6 2 4 3 4 2 2" xfId="6377"/>
    <cellStyle name="Percent 6 2 4 3 4 2 3" xfId="8573"/>
    <cellStyle name="Percent 6 2 4 3 4 3" xfId="2830"/>
    <cellStyle name="Percent 6 2 4 3 4 3 2" xfId="6378"/>
    <cellStyle name="Percent 6 2 4 3 4 3 3" xfId="8574"/>
    <cellStyle name="Percent 6 2 4 3 4 4" xfId="2831"/>
    <cellStyle name="Percent 6 2 4 3 4 4 2" xfId="2832"/>
    <cellStyle name="Percent 6 2 4 3 4 4 2 2" xfId="2833"/>
    <cellStyle name="Percent 6 2 4 3 4 4 2 2 2" xfId="6381"/>
    <cellStyle name="Percent 6 2 4 3 4 4 2 2 3" xfId="8577"/>
    <cellStyle name="Percent 6 2 4 3 4 4 2 3" xfId="2834"/>
    <cellStyle name="Percent 6 2 4 3 4 4 2 3 2" xfId="2835"/>
    <cellStyle name="Percent 6 2 4 3 4 4 2 3 2 2" xfId="6383"/>
    <cellStyle name="Percent 6 2 4 3 4 4 2 3 2 3" xfId="8579"/>
    <cellStyle name="Percent 6 2 4 3 4 4 2 3 3" xfId="2836"/>
    <cellStyle name="Percent 6 2 4 3 4 4 2 3 3 2" xfId="2837"/>
    <cellStyle name="Percent 6 2 4 3 4 4 2 3 3 2 2" xfId="6385"/>
    <cellStyle name="Percent 6 2 4 3 4 4 2 3 3 2 3" xfId="8581"/>
    <cellStyle name="Percent 6 2 4 3 4 4 2 3 3 3" xfId="2838"/>
    <cellStyle name="Percent 6 2 4 3 4 4 2 3 3 3 2" xfId="6386"/>
    <cellStyle name="Percent 6 2 4 3 4 4 2 3 3 3 3" xfId="8582"/>
    <cellStyle name="Percent 6 2 4 3 4 4 2 3 3 4" xfId="2839"/>
    <cellStyle name="Percent 6 2 4 3 4 4 2 3 3 4 2" xfId="2840"/>
    <cellStyle name="Percent 6 2 4 3 4 4 2 3 3 4 2 2" xfId="6388"/>
    <cellStyle name="Percent 6 2 4 3 4 4 2 3 3 4 2 3" xfId="8584"/>
    <cellStyle name="Percent 6 2 4 3 4 4 2 3 3 4 3" xfId="2841"/>
    <cellStyle name="Percent 6 2 4 3 4 4 2 3 3 4 3 2" xfId="6389"/>
    <cellStyle name="Percent 6 2 4 3 4 4 2 3 3 4 3 3" xfId="8585"/>
    <cellStyle name="Percent 6 2 4 3 4 4 2 3 3 4 4" xfId="6387"/>
    <cellStyle name="Percent 6 2 4 3 4 4 2 3 3 4 5" xfId="8583"/>
    <cellStyle name="Percent 6 2 4 3 4 4 2 3 3 5" xfId="6384"/>
    <cellStyle name="Percent 6 2 4 3 4 4 2 3 3 6" xfId="8580"/>
    <cellStyle name="Percent 6 2 4 3 4 4 2 3 4" xfId="6382"/>
    <cellStyle name="Percent 6 2 4 3 4 4 2 3 5" xfId="8578"/>
    <cellStyle name="Percent 6 2 4 3 4 4 2 4" xfId="6380"/>
    <cellStyle name="Percent 6 2 4 3 4 4 2 5" xfId="8576"/>
    <cellStyle name="Percent 6 2 4 3 4 4 3" xfId="2842"/>
    <cellStyle name="Percent 6 2 4 3 4 4 3 2" xfId="6390"/>
    <cellStyle name="Percent 6 2 4 3 4 4 3 3" xfId="8586"/>
    <cellStyle name="Percent 6 2 4 3 4 4 4" xfId="2843"/>
    <cellStyle name="Percent 6 2 4 3 4 4 4 2" xfId="2844"/>
    <cellStyle name="Percent 6 2 4 3 4 4 4 2 2" xfId="6392"/>
    <cellStyle name="Percent 6 2 4 3 4 4 4 2 3" xfId="8588"/>
    <cellStyle name="Percent 6 2 4 3 4 4 4 3" xfId="2845"/>
    <cellStyle name="Percent 6 2 4 3 4 4 4 3 2" xfId="2846"/>
    <cellStyle name="Percent 6 2 4 3 4 4 4 3 2 2" xfId="6394"/>
    <cellStyle name="Percent 6 2 4 3 4 4 4 3 2 3" xfId="8590"/>
    <cellStyle name="Percent 6 2 4 3 4 4 4 3 3" xfId="2847"/>
    <cellStyle name="Percent 6 2 4 3 4 4 4 3 3 2" xfId="6395"/>
    <cellStyle name="Percent 6 2 4 3 4 4 4 3 3 3" xfId="8591"/>
    <cellStyle name="Percent 6 2 4 3 4 4 4 3 4" xfId="2848"/>
    <cellStyle name="Percent 6 2 4 3 4 4 4 3 4 2" xfId="2849"/>
    <cellStyle name="Percent 6 2 4 3 4 4 4 3 4 2 2" xfId="6397"/>
    <cellStyle name="Percent 6 2 4 3 4 4 4 3 4 2 3" xfId="8593"/>
    <cellStyle name="Percent 6 2 4 3 4 4 4 3 4 3" xfId="2850"/>
    <cellStyle name="Percent 6 2 4 3 4 4 4 3 4 3 2" xfId="6398"/>
    <cellStyle name="Percent 6 2 4 3 4 4 4 3 4 3 3" xfId="8594"/>
    <cellStyle name="Percent 6 2 4 3 4 4 4 3 4 4" xfId="6396"/>
    <cellStyle name="Percent 6 2 4 3 4 4 4 3 4 5" xfId="8592"/>
    <cellStyle name="Percent 6 2 4 3 4 4 4 3 5" xfId="6393"/>
    <cellStyle name="Percent 6 2 4 3 4 4 4 3 6" xfId="8589"/>
    <cellStyle name="Percent 6 2 4 3 4 4 4 4" xfId="6391"/>
    <cellStyle name="Percent 6 2 4 3 4 4 4 5" xfId="8587"/>
    <cellStyle name="Percent 6 2 4 3 4 4 5" xfId="6379"/>
    <cellStyle name="Percent 6 2 4 3 4 4 6" xfId="8575"/>
    <cellStyle name="Percent 6 2 4 3 4 5" xfId="6376"/>
    <cellStyle name="Percent 6 2 4 3 4 6" xfId="8572"/>
    <cellStyle name="Percent 6 2 4 3 5" xfId="6372"/>
    <cellStyle name="Percent 6 2 4 3 6" xfId="8568"/>
    <cellStyle name="Percent 6 2 4 4" xfId="2851"/>
    <cellStyle name="Percent 6 2 4 4 2" xfId="2852"/>
    <cellStyle name="Percent 6 2 4 4 2 2" xfId="6400"/>
    <cellStyle name="Percent 6 2 4 4 2 3" xfId="8596"/>
    <cellStyle name="Percent 6 2 4 4 3" xfId="6399"/>
    <cellStyle name="Percent 6 2 4 4 4" xfId="8595"/>
    <cellStyle name="Percent 6 2 4 5" xfId="2853"/>
    <cellStyle name="Percent 6 2 4 5 2" xfId="2854"/>
    <cellStyle name="Percent 6 2 4 5 2 2" xfId="6402"/>
    <cellStyle name="Percent 6 2 4 5 2 3" xfId="8598"/>
    <cellStyle name="Percent 6 2 4 5 3" xfId="2855"/>
    <cellStyle name="Percent 6 2 4 5 3 2" xfId="6403"/>
    <cellStyle name="Percent 6 2 4 5 3 3" xfId="8599"/>
    <cellStyle name="Percent 6 2 4 5 4" xfId="2856"/>
    <cellStyle name="Percent 6 2 4 5 4 2" xfId="2857"/>
    <cellStyle name="Percent 6 2 4 5 4 2 2" xfId="2858"/>
    <cellStyle name="Percent 6 2 4 5 4 2 2 2" xfId="6406"/>
    <cellStyle name="Percent 6 2 4 5 4 2 2 3" xfId="8602"/>
    <cellStyle name="Percent 6 2 4 5 4 2 3" xfId="2859"/>
    <cellStyle name="Percent 6 2 4 5 4 2 3 2" xfId="2860"/>
    <cellStyle name="Percent 6 2 4 5 4 2 3 2 2" xfId="6408"/>
    <cellStyle name="Percent 6 2 4 5 4 2 3 2 3" xfId="8604"/>
    <cellStyle name="Percent 6 2 4 5 4 2 3 3" xfId="2861"/>
    <cellStyle name="Percent 6 2 4 5 4 2 3 3 2" xfId="2862"/>
    <cellStyle name="Percent 6 2 4 5 4 2 3 3 2 2" xfId="6410"/>
    <cellStyle name="Percent 6 2 4 5 4 2 3 3 2 3" xfId="8606"/>
    <cellStyle name="Percent 6 2 4 5 4 2 3 3 3" xfId="2863"/>
    <cellStyle name="Percent 6 2 4 5 4 2 3 3 3 2" xfId="6411"/>
    <cellStyle name="Percent 6 2 4 5 4 2 3 3 3 3" xfId="8607"/>
    <cellStyle name="Percent 6 2 4 5 4 2 3 3 4" xfId="2864"/>
    <cellStyle name="Percent 6 2 4 5 4 2 3 3 4 2" xfId="2865"/>
    <cellStyle name="Percent 6 2 4 5 4 2 3 3 4 2 2" xfId="6413"/>
    <cellStyle name="Percent 6 2 4 5 4 2 3 3 4 2 3" xfId="8609"/>
    <cellStyle name="Percent 6 2 4 5 4 2 3 3 4 3" xfId="2866"/>
    <cellStyle name="Percent 6 2 4 5 4 2 3 3 4 3 2" xfId="6414"/>
    <cellStyle name="Percent 6 2 4 5 4 2 3 3 4 3 3" xfId="8610"/>
    <cellStyle name="Percent 6 2 4 5 4 2 3 3 4 4" xfId="6412"/>
    <cellStyle name="Percent 6 2 4 5 4 2 3 3 4 5" xfId="8608"/>
    <cellStyle name="Percent 6 2 4 5 4 2 3 3 5" xfId="6409"/>
    <cellStyle name="Percent 6 2 4 5 4 2 3 3 6" xfId="8605"/>
    <cellStyle name="Percent 6 2 4 5 4 2 3 4" xfId="6407"/>
    <cellStyle name="Percent 6 2 4 5 4 2 3 5" xfId="8603"/>
    <cellStyle name="Percent 6 2 4 5 4 2 4" xfId="6405"/>
    <cellStyle name="Percent 6 2 4 5 4 2 5" xfId="8601"/>
    <cellStyle name="Percent 6 2 4 5 4 3" xfId="2867"/>
    <cellStyle name="Percent 6 2 4 5 4 3 2" xfId="6415"/>
    <cellStyle name="Percent 6 2 4 5 4 3 3" xfId="8611"/>
    <cellStyle name="Percent 6 2 4 5 4 4" xfId="2868"/>
    <cellStyle name="Percent 6 2 4 5 4 4 2" xfId="2869"/>
    <cellStyle name="Percent 6 2 4 5 4 4 2 2" xfId="6417"/>
    <cellStyle name="Percent 6 2 4 5 4 4 2 3" xfId="8613"/>
    <cellStyle name="Percent 6 2 4 5 4 4 3" xfId="2870"/>
    <cellStyle name="Percent 6 2 4 5 4 4 3 2" xfId="2871"/>
    <cellStyle name="Percent 6 2 4 5 4 4 3 2 2" xfId="6419"/>
    <cellStyle name="Percent 6 2 4 5 4 4 3 2 3" xfId="8615"/>
    <cellStyle name="Percent 6 2 4 5 4 4 3 3" xfId="2872"/>
    <cellStyle name="Percent 6 2 4 5 4 4 3 3 2" xfId="6420"/>
    <cellStyle name="Percent 6 2 4 5 4 4 3 3 3" xfId="8616"/>
    <cellStyle name="Percent 6 2 4 5 4 4 3 4" xfId="2873"/>
    <cellStyle name="Percent 6 2 4 5 4 4 3 4 2" xfId="2874"/>
    <cellStyle name="Percent 6 2 4 5 4 4 3 4 2 2" xfId="6422"/>
    <cellStyle name="Percent 6 2 4 5 4 4 3 4 2 3" xfId="8618"/>
    <cellStyle name="Percent 6 2 4 5 4 4 3 4 3" xfId="2875"/>
    <cellStyle name="Percent 6 2 4 5 4 4 3 4 3 2" xfId="6423"/>
    <cellStyle name="Percent 6 2 4 5 4 4 3 4 3 3" xfId="8619"/>
    <cellStyle name="Percent 6 2 4 5 4 4 3 4 4" xfId="6421"/>
    <cellStyle name="Percent 6 2 4 5 4 4 3 4 5" xfId="8617"/>
    <cellStyle name="Percent 6 2 4 5 4 4 3 5" xfId="6418"/>
    <cellStyle name="Percent 6 2 4 5 4 4 3 6" xfId="8614"/>
    <cellStyle name="Percent 6 2 4 5 4 4 4" xfId="6416"/>
    <cellStyle name="Percent 6 2 4 5 4 4 5" xfId="8612"/>
    <cellStyle name="Percent 6 2 4 5 4 5" xfId="6404"/>
    <cellStyle name="Percent 6 2 4 5 4 6" xfId="8600"/>
    <cellStyle name="Percent 6 2 4 5 5" xfId="6401"/>
    <cellStyle name="Percent 6 2 4 5 6" xfId="8597"/>
    <cellStyle name="Percent 6 2 4 6" xfId="6370"/>
    <cellStyle name="Percent 6 2 4 7" xfId="8566"/>
    <cellStyle name="Percent 6 2 5" xfId="2876"/>
    <cellStyle name="Percent 6 2 5 2" xfId="2877"/>
    <cellStyle name="Percent 6 2 5 2 2" xfId="6425"/>
    <cellStyle name="Percent 6 2 5 2 3" xfId="8621"/>
    <cellStyle name="Percent 6 2 5 3" xfId="2878"/>
    <cellStyle name="Percent 6 2 5 3 2" xfId="2879"/>
    <cellStyle name="Percent 6 2 5 3 2 2" xfId="6427"/>
    <cellStyle name="Percent 6 2 5 3 2 3" xfId="8623"/>
    <cellStyle name="Percent 6 2 5 3 3" xfId="6426"/>
    <cellStyle name="Percent 6 2 5 3 4" xfId="8622"/>
    <cellStyle name="Percent 6 2 5 4" xfId="2880"/>
    <cellStyle name="Percent 6 2 5 4 2" xfId="2881"/>
    <cellStyle name="Percent 6 2 5 4 2 2" xfId="6429"/>
    <cellStyle name="Percent 6 2 5 4 2 3" xfId="8625"/>
    <cellStyle name="Percent 6 2 5 4 3" xfId="2882"/>
    <cellStyle name="Percent 6 2 5 4 3 2" xfId="6430"/>
    <cellStyle name="Percent 6 2 5 4 3 3" xfId="8626"/>
    <cellStyle name="Percent 6 2 5 4 4" xfId="2883"/>
    <cellStyle name="Percent 6 2 5 4 4 2" xfId="2884"/>
    <cellStyle name="Percent 6 2 5 4 4 2 2" xfId="2885"/>
    <cellStyle name="Percent 6 2 5 4 4 2 2 2" xfId="6433"/>
    <cellStyle name="Percent 6 2 5 4 4 2 2 3" xfId="8629"/>
    <cellStyle name="Percent 6 2 5 4 4 2 3" xfId="2886"/>
    <cellStyle name="Percent 6 2 5 4 4 2 3 2" xfId="2887"/>
    <cellStyle name="Percent 6 2 5 4 4 2 3 2 2" xfId="6435"/>
    <cellStyle name="Percent 6 2 5 4 4 2 3 2 3" xfId="8631"/>
    <cellStyle name="Percent 6 2 5 4 4 2 3 3" xfId="2888"/>
    <cellStyle name="Percent 6 2 5 4 4 2 3 3 2" xfId="2889"/>
    <cellStyle name="Percent 6 2 5 4 4 2 3 3 2 2" xfId="6437"/>
    <cellStyle name="Percent 6 2 5 4 4 2 3 3 2 3" xfId="8633"/>
    <cellStyle name="Percent 6 2 5 4 4 2 3 3 3" xfId="2890"/>
    <cellStyle name="Percent 6 2 5 4 4 2 3 3 3 2" xfId="6438"/>
    <cellStyle name="Percent 6 2 5 4 4 2 3 3 3 3" xfId="8634"/>
    <cellStyle name="Percent 6 2 5 4 4 2 3 3 4" xfId="2891"/>
    <cellStyle name="Percent 6 2 5 4 4 2 3 3 4 2" xfId="2892"/>
    <cellStyle name="Percent 6 2 5 4 4 2 3 3 4 2 2" xfId="6440"/>
    <cellStyle name="Percent 6 2 5 4 4 2 3 3 4 2 3" xfId="8636"/>
    <cellStyle name="Percent 6 2 5 4 4 2 3 3 4 3" xfId="2893"/>
    <cellStyle name="Percent 6 2 5 4 4 2 3 3 4 3 2" xfId="6441"/>
    <cellStyle name="Percent 6 2 5 4 4 2 3 3 4 3 3" xfId="8637"/>
    <cellStyle name="Percent 6 2 5 4 4 2 3 3 4 4" xfId="6439"/>
    <cellStyle name="Percent 6 2 5 4 4 2 3 3 4 5" xfId="8635"/>
    <cellStyle name="Percent 6 2 5 4 4 2 3 3 5" xfId="6436"/>
    <cellStyle name="Percent 6 2 5 4 4 2 3 3 6" xfId="8632"/>
    <cellStyle name="Percent 6 2 5 4 4 2 3 4" xfId="6434"/>
    <cellStyle name="Percent 6 2 5 4 4 2 3 5" xfId="8630"/>
    <cellStyle name="Percent 6 2 5 4 4 2 4" xfId="6432"/>
    <cellStyle name="Percent 6 2 5 4 4 2 5" xfId="8628"/>
    <cellStyle name="Percent 6 2 5 4 4 3" xfId="2894"/>
    <cellStyle name="Percent 6 2 5 4 4 3 2" xfId="6442"/>
    <cellStyle name="Percent 6 2 5 4 4 3 3" xfId="8638"/>
    <cellStyle name="Percent 6 2 5 4 4 4" xfId="2895"/>
    <cellStyle name="Percent 6 2 5 4 4 4 2" xfId="2896"/>
    <cellStyle name="Percent 6 2 5 4 4 4 2 2" xfId="6444"/>
    <cellStyle name="Percent 6 2 5 4 4 4 2 3" xfId="8640"/>
    <cellStyle name="Percent 6 2 5 4 4 4 3" xfId="2897"/>
    <cellStyle name="Percent 6 2 5 4 4 4 3 2" xfId="2898"/>
    <cellStyle name="Percent 6 2 5 4 4 4 3 2 2" xfId="6446"/>
    <cellStyle name="Percent 6 2 5 4 4 4 3 2 3" xfId="8642"/>
    <cellStyle name="Percent 6 2 5 4 4 4 3 3" xfId="2899"/>
    <cellStyle name="Percent 6 2 5 4 4 4 3 3 2" xfId="6447"/>
    <cellStyle name="Percent 6 2 5 4 4 4 3 3 3" xfId="8643"/>
    <cellStyle name="Percent 6 2 5 4 4 4 3 4" xfId="2900"/>
    <cellStyle name="Percent 6 2 5 4 4 4 3 4 2" xfId="2901"/>
    <cellStyle name="Percent 6 2 5 4 4 4 3 4 2 2" xfId="6449"/>
    <cellStyle name="Percent 6 2 5 4 4 4 3 4 2 3" xfId="8645"/>
    <cellStyle name="Percent 6 2 5 4 4 4 3 4 3" xfId="2902"/>
    <cellStyle name="Percent 6 2 5 4 4 4 3 4 3 2" xfId="6450"/>
    <cellStyle name="Percent 6 2 5 4 4 4 3 4 3 3" xfId="8646"/>
    <cellStyle name="Percent 6 2 5 4 4 4 3 4 4" xfId="6448"/>
    <cellStyle name="Percent 6 2 5 4 4 4 3 4 5" xfId="8644"/>
    <cellStyle name="Percent 6 2 5 4 4 4 3 5" xfId="6445"/>
    <cellStyle name="Percent 6 2 5 4 4 4 3 6" xfId="8641"/>
    <cellStyle name="Percent 6 2 5 4 4 4 4" xfId="6443"/>
    <cellStyle name="Percent 6 2 5 4 4 4 5" xfId="8639"/>
    <cellStyle name="Percent 6 2 5 4 4 5" xfId="6431"/>
    <cellStyle name="Percent 6 2 5 4 4 6" xfId="8627"/>
    <cellStyle name="Percent 6 2 5 4 5" xfId="6428"/>
    <cellStyle name="Percent 6 2 5 4 6" xfId="8624"/>
    <cellStyle name="Percent 6 2 5 5" xfId="6424"/>
    <cellStyle name="Percent 6 2 5 6" xfId="8620"/>
    <cellStyle name="Percent 6 2 6" xfId="2903"/>
    <cellStyle name="Percent 6 2 6 2" xfId="2904"/>
    <cellStyle name="Percent 6 2 6 2 2" xfId="6452"/>
    <cellStyle name="Percent 6 2 6 2 3" xfId="8648"/>
    <cellStyle name="Percent 6 2 6 3" xfId="6451"/>
    <cellStyle name="Percent 6 2 6 4" xfId="8647"/>
    <cellStyle name="Percent 6 2 7" xfId="2905"/>
    <cellStyle name="Percent 6 2 7 2" xfId="2906"/>
    <cellStyle name="Percent 6 2 7 2 2" xfId="6454"/>
    <cellStyle name="Percent 6 2 7 2 3" xfId="8650"/>
    <cellStyle name="Percent 6 2 7 3" xfId="2907"/>
    <cellStyle name="Percent 6 2 7 3 2" xfId="6455"/>
    <cellStyle name="Percent 6 2 7 3 3" xfId="8651"/>
    <cellStyle name="Percent 6 2 7 4" xfId="2908"/>
    <cellStyle name="Percent 6 2 7 4 2" xfId="2909"/>
    <cellStyle name="Percent 6 2 7 4 2 2" xfId="2910"/>
    <cellStyle name="Percent 6 2 7 4 2 2 2" xfId="6458"/>
    <cellStyle name="Percent 6 2 7 4 2 2 3" xfId="8654"/>
    <cellStyle name="Percent 6 2 7 4 2 3" xfId="2911"/>
    <cellStyle name="Percent 6 2 7 4 2 3 2" xfId="2912"/>
    <cellStyle name="Percent 6 2 7 4 2 3 2 2" xfId="6460"/>
    <cellStyle name="Percent 6 2 7 4 2 3 2 3" xfId="8656"/>
    <cellStyle name="Percent 6 2 7 4 2 3 3" xfId="2913"/>
    <cellStyle name="Percent 6 2 7 4 2 3 3 2" xfId="2914"/>
    <cellStyle name="Percent 6 2 7 4 2 3 3 2 2" xfId="6462"/>
    <cellStyle name="Percent 6 2 7 4 2 3 3 2 3" xfId="8658"/>
    <cellStyle name="Percent 6 2 7 4 2 3 3 3" xfId="2915"/>
    <cellStyle name="Percent 6 2 7 4 2 3 3 3 2" xfId="6463"/>
    <cellStyle name="Percent 6 2 7 4 2 3 3 3 3" xfId="8659"/>
    <cellStyle name="Percent 6 2 7 4 2 3 3 4" xfId="2916"/>
    <cellStyle name="Percent 6 2 7 4 2 3 3 4 2" xfId="2917"/>
    <cellStyle name="Percent 6 2 7 4 2 3 3 4 2 2" xfId="6465"/>
    <cellStyle name="Percent 6 2 7 4 2 3 3 4 2 3" xfId="8661"/>
    <cellStyle name="Percent 6 2 7 4 2 3 3 4 3" xfId="2918"/>
    <cellStyle name="Percent 6 2 7 4 2 3 3 4 3 2" xfId="6466"/>
    <cellStyle name="Percent 6 2 7 4 2 3 3 4 3 3" xfId="8662"/>
    <cellStyle name="Percent 6 2 7 4 2 3 3 4 4" xfId="6464"/>
    <cellStyle name="Percent 6 2 7 4 2 3 3 4 5" xfId="8660"/>
    <cellStyle name="Percent 6 2 7 4 2 3 3 5" xfId="6461"/>
    <cellStyle name="Percent 6 2 7 4 2 3 3 6" xfId="8657"/>
    <cellStyle name="Percent 6 2 7 4 2 3 4" xfId="6459"/>
    <cellStyle name="Percent 6 2 7 4 2 3 5" xfId="8655"/>
    <cellStyle name="Percent 6 2 7 4 2 4" xfId="6457"/>
    <cellStyle name="Percent 6 2 7 4 2 5" xfId="8653"/>
    <cellStyle name="Percent 6 2 7 4 3" xfId="2919"/>
    <cellStyle name="Percent 6 2 7 4 3 2" xfId="6467"/>
    <cellStyle name="Percent 6 2 7 4 3 3" xfId="8663"/>
    <cellStyle name="Percent 6 2 7 4 4" xfId="2920"/>
    <cellStyle name="Percent 6 2 7 4 4 2" xfId="2921"/>
    <cellStyle name="Percent 6 2 7 4 4 2 2" xfId="6469"/>
    <cellStyle name="Percent 6 2 7 4 4 2 3" xfId="8665"/>
    <cellStyle name="Percent 6 2 7 4 4 3" xfId="2922"/>
    <cellStyle name="Percent 6 2 7 4 4 3 2" xfId="2923"/>
    <cellStyle name="Percent 6 2 7 4 4 3 2 2" xfId="6471"/>
    <cellStyle name="Percent 6 2 7 4 4 3 2 3" xfId="8667"/>
    <cellStyle name="Percent 6 2 7 4 4 3 3" xfId="2924"/>
    <cellStyle name="Percent 6 2 7 4 4 3 3 2" xfId="6472"/>
    <cellStyle name="Percent 6 2 7 4 4 3 3 3" xfId="8668"/>
    <cellStyle name="Percent 6 2 7 4 4 3 4" xfId="2925"/>
    <cellStyle name="Percent 6 2 7 4 4 3 4 2" xfId="2926"/>
    <cellStyle name="Percent 6 2 7 4 4 3 4 2 2" xfId="6474"/>
    <cellStyle name="Percent 6 2 7 4 4 3 4 2 3" xfId="8670"/>
    <cellStyle name="Percent 6 2 7 4 4 3 4 3" xfId="2927"/>
    <cellStyle name="Percent 6 2 7 4 4 3 4 3 2" xfId="6475"/>
    <cellStyle name="Percent 6 2 7 4 4 3 4 3 3" xfId="8671"/>
    <cellStyle name="Percent 6 2 7 4 4 3 4 4" xfId="6473"/>
    <cellStyle name="Percent 6 2 7 4 4 3 4 5" xfId="8669"/>
    <cellStyle name="Percent 6 2 7 4 4 3 5" xfId="6470"/>
    <cellStyle name="Percent 6 2 7 4 4 3 6" xfId="8666"/>
    <cellStyle name="Percent 6 2 7 4 4 4" xfId="6468"/>
    <cellStyle name="Percent 6 2 7 4 4 5" xfId="8664"/>
    <cellStyle name="Percent 6 2 7 4 5" xfId="6456"/>
    <cellStyle name="Percent 6 2 7 4 6" xfId="8652"/>
    <cellStyle name="Percent 6 2 7 5" xfId="6453"/>
    <cellStyle name="Percent 6 2 7 6" xfId="8649"/>
    <cellStyle name="Percent 6 2 8" xfId="2928"/>
    <cellStyle name="Percent 6 2 9" xfId="2929"/>
    <cellStyle name="Percent 6 2 9 2" xfId="2930"/>
    <cellStyle name="Percent 6 2 9 3" xfId="2931"/>
    <cellStyle name="Percent 6 2 9 4" xfId="7057"/>
    <cellStyle name="Percent 6 3" xfId="2932"/>
    <cellStyle name="Percent 6 3 2" xfId="2933"/>
    <cellStyle name="Percent 6 3 2 2" xfId="6477"/>
    <cellStyle name="Percent 6 3 2 3" xfId="8673"/>
    <cellStyle name="Percent 6 3 3" xfId="6476"/>
    <cellStyle name="Percent 6 3 4" xfId="8672"/>
    <cellStyle name="Percent 6 4" xfId="2934"/>
    <cellStyle name="Percent 6 4 2" xfId="2935"/>
    <cellStyle name="Percent 6 4 2 2" xfId="6479"/>
    <cellStyle name="Percent 6 4 2 3" xfId="8675"/>
    <cellStyle name="Percent 6 4 3" xfId="2936"/>
    <cellStyle name="Percent 6 4 3 2" xfId="2937"/>
    <cellStyle name="Percent 6 4 3 2 2" xfId="6481"/>
    <cellStyle name="Percent 6 4 3 2 3" xfId="8677"/>
    <cellStyle name="Percent 6 4 3 3" xfId="2938"/>
    <cellStyle name="Percent 6 4 3 3 2" xfId="2939"/>
    <cellStyle name="Percent 6 4 3 3 2 2" xfId="6483"/>
    <cellStyle name="Percent 6 4 3 3 2 3" xfId="8679"/>
    <cellStyle name="Percent 6 4 3 3 3" xfId="6482"/>
    <cellStyle name="Percent 6 4 3 3 4" xfId="8678"/>
    <cellStyle name="Percent 6 4 3 4" xfId="2940"/>
    <cellStyle name="Percent 6 4 3 4 2" xfId="2941"/>
    <cellStyle name="Percent 6 4 3 4 2 2" xfId="6485"/>
    <cellStyle name="Percent 6 4 3 4 2 3" xfId="8681"/>
    <cellStyle name="Percent 6 4 3 4 3" xfId="2942"/>
    <cellStyle name="Percent 6 4 3 4 3 2" xfId="6486"/>
    <cellStyle name="Percent 6 4 3 4 3 3" xfId="8682"/>
    <cellStyle name="Percent 6 4 3 4 4" xfId="2943"/>
    <cellStyle name="Percent 6 4 3 4 4 2" xfId="2944"/>
    <cellStyle name="Percent 6 4 3 4 4 2 2" xfId="2945"/>
    <cellStyle name="Percent 6 4 3 4 4 2 2 2" xfId="6489"/>
    <cellStyle name="Percent 6 4 3 4 4 2 2 3" xfId="8685"/>
    <cellStyle name="Percent 6 4 3 4 4 2 3" xfId="2946"/>
    <cellStyle name="Percent 6 4 3 4 4 2 3 2" xfId="2947"/>
    <cellStyle name="Percent 6 4 3 4 4 2 3 2 2" xfId="6491"/>
    <cellStyle name="Percent 6 4 3 4 4 2 3 2 3" xfId="8687"/>
    <cellStyle name="Percent 6 4 3 4 4 2 3 3" xfId="2948"/>
    <cellStyle name="Percent 6 4 3 4 4 2 3 3 2" xfId="2949"/>
    <cellStyle name="Percent 6 4 3 4 4 2 3 3 2 2" xfId="6493"/>
    <cellStyle name="Percent 6 4 3 4 4 2 3 3 2 3" xfId="8689"/>
    <cellStyle name="Percent 6 4 3 4 4 2 3 3 3" xfId="2950"/>
    <cellStyle name="Percent 6 4 3 4 4 2 3 3 3 2" xfId="6494"/>
    <cellStyle name="Percent 6 4 3 4 4 2 3 3 3 3" xfId="8690"/>
    <cellStyle name="Percent 6 4 3 4 4 2 3 3 4" xfId="2951"/>
    <cellStyle name="Percent 6 4 3 4 4 2 3 3 4 2" xfId="2952"/>
    <cellStyle name="Percent 6 4 3 4 4 2 3 3 4 2 2" xfId="6496"/>
    <cellStyle name="Percent 6 4 3 4 4 2 3 3 4 2 3" xfId="8692"/>
    <cellStyle name="Percent 6 4 3 4 4 2 3 3 4 3" xfId="2953"/>
    <cellStyle name="Percent 6 4 3 4 4 2 3 3 4 3 2" xfId="6497"/>
    <cellStyle name="Percent 6 4 3 4 4 2 3 3 4 3 3" xfId="8693"/>
    <cellStyle name="Percent 6 4 3 4 4 2 3 3 4 4" xfId="6495"/>
    <cellStyle name="Percent 6 4 3 4 4 2 3 3 4 5" xfId="8691"/>
    <cellStyle name="Percent 6 4 3 4 4 2 3 3 5" xfId="6492"/>
    <cellStyle name="Percent 6 4 3 4 4 2 3 3 6" xfId="8688"/>
    <cellStyle name="Percent 6 4 3 4 4 2 3 4" xfId="6490"/>
    <cellStyle name="Percent 6 4 3 4 4 2 3 5" xfId="8686"/>
    <cellStyle name="Percent 6 4 3 4 4 2 4" xfId="6488"/>
    <cellStyle name="Percent 6 4 3 4 4 2 5" xfId="8684"/>
    <cellStyle name="Percent 6 4 3 4 4 3" xfId="2954"/>
    <cellStyle name="Percent 6 4 3 4 4 3 2" xfId="6498"/>
    <cellStyle name="Percent 6 4 3 4 4 3 3" xfId="8694"/>
    <cellStyle name="Percent 6 4 3 4 4 4" xfId="2955"/>
    <cellStyle name="Percent 6 4 3 4 4 4 2" xfId="2956"/>
    <cellStyle name="Percent 6 4 3 4 4 4 2 2" xfId="6500"/>
    <cellStyle name="Percent 6 4 3 4 4 4 2 3" xfId="8696"/>
    <cellStyle name="Percent 6 4 3 4 4 4 3" xfId="2957"/>
    <cellStyle name="Percent 6 4 3 4 4 4 3 2" xfId="2958"/>
    <cellStyle name="Percent 6 4 3 4 4 4 3 2 2" xfId="6502"/>
    <cellStyle name="Percent 6 4 3 4 4 4 3 2 3" xfId="8698"/>
    <cellStyle name="Percent 6 4 3 4 4 4 3 3" xfId="2959"/>
    <cellStyle name="Percent 6 4 3 4 4 4 3 3 2" xfId="6503"/>
    <cellStyle name="Percent 6 4 3 4 4 4 3 3 3" xfId="8699"/>
    <cellStyle name="Percent 6 4 3 4 4 4 3 4" xfId="2960"/>
    <cellStyle name="Percent 6 4 3 4 4 4 3 4 2" xfId="2961"/>
    <cellStyle name="Percent 6 4 3 4 4 4 3 4 2 2" xfId="6505"/>
    <cellStyle name="Percent 6 4 3 4 4 4 3 4 2 3" xfId="8701"/>
    <cellStyle name="Percent 6 4 3 4 4 4 3 4 3" xfId="2962"/>
    <cellStyle name="Percent 6 4 3 4 4 4 3 4 3 2" xfId="6506"/>
    <cellStyle name="Percent 6 4 3 4 4 4 3 4 3 3" xfId="8702"/>
    <cellStyle name="Percent 6 4 3 4 4 4 3 4 4" xfId="6504"/>
    <cellStyle name="Percent 6 4 3 4 4 4 3 4 5" xfId="8700"/>
    <cellStyle name="Percent 6 4 3 4 4 4 3 5" xfId="6501"/>
    <cellStyle name="Percent 6 4 3 4 4 4 3 6" xfId="8697"/>
    <cellStyle name="Percent 6 4 3 4 4 4 4" xfId="6499"/>
    <cellStyle name="Percent 6 4 3 4 4 4 5" xfId="8695"/>
    <cellStyle name="Percent 6 4 3 4 4 5" xfId="6487"/>
    <cellStyle name="Percent 6 4 3 4 4 6" xfId="8683"/>
    <cellStyle name="Percent 6 4 3 4 5" xfId="6484"/>
    <cellStyle name="Percent 6 4 3 4 6" xfId="8680"/>
    <cellStyle name="Percent 6 4 3 5" xfId="6480"/>
    <cellStyle name="Percent 6 4 3 6" xfId="8676"/>
    <cellStyle name="Percent 6 4 4" xfId="2963"/>
    <cellStyle name="Percent 6 4 4 2" xfId="2964"/>
    <cellStyle name="Percent 6 4 4 2 2" xfId="6508"/>
    <cellStyle name="Percent 6 4 4 2 3" xfId="8704"/>
    <cellStyle name="Percent 6 4 4 3" xfId="6507"/>
    <cellStyle name="Percent 6 4 4 4" xfId="8703"/>
    <cellStyle name="Percent 6 4 5" xfId="2965"/>
    <cellStyle name="Percent 6 4 5 2" xfId="2966"/>
    <cellStyle name="Percent 6 4 5 2 2" xfId="6510"/>
    <cellStyle name="Percent 6 4 5 2 3" xfId="8706"/>
    <cellStyle name="Percent 6 4 5 3" xfId="2967"/>
    <cellStyle name="Percent 6 4 5 3 2" xfId="6511"/>
    <cellStyle name="Percent 6 4 5 3 3" xfId="8707"/>
    <cellStyle name="Percent 6 4 5 4" xfId="2968"/>
    <cellStyle name="Percent 6 4 5 4 2" xfId="2969"/>
    <cellStyle name="Percent 6 4 5 4 2 2" xfId="2970"/>
    <cellStyle name="Percent 6 4 5 4 2 2 2" xfId="6514"/>
    <cellStyle name="Percent 6 4 5 4 2 2 3" xfId="8710"/>
    <cellStyle name="Percent 6 4 5 4 2 3" xfId="2971"/>
    <cellStyle name="Percent 6 4 5 4 2 3 2" xfId="2972"/>
    <cellStyle name="Percent 6 4 5 4 2 3 2 2" xfId="6516"/>
    <cellStyle name="Percent 6 4 5 4 2 3 2 3" xfId="8712"/>
    <cellStyle name="Percent 6 4 5 4 2 3 3" xfId="2973"/>
    <cellStyle name="Percent 6 4 5 4 2 3 3 2" xfId="2974"/>
    <cellStyle name="Percent 6 4 5 4 2 3 3 2 2" xfId="6518"/>
    <cellStyle name="Percent 6 4 5 4 2 3 3 2 3" xfId="8714"/>
    <cellStyle name="Percent 6 4 5 4 2 3 3 3" xfId="2975"/>
    <cellStyle name="Percent 6 4 5 4 2 3 3 3 2" xfId="6519"/>
    <cellStyle name="Percent 6 4 5 4 2 3 3 3 3" xfId="8715"/>
    <cellStyle name="Percent 6 4 5 4 2 3 3 4" xfId="2976"/>
    <cellStyle name="Percent 6 4 5 4 2 3 3 4 2" xfId="2977"/>
    <cellStyle name="Percent 6 4 5 4 2 3 3 4 2 2" xfId="6521"/>
    <cellStyle name="Percent 6 4 5 4 2 3 3 4 2 3" xfId="8717"/>
    <cellStyle name="Percent 6 4 5 4 2 3 3 4 3" xfId="2978"/>
    <cellStyle name="Percent 6 4 5 4 2 3 3 4 3 2" xfId="6522"/>
    <cellStyle name="Percent 6 4 5 4 2 3 3 4 3 3" xfId="8718"/>
    <cellStyle name="Percent 6 4 5 4 2 3 3 4 4" xfId="6520"/>
    <cellStyle name="Percent 6 4 5 4 2 3 3 4 5" xfId="8716"/>
    <cellStyle name="Percent 6 4 5 4 2 3 3 5" xfId="6517"/>
    <cellStyle name="Percent 6 4 5 4 2 3 3 6" xfId="8713"/>
    <cellStyle name="Percent 6 4 5 4 2 3 4" xfId="6515"/>
    <cellStyle name="Percent 6 4 5 4 2 3 5" xfId="8711"/>
    <cellStyle name="Percent 6 4 5 4 2 4" xfId="6513"/>
    <cellStyle name="Percent 6 4 5 4 2 5" xfId="8709"/>
    <cellStyle name="Percent 6 4 5 4 3" xfId="2979"/>
    <cellStyle name="Percent 6 4 5 4 3 2" xfId="6523"/>
    <cellStyle name="Percent 6 4 5 4 3 3" xfId="8719"/>
    <cellStyle name="Percent 6 4 5 4 4" xfId="2980"/>
    <cellStyle name="Percent 6 4 5 4 4 2" xfId="2981"/>
    <cellStyle name="Percent 6 4 5 4 4 2 2" xfId="6525"/>
    <cellStyle name="Percent 6 4 5 4 4 2 3" xfId="8721"/>
    <cellStyle name="Percent 6 4 5 4 4 3" xfId="2982"/>
    <cellStyle name="Percent 6 4 5 4 4 3 2" xfId="2983"/>
    <cellStyle name="Percent 6 4 5 4 4 3 2 2" xfId="6527"/>
    <cellStyle name="Percent 6 4 5 4 4 3 2 3" xfId="8723"/>
    <cellStyle name="Percent 6 4 5 4 4 3 3" xfId="2984"/>
    <cellStyle name="Percent 6 4 5 4 4 3 3 2" xfId="6528"/>
    <cellStyle name="Percent 6 4 5 4 4 3 3 3" xfId="8724"/>
    <cellStyle name="Percent 6 4 5 4 4 3 4" xfId="2985"/>
    <cellStyle name="Percent 6 4 5 4 4 3 4 2" xfId="2986"/>
    <cellStyle name="Percent 6 4 5 4 4 3 4 2 2" xfId="6530"/>
    <cellStyle name="Percent 6 4 5 4 4 3 4 2 3" xfId="8726"/>
    <cellStyle name="Percent 6 4 5 4 4 3 4 3" xfId="2987"/>
    <cellStyle name="Percent 6 4 5 4 4 3 4 3 2" xfId="6531"/>
    <cellStyle name="Percent 6 4 5 4 4 3 4 3 3" xfId="8727"/>
    <cellStyle name="Percent 6 4 5 4 4 3 4 4" xfId="6529"/>
    <cellStyle name="Percent 6 4 5 4 4 3 4 5" xfId="8725"/>
    <cellStyle name="Percent 6 4 5 4 4 3 5" xfId="6526"/>
    <cellStyle name="Percent 6 4 5 4 4 3 6" xfId="8722"/>
    <cellStyle name="Percent 6 4 5 4 4 4" xfId="6524"/>
    <cellStyle name="Percent 6 4 5 4 4 5" xfId="8720"/>
    <cellStyle name="Percent 6 4 5 4 5" xfId="6512"/>
    <cellStyle name="Percent 6 4 5 4 6" xfId="8708"/>
    <cellStyle name="Percent 6 4 5 5" xfId="6509"/>
    <cellStyle name="Percent 6 4 5 6" xfId="8705"/>
    <cellStyle name="Percent 6 4 6" xfId="6478"/>
    <cellStyle name="Percent 6 4 7" xfId="8674"/>
    <cellStyle name="Percent 6 5" xfId="2988"/>
    <cellStyle name="Percent 6 5 2" xfId="2989"/>
    <cellStyle name="Percent 6 5 2 2" xfId="6533"/>
    <cellStyle name="Percent 6 5 2 3" xfId="8729"/>
    <cellStyle name="Percent 6 5 3" xfId="2990"/>
    <cellStyle name="Percent 6 5 3 2" xfId="2991"/>
    <cellStyle name="Percent 6 5 3 2 2" xfId="6535"/>
    <cellStyle name="Percent 6 5 3 2 3" xfId="8731"/>
    <cellStyle name="Percent 6 5 3 3" xfId="6534"/>
    <cellStyle name="Percent 6 5 3 4" xfId="8730"/>
    <cellStyle name="Percent 6 5 4" xfId="2992"/>
    <cellStyle name="Percent 6 5 4 2" xfId="2993"/>
    <cellStyle name="Percent 6 5 4 2 2" xfId="6537"/>
    <cellStyle name="Percent 6 5 4 2 3" xfId="8733"/>
    <cellStyle name="Percent 6 5 4 3" xfId="2994"/>
    <cellStyle name="Percent 6 5 4 3 2" xfId="6538"/>
    <cellStyle name="Percent 6 5 4 3 3" xfId="8734"/>
    <cellStyle name="Percent 6 5 4 4" xfId="2995"/>
    <cellStyle name="Percent 6 5 4 4 2" xfId="2996"/>
    <cellStyle name="Percent 6 5 4 4 2 2" xfId="2997"/>
    <cellStyle name="Percent 6 5 4 4 2 2 2" xfId="6541"/>
    <cellStyle name="Percent 6 5 4 4 2 2 3" xfId="8737"/>
    <cellStyle name="Percent 6 5 4 4 2 3" xfId="2998"/>
    <cellStyle name="Percent 6 5 4 4 2 3 2" xfId="2999"/>
    <cellStyle name="Percent 6 5 4 4 2 3 2 2" xfId="6543"/>
    <cellStyle name="Percent 6 5 4 4 2 3 2 3" xfId="8739"/>
    <cellStyle name="Percent 6 5 4 4 2 3 3" xfId="3000"/>
    <cellStyle name="Percent 6 5 4 4 2 3 3 2" xfId="3001"/>
    <cellStyle name="Percent 6 5 4 4 2 3 3 2 2" xfId="6545"/>
    <cellStyle name="Percent 6 5 4 4 2 3 3 2 3" xfId="8741"/>
    <cellStyle name="Percent 6 5 4 4 2 3 3 3" xfId="3002"/>
    <cellStyle name="Percent 6 5 4 4 2 3 3 3 2" xfId="6546"/>
    <cellStyle name="Percent 6 5 4 4 2 3 3 3 3" xfId="8742"/>
    <cellStyle name="Percent 6 5 4 4 2 3 3 4" xfId="3003"/>
    <cellStyle name="Percent 6 5 4 4 2 3 3 4 2" xfId="3004"/>
    <cellStyle name="Percent 6 5 4 4 2 3 3 4 2 2" xfId="6548"/>
    <cellStyle name="Percent 6 5 4 4 2 3 3 4 2 3" xfId="8744"/>
    <cellStyle name="Percent 6 5 4 4 2 3 3 4 3" xfId="3005"/>
    <cellStyle name="Percent 6 5 4 4 2 3 3 4 3 2" xfId="6549"/>
    <cellStyle name="Percent 6 5 4 4 2 3 3 4 3 3" xfId="8745"/>
    <cellStyle name="Percent 6 5 4 4 2 3 3 4 4" xfId="6547"/>
    <cellStyle name="Percent 6 5 4 4 2 3 3 4 5" xfId="8743"/>
    <cellStyle name="Percent 6 5 4 4 2 3 3 5" xfId="6544"/>
    <cellStyle name="Percent 6 5 4 4 2 3 3 6" xfId="8740"/>
    <cellStyle name="Percent 6 5 4 4 2 3 4" xfId="6542"/>
    <cellStyle name="Percent 6 5 4 4 2 3 5" xfId="8738"/>
    <cellStyle name="Percent 6 5 4 4 2 4" xfId="6540"/>
    <cellStyle name="Percent 6 5 4 4 2 5" xfId="8736"/>
    <cellStyle name="Percent 6 5 4 4 3" xfId="3006"/>
    <cellStyle name="Percent 6 5 4 4 3 2" xfId="6550"/>
    <cellStyle name="Percent 6 5 4 4 3 3" xfId="8746"/>
    <cellStyle name="Percent 6 5 4 4 4" xfId="3007"/>
    <cellStyle name="Percent 6 5 4 4 4 2" xfId="3008"/>
    <cellStyle name="Percent 6 5 4 4 4 2 2" xfId="6552"/>
    <cellStyle name="Percent 6 5 4 4 4 2 3" xfId="8748"/>
    <cellStyle name="Percent 6 5 4 4 4 3" xfId="3009"/>
    <cellStyle name="Percent 6 5 4 4 4 3 2" xfId="3010"/>
    <cellStyle name="Percent 6 5 4 4 4 3 2 2" xfId="6554"/>
    <cellStyle name="Percent 6 5 4 4 4 3 2 3" xfId="8750"/>
    <cellStyle name="Percent 6 5 4 4 4 3 3" xfId="3011"/>
    <cellStyle name="Percent 6 5 4 4 4 3 3 2" xfId="6555"/>
    <cellStyle name="Percent 6 5 4 4 4 3 3 3" xfId="8751"/>
    <cellStyle name="Percent 6 5 4 4 4 3 4" xfId="3012"/>
    <cellStyle name="Percent 6 5 4 4 4 3 4 2" xfId="3013"/>
    <cellStyle name="Percent 6 5 4 4 4 3 4 2 2" xfId="6557"/>
    <cellStyle name="Percent 6 5 4 4 4 3 4 2 3" xfId="8753"/>
    <cellStyle name="Percent 6 5 4 4 4 3 4 3" xfId="3014"/>
    <cellStyle name="Percent 6 5 4 4 4 3 4 3 2" xfId="6558"/>
    <cellStyle name="Percent 6 5 4 4 4 3 4 3 3" xfId="8754"/>
    <cellStyle name="Percent 6 5 4 4 4 3 4 4" xfId="6556"/>
    <cellStyle name="Percent 6 5 4 4 4 3 4 5" xfId="8752"/>
    <cellStyle name="Percent 6 5 4 4 4 3 5" xfId="6553"/>
    <cellStyle name="Percent 6 5 4 4 4 3 6" xfId="8749"/>
    <cellStyle name="Percent 6 5 4 4 4 4" xfId="6551"/>
    <cellStyle name="Percent 6 5 4 4 4 5" xfId="8747"/>
    <cellStyle name="Percent 6 5 4 4 5" xfId="6539"/>
    <cellStyle name="Percent 6 5 4 4 6" xfId="8735"/>
    <cellStyle name="Percent 6 5 4 5" xfId="6536"/>
    <cellStyle name="Percent 6 5 4 6" xfId="8732"/>
    <cellStyle name="Percent 6 5 5" xfId="6532"/>
    <cellStyle name="Percent 6 5 6" xfId="8728"/>
    <cellStyle name="Percent 6 6" xfId="3015"/>
    <cellStyle name="Percent 6 6 2" xfId="3016"/>
    <cellStyle name="Percent 6 6 2 2" xfId="6560"/>
    <cellStyle name="Percent 6 6 2 3" xfId="8756"/>
    <cellStyle name="Percent 6 6 3" xfId="6559"/>
    <cellStyle name="Percent 6 6 4" xfId="8755"/>
    <cellStyle name="Percent 6 7" xfId="3017"/>
    <cellStyle name="Percent 6 7 2" xfId="3018"/>
    <cellStyle name="Percent 6 7 2 2" xfId="6562"/>
    <cellStyle name="Percent 6 7 2 3" xfId="8758"/>
    <cellStyle name="Percent 6 7 3" xfId="3019"/>
    <cellStyle name="Percent 6 7 3 2" xfId="6563"/>
    <cellStyle name="Percent 6 7 3 3" xfId="8759"/>
    <cellStyle name="Percent 6 7 4" xfId="3020"/>
    <cellStyle name="Percent 6 7 4 2" xfId="3021"/>
    <cellStyle name="Percent 6 7 4 2 2" xfId="3022"/>
    <cellStyle name="Percent 6 7 4 2 2 2" xfId="6566"/>
    <cellStyle name="Percent 6 7 4 2 2 3" xfId="8762"/>
    <cellStyle name="Percent 6 7 4 2 3" xfId="3023"/>
    <cellStyle name="Percent 6 7 4 2 3 2" xfId="3024"/>
    <cellStyle name="Percent 6 7 4 2 3 2 2" xfId="6568"/>
    <cellStyle name="Percent 6 7 4 2 3 2 3" xfId="8764"/>
    <cellStyle name="Percent 6 7 4 2 3 3" xfId="3025"/>
    <cellStyle name="Percent 6 7 4 2 3 3 2" xfId="3026"/>
    <cellStyle name="Percent 6 7 4 2 3 3 2 2" xfId="6570"/>
    <cellStyle name="Percent 6 7 4 2 3 3 2 3" xfId="8766"/>
    <cellStyle name="Percent 6 7 4 2 3 3 3" xfId="3027"/>
    <cellStyle name="Percent 6 7 4 2 3 3 3 2" xfId="6571"/>
    <cellStyle name="Percent 6 7 4 2 3 3 3 3" xfId="8767"/>
    <cellStyle name="Percent 6 7 4 2 3 3 4" xfId="3028"/>
    <cellStyle name="Percent 6 7 4 2 3 3 4 2" xfId="3029"/>
    <cellStyle name="Percent 6 7 4 2 3 3 4 2 2" xfId="6573"/>
    <cellStyle name="Percent 6 7 4 2 3 3 4 2 3" xfId="8769"/>
    <cellStyle name="Percent 6 7 4 2 3 3 4 3" xfId="3030"/>
    <cellStyle name="Percent 6 7 4 2 3 3 4 3 2" xfId="6574"/>
    <cellStyle name="Percent 6 7 4 2 3 3 4 3 3" xfId="8770"/>
    <cellStyle name="Percent 6 7 4 2 3 3 4 4" xfId="6572"/>
    <cellStyle name="Percent 6 7 4 2 3 3 4 5" xfId="8768"/>
    <cellStyle name="Percent 6 7 4 2 3 3 5" xfId="6569"/>
    <cellStyle name="Percent 6 7 4 2 3 3 6" xfId="8765"/>
    <cellStyle name="Percent 6 7 4 2 3 4" xfId="6567"/>
    <cellStyle name="Percent 6 7 4 2 3 5" xfId="8763"/>
    <cellStyle name="Percent 6 7 4 2 4" xfId="6565"/>
    <cellStyle name="Percent 6 7 4 2 5" xfId="8761"/>
    <cellStyle name="Percent 6 7 4 3" xfId="3031"/>
    <cellStyle name="Percent 6 7 4 3 2" xfId="6575"/>
    <cellStyle name="Percent 6 7 4 3 3" xfId="8771"/>
    <cellStyle name="Percent 6 7 4 4" xfId="3032"/>
    <cellStyle name="Percent 6 7 4 4 2" xfId="3033"/>
    <cellStyle name="Percent 6 7 4 4 2 2" xfId="6577"/>
    <cellStyle name="Percent 6 7 4 4 2 3" xfId="8773"/>
    <cellStyle name="Percent 6 7 4 4 3" xfId="3034"/>
    <cellStyle name="Percent 6 7 4 4 3 2" xfId="3035"/>
    <cellStyle name="Percent 6 7 4 4 3 2 2" xfId="6579"/>
    <cellStyle name="Percent 6 7 4 4 3 2 3" xfId="8775"/>
    <cellStyle name="Percent 6 7 4 4 3 3" xfId="3036"/>
    <cellStyle name="Percent 6 7 4 4 3 3 2" xfId="6580"/>
    <cellStyle name="Percent 6 7 4 4 3 3 3" xfId="8776"/>
    <cellStyle name="Percent 6 7 4 4 3 4" xfId="3037"/>
    <cellStyle name="Percent 6 7 4 4 3 4 2" xfId="3038"/>
    <cellStyle name="Percent 6 7 4 4 3 4 2 2" xfId="6582"/>
    <cellStyle name="Percent 6 7 4 4 3 4 2 3" xfId="8778"/>
    <cellStyle name="Percent 6 7 4 4 3 4 3" xfId="3039"/>
    <cellStyle name="Percent 6 7 4 4 3 4 3 2" xfId="6583"/>
    <cellStyle name="Percent 6 7 4 4 3 4 3 3" xfId="8779"/>
    <cellStyle name="Percent 6 7 4 4 3 4 4" xfId="6581"/>
    <cellStyle name="Percent 6 7 4 4 3 4 5" xfId="8777"/>
    <cellStyle name="Percent 6 7 4 4 3 5" xfId="6578"/>
    <cellStyle name="Percent 6 7 4 4 3 6" xfId="8774"/>
    <cellStyle name="Percent 6 7 4 4 4" xfId="6576"/>
    <cellStyle name="Percent 6 7 4 4 5" xfId="8772"/>
    <cellStyle name="Percent 6 7 4 5" xfId="6564"/>
    <cellStyle name="Percent 6 7 4 6" xfId="8760"/>
    <cellStyle name="Percent 6 7 5" xfId="6561"/>
    <cellStyle name="Percent 6 7 6" xfId="8757"/>
    <cellStyle name="Percent 6 8" xfId="3040"/>
    <cellStyle name="Percent 6 9" xfId="3041"/>
    <cellStyle name="Percent 6 9 2" xfId="6584"/>
    <cellStyle name="Percent 6 9 2 2" xfId="7058"/>
    <cellStyle name="Percent 6 9 2 3" xfId="10707"/>
    <cellStyle name="Percent 6 9 3" xfId="8780"/>
    <cellStyle name="Percent 7" xfId="3042"/>
    <cellStyle name="Percent 7 10" xfId="7059"/>
    <cellStyle name="Percent 7 2" xfId="3043"/>
    <cellStyle name="Percent 7 2 2" xfId="3044"/>
    <cellStyle name="Percent 7 2 2 2" xfId="3045"/>
    <cellStyle name="Percent 7 2 2 2 2" xfId="3046"/>
    <cellStyle name="Percent 7 2 2 2 3" xfId="3047"/>
    <cellStyle name="Percent 7 2 2 3" xfId="3048"/>
    <cellStyle name="Percent 7 2 2 4" xfId="3049"/>
    <cellStyle name="Percent 7 2 2 4 2" xfId="3050"/>
    <cellStyle name="Percent 7 2 2 4 3" xfId="3051"/>
    <cellStyle name="Percent 7 2 2 4 3 2" xfId="3052"/>
    <cellStyle name="Percent 7 2 2 4 4" xfId="3053"/>
    <cellStyle name="Percent 7 2 2 4 4 2" xfId="3054"/>
    <cellStyle name="Percent 7 2 2 4 5" xfId="3055"/>
    <cellStyle name="Percent 7 2 2 4 5 2" xfId="3056"/>
    <cellStyle name="Percent 7 2 2 5" xfId="3412"/>
    <cellStyle name="Percent 7 2 3" xfId="3057"/>
    <cellStyle name="Percent 7 2 3 2" xfId="3058"/>
    <cellStyle name="Percent 7 2 3 3" xfId="3059"/>
    <cellStyle name="Percent 7 2 3 3 2" xfId="3060"/>
    <cellStyle name="Percent 7 2 4" xfId="3061"/>
    <cellStyle name="Percent 7 2 4 2" xfId="3062"/>
    <cellStyle name="Percent 7 2 4 3" xfId="3063"/>
    <cellStyle name="Percent 7 2 5" xfId="3064"/>
    <cellStyle name="Percent 7 2 5 2" xfId="3065"/>
    <cellStyle name="Percent 7 2 6" xfId="3066"/>
    <cellStyle name="Percent 7 2 6 2" xfId="6585"/>
    <cellStyle name="Percent 7 2 7" xfId="3067"/>
    <cellStyle name="Percent 7 2 7 2" xfId="6586"/>
    <cellStyle name="Percent 7 2 8" xfId="3884"/>
    <cellStyle name="Percent 7 2 8 2" xfId="7061"/>
    <cellStyle name="Percent 7 2 8 3" xfId="7060"/>
    <cellStyle name="Percent 7 2 8 4" xfId="9490"/>
    <cellStyle name="Percent 7 2 9" xfId="7062"/>
    <cellStyle name="Percent 7 3" xfId="3068"/>
    <cellStyle name="Percent 7 3 2" xfId="3069"/>
    <cellStyle name="Percent 7 3 2 2" xfId="3070"/>
    <cellStyle name="Percent 7 3 2 3" xfId="3071"/>
    <cellStyle name="Percent 7 3 3" xfId="3072"/>
    <cellStyle name="Percent 7 3 4" xfId="3073"/>
    <cellStyle name="Percent 7 3 4 2" xfId="3074"/>
    <cellStyle name="Percent 7 3 4 3" xfId="3075"/>
    <cellStyle name="Percent 7 3 4 3 2" xfId="3076"/>
    <cellStyle name="Percent 7 3 4 4" xfId="3077"/>
    <cellStyle name="Percent 7 3 4 4 2" xfId="3078"/>
    <cellStyle name="Percent 7 3 4 5" xfId="3079"/>
    <cellStyle name="Percent 7 3 4 5 2" xfId="3080"/>
    <cellStyle name="Percent 7 3 5" xfId="3413"/>
    <cellStyle name="Percent 7 4" xfId="3081"/>
    <cellStyle name="Percent 7 4 2" xfId="3082"/>
    <cellStyle name="Percent 7 4 3" xfId="3083"/>
    <cellStyle name="Percent 7 4 3 2" xfId="3084"/>
    <cellStyle name="Percent 7 4 4" xfId="7063"/>
    <cellStyle name="Percent 7 5" xfId="3085"/>
    <cellStyle name="Percent 7 5 2" xfId="3086"/>
    <cellStyle name="Percent 7 5 3" xfId="3087"/>
    <cellStyle name="Percent 7 5 4" xfId="3088"/>
    <cellStyle name="Percent 7 6" xfId="3089"/>
    <cellStyle name="Percent 7 6 2" xfId="3090"/>
    <cellStyle name="Percent 7 7" xfId="3091"/>
    <cellStyle name="Percent 7 7 2" xfId="3414"/>
    <cellStyle name="Percent 7 7 3" xfId="6587"/>
    <cellStyle name="Percent 7 8" xfId="3092"/>
    <cellStyle name="Percent 7 8 2" xfId="6588"/>
    <cellStyle name="Percent 7 9" xfId="3885"/>
    <cellStyle name="Percent 7 9 2" xfId="6589"/>
    <cellStyle name="Percent 7 9 2 2" xfId="7065"/>
    <cellStyle name="Percent 7 9 2 3" xfId="10708"/>
    <cellStyle name="Percent 7 9 2 3 2" xfId="17690"/>
    <cellStyle name="Percent 7 9 2 3 2 2" xfId="24657"/>
    <cellStyle name="Percent 7 9 2 3 2 3" xfId="31624"/>
    <cellStyle name="Percent 7 9 2 3 2 4" xfId="38593"/>
    <cellStyle name="Percent 7 9 2 3 3" xfId="13048"/>
    <cellStyle name="Percent 7 9 2 3 4" xfId="20015"/>
    <cellStyle name="Percent 7 9 2 3 5" xfId="26982"/>
    <cellStyle name="Percent 7 9 2 3 6" xfId="33950"/>
    <cellStyle name="Percent 7 9 2 4" xfId="15370"/>
    <cellStyle name="Percent 7 9 2 4 2" xfId="22337"/>
    <cellStyle name="Percent 7 9 2 4 3" xfId="29304"/>
    <cellStyle name="Percent 7 9 2 4 4" xfId="36273"/>
    <cellStyle name="Percent 7 9 3" xfId="7064"/>
    <cellStyle name="Percent 7 9 4" xfId="9491"/>
    <cellStyle name="Percent 7 9 4 2" xfId="16527"/>
    <cellStyle name="Percent 7 9 4 2 2" xfId="23494"/>
    <cellStyle name="Percent 7 9 4 2 3" xfId="30461"/>
    <cellStyle name="Percent 7 9 4 2 4" xfId="37430"/>
    <cellStyle name="Percent 7 9 4 3" xfId="11885"/>
    <cellStyle name="Percent 7 9 4 4" xfId="18852"/>
    <cellStyle name="Percent 7 9 4 5" xfId="25819"/>
    <cellStyle name="Percent 7 9 4 6" xfId="32787"/>
    <cellStyle name="Percent 7 9 5" xfId="14207"/>
    <cellStyle name="Percent 7 9 5 2" xfId="21174"/>
    <cellStyle name="Percent 7 9 5 3" xfId="28141"/>
    <cellStyle name="Percent 7 9 5 4" xfId="35110"/>
    <cellStyle name="Percent 8" xfId="3093"/>
    <cellStyle name="Percent 8 2" xfId="3094"/>
    <cellStyle name="Percent 8 2 2" xfId="3095"/>
    <cellStyle name="Percent 8 2 2 2" xfId="6591"/>
    <cellStyle name="Percent 8 2 2 2 2" xfId="7066"/>
    <cellStyle name="Percent 8 2 2 2 3" xfId="10710"/>
    <cellStyle name="Percent 8 2 2 3" xfId="8783"/>
    <cellStyle name="Percent 8 2 3" xfId="6590"/>
    <cellStyle name="Percent 8 2 3 2" xfId="7067"/>
    <cellStyle name="Percent 8 2 3 3" xfId="10709"/>
    <cellStyle name="Percent 8 2 4" xfId="8782"/>
    <cellStyle name="Percent 8 3" xfId="3096"/>
    <cellStyle name="Percent 8 3 2" xfId="3097"/>
    <cellStyle name="Percent 8 3 2 2" xfId="6593"/>
    <cellStyle name="Percent 8 3 2 3" xfId="8785"/>
    <cellStyle name="Percent 8 3 3" xfId="6592"/>
    <cellStyle name="Percent 8 3 4" xfId="8784"/>
    <cellStyle name="Percent 8 4" xfId="3098"/>
    <cellStyle name="Percent 8 4 2" xfId="6594"/>
    <cellStyle name="Percent 8 4 3" xfId="8786"/>
    <cellStyle name="Percent 8 5" xfId="3099"/>
    <cellStyle name="Percent 8 5 2" xfId="3100"/>
    <cellStyle name="Percent 8 5 2 2" xfId="6596"/>
    <cellStyle name="Percent 8 5 2 3" xfId="8788"/>
    <cellStyle name="Percent 8 5 3" xfId="3101"/>
    <cellStyle name="Percent 8 5 3 2" xfId="6597"/>
    <cellStyle name="Percent 8 5 3 3" xfId="8789"/>
    <cellStyle name="Percent 8 5 4" xfId="3102"/>
    <cellStyle name="Percent 8 5 4 2" xfId="3103"/>
    <cellStyle name="Percent 8 5 4 2 2" xfId="3104"/>
    <cellStyle name="Percent 8 5 4 2 2 2" xfId="6600"/>
    <cellStyle name="Percent 8 5 4 2 2 3" xfId="8792"/>
    <cellStyle name="Percent 8 5 4 2 3" xfId="3105"/>
    <cellStyle name="Percent 8 5 4 2 3 2" xfId="3106"/>
    <cellStyle name="Percent 8 5 4 2 3 2 2" xfId="6602"/>
    <cellStyle name="Percent 8 5 4 2 3 2 3" xfId="8794"/>
    <cellStyle name="Percent 8 5 4 2 3 3" xfId="3107"/>
    <cellStyle name="Percent 8 5 4 2 3 3 2" xfId="3108"/>
    <cellStyle name="Percent 8 5 4 2 3 3 2 2" xfId="6604"/>
    <cellStyle name="Percent 8 5 4 2 3 3 2 3" xfId="8796"/>
    <cellStyle name="Percent 8 5 4 2 3 3 3" xfId="3109"/>
    <cellStyle name="Percent 8 5 4 2 3 3 3 2" xfId="6605"/>
    <cellStyle name="Percent 8 5 4 2 3 3 3 3" xfId="8797"/>
    <cellStyle name="Percent 8 5 4 2 3 3 4" xfId="3110"/>
    <cellStyle name="Percent 8 5 4 2 3 3 4 2" xfId="3111"/>
    <cellStyle name="Percent 8 5 4 2 3 3 4 2 2" xfId="6607"/>
    <cellStyle name="Percent 8 5 4 2 3 3 4 2 3" xfId="8799"/>
    <cellStyle name="Percent 8 5 4 2 3 3 4 3" xfId="3112"/>
    <cellStyle name="Percent 8 5 4 2 3 3 4 3 2" xfId="6608"/>
    <cellStyle name="Percent 8 5 4 2 3 3 4 3 3" xfId="8800"/>
    <cellStyle name="Percent 8 5 4 2 3 3 4 4" xfId="6606"/>
    <cellStyle name="Percent 8 5 4 2 3 3 4 5" xfId="8798"/>
    <cellStyle name="Percent 8 5 4 2 3 3 5" xfId="6603"/>
    <cellStyle name="Percent 8 5 4 2 3 3 6" xfId="8795"/>
    <cellStyle name="Percent 8 5 4 2 3 4" xfId="6601"/>
    <cellStyle name="Percent 8 5 4 2 3 5" xfId="8793"/>
    <cellStyle name="Percent 8 5 4 2 4" xfId="6599"/>
    <cellStyle name="Percent 8 5 4 2 5" xfId="8791"/>
    <cellStyle name="Percent 8 5 4 3" xfId="3113"/>
    <cellStyle name="Percent 8 5 4 3 2" xfId="6609"/>
    <cellStyle name="Percent 8 5 4 3 3" xfId="8801"/>
    <cellStyle name="Percent 8 5 4 4" xfId="3114"/>
    <cellStyle name="Percent 8 5 4 4 2" xfId="3115"/>
    <cellStyle name="Percent 8 5 4 4 2 2" xfId="6611"/>
    <cellStyle name="Percent 8 5 4 4 2 3" xfId="8803"/>
    <cellStyle name="Percent 8 5 4 4 3" xfId="3116"/>
    <cellStyle name="Percent 8 5 4 4 3 2" xfId="3117"/>
    <cellStyle name="Percent 8 5 4 4 3 2 2" xfId="6613"/>
    <cellStyle name="Percent 8 5 4 4 3 2 3" xfId="8805"/>
    <cellStyle name="Percent 8 5 4 4 3 3" xfId="3118"/>
    <cellStyle name="Percent 8 5 4 4 3 3 2" xfId="6614"/>
    <cellStyle name="Percent 8 5 4 4 3 3 3" xfId="8806"/>
    <cellStyle name="Percent 8 5 4 4 3 4" xfId="3119"/>
    <cellStyle name="Percent 8 5 4 4 3 4 2" xfId="3120"/>
    <cellStyle name="Percent 8 5 4 4 3 4 2 2" xfId="6616"/>
    <cellStyle name="Percent 8 5 4 4 3 4 2 3" xfId="8808"/>
    <cellStyle name="Percent 8 5 4 4 3 4 3" xfId="3121"/>
    <cellStyle name="Percent 8 5 4 4 3 4 3 2" xfId="6617"/>
    <cellStyle name="Percent 8 5 4 4 3 4 3 3" xfId="8809"/>
    <cellStyle name="Percent 8 5 4 4 3 4 4" xfId="6615"/>
    <cellStyle name="Percent 8 5 4 4 3 4 5" xfId="8807"/>
    <cellStyle name="Percent 8 5 4 4 3 5" xfId="6612"/>
    <cellStyle name="Percent 8 5 4 4 3 6" xfId="8804"/>
    <cellStyle name="Percent 8 5 4 4 4" xfId="6610"/>
    <cellStyle name="Percent 8 5 4 4 5" xfId="8802"/>
    <cellStyle name="Percent 8 5 4 5" xfId="6598"/>
    <cellStyle name="Percent 8 5 4 6" xfId="8790"/>
    <cellStyle name="Percent 8 5 5" xfId="6595"/>
    <cellStyle name="Percent 8 5 6" xfId="8787"/>
    <cellStyle name="Percent 8 6" xfId="3122"/>
    <cellStyle name="Percent 8 7" xfId="3123"/>
    <cellStyle name="Percent 8 7 2" xfId="6618"/>
    <cellStyle name="Percent 8 7 3" xfId="8810"/>
    <cellStyle name="Percent 8 8" xfId="4093"/>
    <cellStyle name="Percent 8 9" xfId="8781"/>
    <cellStyle name="Percent 9" xfId="3124"/>
    <cellStyle name="Percent 9 2" xfId="3125"/>
    <cellStyle name="Percent 9 2 2" xfId="3126"/>
    <cellStyle name="Percent 9 2 2 2" xfId="6621"/>
    <cellStyle name="Percent 9 2 2 3" xfId="8813"/>
    <cellStyle name="Percent 9 2 3" xfId="3127"/>
    <cellStyle name="Percent 9 2 3 2" xfId="3128"/>
    <cellStyle name="Percent 9 2 3 2 2" xfId="6623"/>
    <cellStyle name="Percent 9 2 3 2 3" xfId="8815"/>
    <cellStyle name="Percent 9 2 3 3" xfId="3129"/>
    <cellStyle name="Percent 9 2 3 3 2" xfId="3130"/>
    <cellStyle name="Percent 9 2 3 3 2 2" xfId="6625"/>
    <cellStyle name="Percent 9 2 3 3 2 3" xfId="8817"/>
    <cellStyle name="Percent 9 2 3 3 3" xfId="3131"/>
    <cellStyle name="Percent 9 2 3 3 3 2" xfId="6626"/>
    <cellStyle name="Percent 9 2 3 3 3 3" xfId="8818"/>
    <cellStyle name="Percent 9 2 3 3 4" xfId="3132"/>
    <cellStyle name="Percent 9 2 3 3 4 2" xfId="3133"/>
    <cellStyle name="Percent 9 2 3 3 4 2 2" xfId="6628"/>
    <cellStyle name="Percent 9 2 3 3 4 2 3" xfId="8820"/>
    <cellStyle name="Percent 9 2 3 3 4 3" xfId="3134"/>
    <cellStyle name="Percent 9 2 3 3 4 3 2" xfId="6629"/>
    <cellStyle name="Percent 9 2 3 3 4 3 3" xfId="8821"/>
    <cellStyle name="Percent 9 2 3 3 4 4" xfId="6627"/>
    <cellStyle name="Percent 9 2 3 3 4 5" xfId="8819"/>
    <cellStyle name="Percent 9 2 3 3 5" xfId="6624"/>
    <cellStyle name="Percent 9 2 3 3 6" xfId="8816"/>
    <cellStyle name="Percent 9 2 3 4" xfId="6622"/>
    <cellStyle name="Percent 9 2 3 5" xfId="8814"/>
    <cellStyle name="Percent 9 2 4" xfId="6620"/>
    <cellStyle name="Percent 9 2 5" xfId="8812"/>
    <cellStyle name="Percent 9 3" xfId="3135"/>
    <cellStyle name="Percent 9 3 2" xfId="6630"/>
    <cellStyle name="Percent 9 3 3" xfId="8822"/>
    <cellStyle name="Percent 9 4" xfId="3136"/>
    <cellStyle name="Percent 9 4 2" xfId="3137"/>
    <cellStyle name="Percent 9 4 2 2" xfId="6632"/>
    <cellStyle name="Percent 9 4 2 3" xfId="8824"/>
    <cellStyle name="Percent 9 4 3" xfId="3138"/>
    <cellStyle name="Percent 9 4 3 2" xfId="3139"/>
    <cellStyle name="Percent 9 4 3 2 2" xfId="6634"/>
    <cellStyle name="Percent 9 4 3 2 3" xfId="8826"/>
    <cellStyle name="Percent 9 4 3 3" xfId="3140"/>
    <cellStyle name="Percent 9 4 3 3 2" xfId="6635"/>
    <cellStyle name="Percent 9 4 3 3 3" xfId="8827"/>
    <cellStyle name="Percent 9 4 3 4" xfId="3141"/>
    <cellStyle name="Percent 9 4 3 4 2" xfId="3142"/>
    <cellStyle name="Percent 9 4 3 4 2 2" xfId="6637"/>
    <cellStyle name="Percent 9 4 3 4 2 3" xfId="8829"/>
    <cellStyle name="Percent 9 4 3 4 3" xfId="3143"/>
    <cellStyle name="Percent 9 4 3 4 3 2" xfId="6638"/>
    <cellStyle name="Percent 9 4 3 4 3 3" xfId="8830"/>
    <cellStyle name="Percent 9 4 3 4 4" xfId="6636"/>
    <cellStyle name="Percent 9 4 3 4 5" xfId="8828"/>
    <cellStyle name="Percent 9 4 3 5" xfId="6633"/>
    <cellStyle name="Percent 9 4 3 6" xfId="8825"/>
    <cellStyle name="Percent 9 4 4" xfId="6631"/>
    <cellStyle name="Percent 9 4 5" xfId="8823"/>
    <cellStyle name="Percent 9 5" xfId="6619"/>
    <cellStyle name="Percent 9 5 2" xfId="7068"/>
    <cellStyle name="Percent 9 5 3" xfId="10711"/>
    <cellStyle name="Percent 9 6" xfId="7069"/>
    <cellStyle name="Percent 9 6 2" xfId="10910"/>
    <cellStyle name="Percent 9 7" xfId="8811"/>
    <cellStyle name="Reference" xfId="7070"/>
    <cellStyle name="title" xfId="3144"/>
    <cellStyle name="title 2" xfId="3145"/>
    <cellStyle name="title 3" xfId="3146"/>
    <cellStyle name="title 4" xfId="3147"/>
    <cellStyle name="title 5" xfId="3148"/>
    <cellStyle name="title 6" xfId="3586"/>
    <cellStyle name="Title_Attachment Two A" xfId="3149"/>
  </cellStyles>
  <dxfs count="254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numFmt numFmtId="164" formatCode="_(* #,##0_);_(* \(#,##0\);_(* &quot;-&quot;??_);_(@_)"/>
    </dxf>
    <dxf>
      <font>
        <color rgb="FFFF0000"/>
      </font>
    </dxf>
    <dxf>
      <alignment horizontal="center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font>
        <sz val="8"/>
      </font>
    </dxf>
    <dxf>
      <font>
        <name val="Calibri"/>
        <scheme val="minor"/>
      </font>
    </dxf>
    <dxf>
      <numFmt numFmtId="33" formatCode="_(* #,##0_);_(* \(#,##0\);_(* &quot;-&quot;_);_(@_)"/>
    </dxf>
    <dxf>
      <fill>
        <patternFill patternType="solid">
          <fgColor indexed="64"/>
          <bgColor theme="0" tint="-0.14999847407452621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font>
        <sz val="8"/>
      </font>
    </dxf>
    <dxf>
      <font>
        <name val="Calibri"/>
        <scheme val="minor"/>
      </font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font>
        <sz val="8"/>
      </font>
    </dxf>
    <dxf>
      <font>
        <name val="Calibri"/>
        <scheme val="minor"/>
      </font>
    </dxf>
    <dxf>
      <numFmt numFmtId="33" formatCode="_(* #,##0_);_(* \(#,##0\);_(* &quot;-&quot;_);_(@_)"/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font>
        <sz val="8"/>
      </font>
    </dxf>
    <dxf>
      <font>
        <name val="Calibri"/>
        <scheme val="minor"/>
      </font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font>
        <sz val="8"/>
      </font>
    </dxf>
    <dxf>
      <font>
        <name val="Calibri"/>
        <scheme val="minor"/>
      </font>
    </dxf>
    <dxf>
      <numFmt numFmtId="33" formatCode="_(* #,##0_);_(* \(#,##0\);_(* &quot;-&quot;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5" formatCode="_(* #,##0.00_);_(* \(#,##0.00\);_(* &quot;-&quot;??_);_(@_)"/>
    </dxf>
    <dxf>
      <numFmt numFmtId="177" formatCode="_(* #,##0.0_);_(* \(#,##0.0\);_(* &quot;-&quot;??_);_(@_)"/>
    </dxf>
    <dxf>
      <numFmt numFmtId="177" formatCode="_(* #,##0.0_);_(* \(#,##0.0\);_(* &quot;-&quot;??_);_(@_)"/>
    </dxf>
    <dxf>
      <numFmt numFmtId="177" formatCode="_(* #,##0.0_);_(* \(#,##0.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ill>
        <patternFill patternType="solid">
          <bgColor theme="3" tint="0.79998168889431442"/>
        </patternFill>
      </fill>
    </dxf>
    <dxf>
      <fill>
        <patternFill patternType="solid">
          <bgColor rgb="FFFFFF00"/>
        </patternFill>
      </fill>
    </dxf>
    <dxf>
      <numFmt numFmtId="164" formatCode="_(* #,##0_);_(* \(#,##0\);_(* &quot;-&quot;??_);_(@_)"/>
    </dxf>
    <dxf>
      <fill>
        <patternFill patternType="none">
          <bgColor auto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(* #,##0.00_);_(* \(#,##0.00\);_(* &quot;-&quot;??_);_(@_)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pivotCacheDefinition" Target="pivotCache/pivotCacheDefinition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CFCB43.A0622E30" TargetMode="Externa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CFCB43.A0622E30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</xdr:col>
      <xdr:colOff>104775</xdr:colOff>
      <xdr:row>3</xdr:row>
      <xdr:rowOff>164375</xdr:rowOff>
    </xdr:to>
    <xdr:pic>
      <xdr:nvPicPr>
        <xdr:cNvPr id="4" name="Picture 2" descr="cid:image002.jpg@01CFC2D8.C36ED9A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495425" cy="72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1495425</xdr:colOff>
      <xdr:row>3</xdr:row>
      <xdr:rowOff>131990</xdr:rowOff>
    </xdr:to>
    <xdr:pic>
      <xdr:nvPicPr>
        <xdr:cNvPr id="4" name="Picture 3" descr="cid:image002.jpg@01CFC2D8.C36ED9A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5425" cy="72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CMCKNI~1\LOCALS~1\Temp\EnrollmentReport_2002-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wanager\Local%20Settings\Temporary%20Internet%20Files\OLK25\WINDOWS\TEMP\BUDG97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llocations\fy2003\Background\Childc_StofColor_Disabled\CMINA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wanager\Local%20Settings\Temporary%20Internet%20Files\OLK25\Documents%20and%20Settings\lmccreery\Local%20Settings\Temporary%20Internet%20Files\OLK222\FromCarme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YR%2005-06\FromCarme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wanager\Local%20Settings\Temporary%20Internet%20Files\OLK25\Documents%20and%20Settings\lmccreery\Local%20Settings\Temporary%20Internet%20Files\OLK222\Pgs%20to%20Linda%20M-02-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wanager\Local%20Settings\Temporary%20Internet%20Files\OLK25\Documents%20and%20Settings\lmccreery\Local%20Settings\Temporary%20Internet%20Files\OLK222\7%60expend%2002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BCTC%20Enrollment%20Reports\2003-04%20SBCTC%20Enrollment%20Repor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rollment Summary"/>
      <sheetName val="Excess Summary"/>
      <sheetName val="Total"/>
      <sheetName val="Base"/>
      <sheetName val="Worker Retraining"/>
      <sheetName val="Apprenticeship"/>
      <sheetName val="Excess"/>
      <sheetName val="Allocation"/>
      <sheetName val="Basic Skills"/>
      <sheetName val="SumEnroll"/>
      <sheetName val="FalEnroll"/>
      <sheetName val="Contract Enrollments"/>
      <sheetName val="Self-Support Enrollments"/>
      <sheetName val="WinEnroll"/>
      <sheetName val="SprEnro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28</v>
          </cell>
          <cell r="B3" t="str">
            <v>Bates</v>
          </cell>
          <cell r="C3">
            <v>3935</v>
          </cell>
          <cell r="D3">
            <v>3973</v>
          </cell>
          <cell r="E3">
            <v>27</v>
          </cell>
          <cell r="F3">
            <v>31</v>
          </cell>
          <cell r="G3">
            <v>269</v>
          </cell>
          <cell r="H3">
            <v>331</v>
          </cell>
          <cell r="I3">
            <v>4231</v>
          </cell>
          <cell r="J3">
            <v>4335</v>
          </cell>
        </row>
        <row r="4">
          <cell r="A4" t="str">
            <v>08</v>
          </cell>
          <cell r="B4" t="str">
            <v>Bellevue</v>
          </cell>
          <cell r="C4">
            <v>6147</v>
          </cell>
          <cell r="D4">
            <v>6268</v>
          </cell>
          <cell r="E4">
            <v>0</v>
          </cell>
          <cell r="F4">
            <v>0</v>
          </cell>
          <cell r="G4">
            <v>262</v>
          </cell>
          <cell r="H4">
            <v>335</v>
          </cell>
          <cell r="I4">
            <v>6409</v>
          </cell>
          <cell r="J4">
            <v>6603</v>
          </cell>
        </row>
        <row r="5">
          <cell r="A5" t="str">
            <v>25</v>
          </cell>
          <cell r="B5" t="str">
            <v>Bellingham</v>
          </cell>
          <cell r="C5">
            <v>1453</v>
          </cell>
          <cell r="D5">
            <v>1471</v>
          </cell>
          <cell r="E5">
            <v>12</v>
          </cell>
          <cell r="F5">
            <v>10</v>
          </cell>
          <cell r="G5">
            <v>73</v>
          </cell>
          <cell r="H5">
            <v>97</v>
          </cell>
          <cell r="I5">
            <v>1538</v>
          </cell>
          <cell r="J5">
            <v>1578</v>
          </cell>
        </row>
        <row r="6">
          <cell r="A6" t="str">
            <v>18</v>
          </cell>
          <cell r="B6" t="str">
            <v>Big Bend</v>
          </cell>
          <cell r="C6">
            <v>1433</v>
          </cell>
          <cell r="D6">
            <v>1461</v>
          </cell>
          <cell r="E6">
            <v>0</v>
          </cell>
          <cell r="F6">
            <v>0</v>
          </cell>
          <cell r="G6">
            <v>55</v>
          </cell>
          <cell r="H6">
            <v>65</v>
          </cell>
          <cell r="I6">
            <v>1488</v>
          </cell>
          <cell r="J6">
            <v>1526</v>
          </cell>
        </row>
        <row r="7">
          <cell r="A7" t="str">
            <v>30</v>
          </cell>
          <cell r="B7" t="str">
            <v>Cascadia</v>
          </cell>
          <cell r="C7">
            <v>914</v>
          </cell>
          <cell r="D7">
            <v>1026</v>
          </cell>
          <cell r="E7">
            <v>0</v>
          </cell>
          <cell r="F7">
            <v>0</v>
          </cell>
          <cell r="G7">
            <v>36</v>
          </cell>
          <cell r="H7">
            <v>48</v>
          </cell>
          <cell r="I7">
            <v>950</v>
          </cell>
          <cell r="J7">
            <v>1074</v>
          </cell>
        </row>
        <row r="8">
          <cell r="A8" t="str">
            <v>12</v>
          </cell>
          <cell r="B8" t="str">
            <v>Centralia</v>
          </cell>
          <cell r="C8">
            <v>1860</v>
          </cell>
          <cell r="D8">
            <v>1893</v>
          </cell>
          <cell r="E8">
            <v>0</v>
          </cell>
          <cell r="F8">
            <v>1</v>
          </cell>
          <cell r="G8">
            <v>127</v>
          </cell>
          <cell r="H8">
            <v>135</v>
          </cell>
          <cell r="I8">
            <v>1987</v>
          </cell>
          <cell r="J8">
            <v>2029</v>
          </cell>
        </row>
        <row r="9">
          <cell r="A9" t="str">
            <v>14</v>
          </cell>
          <cell r="B9" t="str">
            <v>Clark</v>
          </cell>
          <cell r="C9">
            <v>5709</v>
          </cell>
          <cell r="D9">
            <v>5796</v>
          </cell>
          <cell r="E9">
            <v>0</v>
          </cell>
          <cell r="F9">
            <v>0</v>
          </cell>
          <cell r="G9">
            <v>121</v>
          </cell>
          <cell r="H9">
            <v>163</v>
          </cell>
          <cell r="I9">
            <v>5830</v>
          </cell>
          <cell r="J9">
            <v>5959</v>
          </cell>
        </row>
        <row r="10">
          <cell r="A10" t="str">
            <v>29</v>
          </cell>
          <cell r="B10" t="str">
            <v>Clover Park</v>
          </cell>
          <cell r="C10">
            <v>3663</v>
          </cell>
          <cell r="D10">
            <v>3691</v>
          </cell>
          <cell r="E10">
            <v>0</v>
          </cell>
          <cell r="F10">
            <v>0</v>
          </cell>
          <cell r="G10">
            <v>193</v>
          </cell>
          <cell r="H10">
            <v>277</v>
          </cell>
          <cell r="I10">
            <v>3856</v>
          </cell>
          <cell r="J10">
            <v>3968</v>
          </cell>
        </row>
        <row r="11">
          <cell r="A11" t="str">
            <v>19</v>
          </cell>
          <cell r="B11" t="str">
            <v>Columbia Basin</v>
          </cell>
          <cell r="C11">
            <v>4091</v>
          </cell>
          <cell r="D11">
            <v>4126</v>
          </cell>
          <cell r="E11">
            <v>35</v>
          </cell>
          <cell r="F11">
            <v>40</v>
          </cell>
          <cell r="G11">
            <v>248</v>
          </cell>
          <cell r="H11">
            <v>278</v>
          </cell>
          <cell r="I11">
            <v>4374</v>
          </cell>
          <cell r="J11">
            <v>4444</v>
          </cell>
        </row>
        <row r="12">
          <cell r="A12" t="str">
            <v>23</v>
          </cell>
          <cell r="B12" t="str">
            <v>Edmonds</v>
          </cell>
          <cell r="C12">
            <v>4293</v>
          </cell>
          <cell r="D12">
            <v>4422</v>
          </cell>
          <cell r="E12">
            <v>0</v>
          </cell>
          <cell r="F12">
            <v>0</v>
          </cell>
          <cell r="G12">
            <v>201</v>
          </cell>
          <cell r="H12">
            <v>253</v>
          </cell>
          <cell r="I12">
            <v>4494</v>
          </cell>
          <cell r="J12">
            <v>4675</v>
          </cell>
        </row>
        <row r="13">
          <cell r="A13" t="str">
            <v>05</v>
          </cell>
          <cell r="B13" t="str">
            <v>Everett</v>
          </cell>
          <cell r="C13">
            <v>4118</v>
          </cell>
          <cell r="D13">
            <v>4240</v>
          </cell>
          <cell r="E13">
            <v>5</v>
          </cell>
          <cell r="F13">
            <v>20</v>
          </cell>
          <cell r="G13">
            <v>138</v>
          </cell>
          <cell r="H13">
            <v>187</v>
          </cell>
          <cell r="I13">
            <v>4261</v>
          </cell>
          <cell r="J13">
            <v>4447</v>
          </cell>
        </row>
        <row r="14">
          <cell r="A14" t="str">
            <v>02</v>
          </cell>
          <cell r="B14" t="str">
            <v>Grays Harbor</v>
          </cell>
          <cell r="C14">
            <v>1482</v>
          </cell>
          <cell r="D14">
            <v>1486</v>
          </cell>
          <cell r="E14">
            <v>0</v>
          </cell>
          <cell r="F14">
            <v>0</v>
          </cell>
          <cell r="G14">
            <v>212</v>
          </cell>
          <cell r="H14">
            <v>202</v>
          </cell>
          <cell r="I14">
            <v>1694</v>
          </cell>
          <cell r="J14">
            <v>1688</v>
          </cell>
        </row>
        <row r="15">
          <cell r="A15" t="str">
            <v>10</v>
          </cell>
          <cell r="B15" t="str">
            <v>Green River</v>
          </cell>
          <cell r="C15">
            <v>4785</v>
          </cell>
          <cell r="D15">
            <v>4858</v>
          </cell>
          <cell r="E15">
            <v>0</v>
          </cell>
          <cell r="F15">
            <v>0</v>
          </cell>
          <cell r="G15">
            <v>297</v>
          </cell>
          <cell r="H15">
            <v>383</v>
          </cell>
          <cell r="I15">
            <v>5082</v>
          </cell>
          <cell r="J15">
            <v>5241</v>
          </cell>
        </row>
        <row r="16">
          <cell r="A16" t="str">
            <v>09</v>
          </cell>
          <cell r="B16" t="str">
            <v>Highline</v>
          </cell>
          <cell r="C16">
            <v>5345</v>
          </cell>
          <cell r="D16">
            <v>5404</v>
          </cell>
          <cell r="E16">
            <v>0</v>
          </cell>
          <cell r="F16">
            <v>1</v>
          </cell>
          <cell r="G16">
            <v>226</v>
          </cell>
          <cell r="H16">
            <v>285</v>
          </cell>
          <cell r="I16">
            <v>5571</v>
          </cell>
          <cell r="J16">
            <v>5690</v>
          </cell>
        </row>
        <row r="17">
          <cell r="A17" t="str">
            <v>26</v>
          </cell>
          <cell r="B17" t="str">
            <v>Lake Washington</v>
          </cell>
          <cell r="C17">
            <v>2426</v>
          </cell>
          <cell r="D17">
            <v>2493</v>
          </cell>
          <cell r="E17">
            <v>53</v>
          </cell>
          <cell r="F17">
            <v>0</v>
          </cell>
          <cell r="G17">
            <v>130</v>
          </cell>
          <cell r="H17">
            <v>198</v>
          </cell>
          <cell r="I17">
            <v>2609</v>
          </cell>
          <cell r="J17">
            <v>2691</v>
          </cell>
        </row>
        <row r="18">
          <cell r="A18" t="str">
            <v>13</v>
          </cell>
          <cell r="B18" t="str">
            <v>Lower Columbia</v>
          </cell>
          <cell r="C18">
            <v>2226</v>
          </cell>
          <cell r="D18">
            <v>2251</v>
          </cell>
          <cell r="E18">
            <v>0</v>
          </cell>
          <cell r="F18">
            <v>11</v>
          </cell>
          <cell r="G18">
            <v>51</v>
          </cell>
          <cell r="H18">
            <v>59</v>
          </cell>
          <cell r="I18">
            <v>2277</v>
          </cell>
          <cell r="J18">
            <v>2321</v>
          </cell>
        </row>
        <row r="19">
          <cell r="A19" t="str">
            <v>03</v>
          </cell>
          <cell r="B19" t="str">
            <v>Olympic</v>
          </cell>
          <cell r="C19">
            <v>4115</v>
          </cell>
          <cell r="D19">
            <v>4186</v>
          </cell>
          <cell r="E19">
            <v>21</v>
          </cell>
          <cell r="F19">
            <v>65</v>
          </cell>
          <cell r="G19">
            <v>186</v>
          </cell>
          <cell r="H19">
            <v>217</v>
          </cell>
          <cell r="I19">
            <v>4322</v>
          </cell>
          <cell r="J19">
            <v>4468</v>
          </cell>
        </row>
        <row r="20">
          <cell r="A20" t="str">
            <v>01</v>
          </cell>
          <cell r="B20" t="str">
            <v>Peninsula</v>
          </cell>
          <cell r="C20">
            <v>1375</v>
          </cell>
          <cell r="D20">
            <v>1375</v>
          </cell>
          <cell r="E20">
            <v>0</v>
          </cell>
          <cell r="F20">
            <v>0</v>
          </cell>
          <cell r="G20">
            <v>228</v>
          </cell>
          <cell r="H20">
            <v>254</v>
          </cell>
          <cell r="I20">
            <v>1603</v>
          </cell>
          <cell r="J20">
            <v>1629</v>
          </cell>
        </row>
        <row r="21">
          <cell r="A21" t="str">
            <v>11</v>
          </cell>
          <cell r="B21" t="str">
            <v>Pierce</v>
          </cell>
          <cell r="C21">
            <v>4821</v>
          </cell>
          <cell r="D21">
            <v>4886</v>
          </cell>
          <cell r="E21">
            <v>24</v>
          </cell>
          <cell r="F21">
            <v>21</v>
          </cell>
          <cell r="G21">
            <v>183</v>
          </cell>
          <cell r="H21">
            <v>228</v>
          </cell>
          <cell r="I21">
            <v>5028</v>
          </cell>
          <cell r="J21">
            <v>5135</v>
          </cell>
        </row>
        <row r="22">
          <cell r="A22" t="str">
            <v>27</v>
          </cell>
          <cell r="B22" t="str">
            <v>Renton</v>
          </cell>
          <cell r="C22">
            <v>3070</v>
          </cell>
          <cell r="D22">
            <v>3126</v>
          </cell>
          <cell r="E22">
            <v>20</v>
          </cell>
          <cell r="F22">
            <v>48</v>
          </cell>
          <cell r="G22">
            <v>229</v>
          </cell>
          <cell r="H22">
            <v>295</v>
          </cell>
          <cell r="I22">
            <v>3319</v>
          </cell>
          <cell r="J22">
            <v>3469</v>
          </cell>
        </row>
        <row r="23">
          <cell r="A23" t="str">
            <v>06</v>
          </cell>
          <cell r="B23" t="str">
            <v>Seattle District</v>
          </cell>
          <cell r="C23">
            <v>13009</v>
          </cell>
          <cell r="D23">
            <v>13089</v>
          </cell>
          <cell r="E23">
            <v>55</v>
          </cell>
          <cell r="F23">
            <v>154</v>
          </cell>
          <cell r="G23">
            <v>663</v>
          </cell>
          <cell r="H23">
            <v>871</v>
          </cell>
          <cell r="I23">
            <v>13727</v>
          </cell>
          <cell r="J23">
            <v>14114</v>
          </cell>
        </row>
        <row r="24">
          <cell r="A24" t="str">
            <v>07</v>
          </cell>
          <cell r="B24" t="str">
            <v>Shoreline</v>
          </cell>
          <cell r="C24">
            <v>4977</v>
          </cell>
          <cell r="D24">
            <v>4977</v>
          </cell>
          <cell r="E24">
            <v>14</v>
          </cell>
          <cell r="F24">
            <v>0</v>
          </cell>
          <cell r="G24">
            <v>165</v>
          </cell>
          <cell r="H24">
            <v>211</v>
          </cell>
          <cell r="I24">
            <v>5156</v>
          </cell>
          <cell r="J24">
            <v>5188</v>
          </cell>
        </row>
        <row r="25">
          <cell r="A25" t="str">
            <v>04</v>
          </cell>
          <cell r="B25" t="str">
            <v>Skagit Valley</v>
          </cell>
          <cell r="C25">
            <v>3293</v>
          </cell>
          <cell r="D25">
            <v>3345</v>
          </cell>
          <cell r="E25">
            <v>4</v>
          </cell>
          <cell r="F25">
            <v>0</v>
          </cell>
          <cell r="G25">
            <v>139</v>
          </cell>
          <cell r="H25">
            <v>195</v>
          </cell>
          <cell r="I25">
            <v>3436</v>
          </cell>
          <cell r="J25">
            <v>3540</v>
          </cell>
        </row>
        <row r="26">
          <cell r="A26" t="str">
            <v>24</v>
          </cell>
          <cell r="B26" t="str">
            <v>South Puget Sound</v>
          </cell>
          <cell r="C26">
            <v>3044</v>
          </cell>
          <cell r="D26">
            <v>3136</v>
          </cell>
          <cell r="E26">
            <v>0</v>
          </cell>
          <cell r="F26">
            <v>0</v>
          </cell>
          <cell r="G26">
            <v>149</v>
          </cell>
          <cell r="H26">
            <v>117</v>
          </cell>
          <cell r="I26">
            <v>3193</v>
          </cell>
          <cell r="J26">
            <v>3253</v>
          </cell>
        </row>
        <row r="27">
          <cell r="A27" t="str">
            <v>17</v>
          </cell>
          <cell r="B27" t="str">
            <v>Spokane District</v>
          </cell>
          <cell r="C27">
            <v>12385</v>
          </cell>
          <cell r="D27">
            <v>12465</v>
          </cell>
          <cell r="E27">
            <v>5</v>
          </cell>
          <cell r="F27">
            <v>48</v>
          </cell>
          <cell r="G27">
            <v>270</v>
          </cell>
          <cell r="H27">
            <v>301</v>
          </cell>
          <cell r="I27">
            <v>12660</v>
          </cell>
          <cell r="J27">
            <v>12814</v>
          </cell>
        </row>
        <row r="28">
          <cell r="A28" t="str">
            <v>22</v>
          </cell>
          <cell r="B28" t="str">
            <v>Tacoma</v>
          </cell>
          <cell r="C28">
            <v>3846</v>
          </cell>
          <cell r="D28">
            <v>3893</v>
          </cell>
          <cell r="E28">
            <v>0</v>
          </cell>
          <cell r="F28">
            <v>0</v>
          </cell>
          <cell r="G28">
            <v>242</v>
          </cell>
          <cell r="H28">
            <v>275</v>
          </cell>
          <cell r="I28">
            <v>4088</v>
          </cell>
          <cell r="J28">
            <v>4168</v>
          </cell>
        </row>
        <row r="29">
          <cell r="A29" t="str">
            <v>20</v>
          </cell>
          <cell r="B29" t="str">
            <v>Walla Walla</v>
          </cell>
          <cell r="C29">
            <v>2473</v>
          </cell>
          <cell r="D29">
            <v>2491</v>
          </cell>
          <cell r="E29">
            <v>0</v>
          </cell>
          <cell r="F29">
            <v>0</v>
          </cell>
          <cell r="G29">
            <v>257</v>
          </cell>
          <cell r="H29">
            <v>279</v>
          </cell>
          <cell r="I29">
            <v>2730</v>
          </cell>
          <cell r="J29">
            <v>2770</v>
          </cell>
        </row>
        <row r="30">
          <cell r="A30" t="str">
            <v>15</v>
          </cell>
          <cell r="B30" t="str">
            <v>Wenatchee Valley</v>
          </cell>
          <cell r="C30">
            <v>2113</v>
          </cell>
          <cell r="D30">
            <v>2138</v>
          </cell>
          <cell r="E30">
            <v>0</v>
          </cell>
          <cell r="F30">
            <v>0</v>
          </cell>
          <cell r="G30">
            <v>127</v>
          </cell>
          <cell r="H30">
            <v>142</v>
          </cell>
          <cell r="I30">
            <v>2240</v>
          </cell>
          <cell r="J30">
            <v>2280</v>
          </cell>
        </row>
        <row r="31">
          <cell r="A31" t="str">
            <v>21</v>
          </cell>
          <cell r="B31" t="str">
            <v>Whatcom</v>
          </cell>
          <cell r="C31">
            <v>1920</v>
          </cell>
          <cell r="D31">
            <v>1993</v>
          </cell>
          <cell r="E31">
            <v>0</v>
          </cell>
          <cell r="F31">
            <v>0</v>
          </cell>
          <cell r="G31">
            <v>86</v>
          </cell>
          <cell r="H31">
            <v>41</v>
          </cell>
          <cell r="I31">
            <v>2006</v>
          </cell>
          <cell r="J31">
            <v>2034</v>
          </cell>
        </row>
        <row r="32">
          <cell r="A32" t="str">
            <v>16</v>
          </cell>
          <cell r="B32" t="str">
            <v>Yakima Valley</v>
          </cell>
          <cell r="C32">
            <v>3456</v>
          </cell>
          <cell r="D32">
            <v>3463</v>
          </cell>
          <cell r="E32">
            <v>0</v>
          </cell>
          <cell r="F32">
            <v>0</v>
          </cell>
          <cell r="G32">
            <v>87</v>
          </cell>
          <cell r="H32">
            <v>115</v>
          </cell>
          <cell r="I32">
            <v>3543</v>
          </cell>
          <cell r="J32">
            <v>3578</v>
          </cell>
        </row>
        <row r="33">
          <cell r="B33" t="str">
            <v>College Total</v>
          </cell>
          <cell r="C33">
            <v>117777</v>
          </cell>
          <cell r="D33">
            <v>119422</v>
          </cell>
          <cell r="E33">
            <v>275</v>
          </cell>
          <cell r="F33">
            <v>450</v>
          </cell>
          <cell r="G33">
            <v>5650</v>
          </cell>
          <cell r="H33">
            <v>6837</v>
          </cell>
          <cell r="I33">
            <v>123702</v>
          </cell>
          <cell r="J33">
            <v>126709</v>
          </cell>
        </row>
        <row r="34">
          <cell r="A34" t="str">
            <v>89</v>
          </cell>
          <cell r="B34" t="str">
            <v>State Board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550</v>
          </cell>
          <cell r="H34">
            <v>667</v>
          </cell>
          <cell r="I34">
            <v>550</v>
          </cell>
          <cell r="J34">
            <v>667</v>
          </cell>
        </row>
        <row r="35">
          <cell r="B35" t="str">
            <v>Total Allocation</v>
          </cell>
          <cell r="C35">
            <v>117777</v>
          </cell>
          <cell r="D35">
            <v>119422</v>
          </cell>
          <cell r="E35">
            <v>275</v>
          </cell>
          <cell r="F35">
            <v>450</v>
          </cell>
          <cell r="G35">
            <v>6200</v>
          </cell>
          <cell r="H35">
            <v>7504</v>
          </cell>
          <cell r="I35">
            <v>124252</v>
          </cell>
          <cell r="J35">
            <v>127376</v>
          </cell>
        </row>
        <row r="36">
          <cell r="A36" t="str">
            <v>R</v>
          </cell>
          <cell r="B36" t="str">
            <v>Reserve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16</v>
          </cell>
          <cell r="I36">
            <v>0</v>
          </cell>
          <cell r="J36">
            <v>16</v>
          </cell>
        </row>
        <row r="37">
          <cell r="B37" t="str">
            <v>System Total</v>
          </cell>
          <cell r="C37">
            <v>117777</v>
          </cell>
          <cell r="D37">
            <v>119422</v>
          </cell>
          <cell r="E37">
            <v>275</v>
          </cell>
          <cell r="F37">
            <v>450</v>
          </cell>
          <cell r="G37">
            <v>6200</v>
          </cell>
          <cell r="H37">
            <v>7520</v>
          </cell>
          <cell r="I37">
            <v>124252</v>
          </cell>
          <cell r="J37">
            <v>127392</v>
          </cell>
        </row>
      </sheetData>
      <sheetData sheetId="8" refreshError="1"/>
      <sheetData sheetId="9" refreshError="1">
        <row r="2">
          <cell r="A2" t="str">
            <v>DISTRICT</v>
          </cell>
          <cell r="B2" t="str">
            <v>SumOfTotal_FTES</v>
          </cell>
          <cell r="C2" t="str">
            <v>SumOfBase_FTES</v>
          </cell>
          <cell r="D2" t="str">
            <v>SumOfWR_FTES</v>
          </cell>
          <cell r="E2" t="str">
            <v>SumOfApprent_FTES</v>
          </cell>
          <cell r="F2" t="str">
            <v>SumOfTotal_Excess_FTES</v>
          </cell>
          <cell r="G2" t="str">
            <v>SumOfBase_Excess_FTES</v>
          </cell>
          <cell r="H2" t="str">
            <v>SumOfWR_Excess_FTES</v>
          </cell>
          <cell r="I2" t="str">
            <v>SumOfBasicSkills_FTES</v>
          </cell>
          <cell r="K2" t="str">
            <v>DISTRICT</v>
          </cell>
          <cell r="L2" t="str">
            <v>SumOfTotal_FTES</v>
          </cell>
          <cell r="M2" t="str">
            <v>SumOfBase_FTES</v>
          </cell>
          <cell r="N2" t="str">
            <v>SumOfWR_FTES</v>
          </cell>
          <cell r="O2" t="str">
            <v>SumOfApprent_FTES</v>
          </cell>
          <cell r="P2" t="str">
            <v>SumOfTotal_Excess_FTES</v>
          </cell>
          <cell r="Q2" t="str">
            <v>SumOfBase_Excess_FTES</v>
          </cell>
          <cell r="R2" t="str">
            <v>SumOfWR_Excess_FTES</v>
          </cell>
          <cell r="S2" t="str">
            <v>SumOfBasicSkills_FTES</v>
          </cell>
        </row>
        <row r="3">
          <cell r="A3" t="str">
            <v>01</v>
          </cell>
          <cell r="B3">
            <v>385.85</v>
          </cell>
          <cell r="C3">
            <v>330.78333333333325</v>
          </cell>
          <cell r="D3">
            <v>55.066666666666769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K3" t="str">
            <v>01</v>
          </cell>
          <cell r="L3">
            <v>368.137</v>
          </cell>
          <cell r="M3">
            <v>329.47699999999998</v>
          </cell>
          <cell r="N3">
            <v>38.659999999999997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A4" t="str">
            <v>02</v>
          </cell>
          <cell r="B4">
            <v>349.92600000000004</v>
          </cell>
          <cell r="C4">
            <v>307.29933333333338</v>
          </cell>
          <cell r="D4">
            <v>42.626666666666694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K4" t="str">
            <v>02</v>
          </cell>
          <cell r="L4">
            <v>342.65899999999999</v>
          </cell>
          <cell r="M4">
            <v>307.51233333333334</v>
          </cell>
          <cell r="N4">
            <v>35.146666666666626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A5" t="str">
            <v>03</v>
          </cell>
          <cell r="B5">
            <v>1528.539</v>
          </cell>
          <cell r="C5">
            <v>1282.8256666666659</v>
          </cell>
          <cell r="D5">
            <v>91.580000000000069</v>
          </cell>
          <cell r="E5">
            <v>154.13333333333389</v>
          </cell>
          <cell r="F5">
            <v>0</v>
          </cell>
          <cell r="G5">
            <v>0</v>
          </cell>
          <cell r="H5">
            <v>0</v>
          </cell>
          <cell r="I5">
            <v>3.686666666666667</v>
          </cell>
          <cell r="K5" t="str">
            <v>03</v>
          </cell>
          <cell r="L5">
            <v>1539.13</v>
          </cell>
          <cell r="M5">
            <v>1332.53</v>
          </cell>
          <cell r="N5">
            <v>139.93333333333328</v>
          </cell>
          <cell r="O5">
            <v>66.666666666666885</v>
          </cell>
          <cell r="P5">
            <v>0</v>
          </cell>
          <cell r="Q5">
            <v>0</v>
          </cell>
          <cell r="R5">
            <v>0</v>
          </cell>
          <cell r="S5">
            <v>3.4533333333333331</v>
          </cell>
        </row>
        <row r="6">
          <cell r="A6" t="str">
            <v>04</v>
          </cell>
          <cell r="B6">
            <v>1127.115</v>
          </cell>
          <cell r="C6">
            <v>1041.6683333333333</v>
          </cell>
          <cell r="D6">
            <v>67.713333333333424</v>
          </cell>
          <cell r="E6">
            <v>17.733333333333331</v>
          </cell>
          <cell r="F6">
            <v>0</v>
          </cell>
          <cell r="G6">
            <v>0</v>
          </cell>
          <cell r="H6">
            <v>0</v>
          </cell>
          <cell r="I6">
            <v>1.58</v>
          </cell>
          <cell r="K6" t="str">
            <v>04</v>
          </cell>
          <cell r="L6">
            <v>1309.6580000000001</v>
          </cell>
          <cell r="M6">
            <v>1116.7046666666668</v>
          </cell>
          <cell r="N6">
            <v>179.32</v>
          </cell>
          <cell r="O6">
            <v>13.633333333333324</v>
          </cell>
          <cell r="P6">
            <v>0</v>
          </cell>
          <cell r="Q6">
            <v>0</v>
          </cell>
          <cell r="R6">
            <v>0</v>
          </cell>
          <cell r="S6">
            <v>1.72</v>
          </cell>
        </row>
        <row r="7">
          <cell r="A7" t="str">
            <v>05</v>
          </cell>
          <cell r="B7">
            <v>1582.9870000000001</v>
          </cell>
          <cell r="C7">
            <v>1381.9470000000003</v>
          </cell>
          <cell r="D7">
            <v>137.37333333333302</v>
          </cell>
          <cell r="E7">
            <v>63.666666666666785</v>
          </cell>
          <cell r="F7">
            <v>0</v>
          </cell>
          <cell r="G7">
            <v>0</v>
          </cell>
          <cell r="H7">
            <v>0</v>
          </cell>
          <cell r="I7">
            <v>0.44666666666666666</v>
          </cell>
          <cell r="K7" t="str">
            <v>05</v>
          </cell>
          <cell r="L7">
            <v>1627.07</v>
          </cell>
          <cell r="M7">
            <v>1384.003333333332</v>
          </cell>
          <cell r="N7">
            <v>216.73333333333468</v>
          </cell>
          <cell r="O7">
            <v>26.333333333333307</v>
          </cell>
          <cell r="P7">
            <v>0</v>
          </cell>
          <cell r="Q7">
            <v>0</v>
          </cell>
          <cell r="R7">
            <v>0</v>
          </cell>
          <cell r="S7">
            <v>0.48666666666666669</v>
          </cell>
        </row>
        <row r="8">
          <cell r="A8" t="str">
            <v>06</v>
          </cell>
          <cell r="B8">
            <v>4526.9369999999999</v>
          </cell>
          <cell r="C8">
            <v>4097.3636666666671</v>
          </cell>
          <cell r="D8">
            <v>360.90666666666647</v>
          </cell>
          <cell r="E8">
            <v>68.666666666666927</v>
          </cell>
          <cell r="F8">
            <v>0</v>
          </cell>
          <cell r="G8">
            <v>0</v>
          </cell>
          <cell r="H8">
            <v>0</v>
          </cell>
          <cell r="I8">
            <v>0.16666666666666666</v>
          </cell>
          <cell r="K8" t="str">
            <v>06</v>
          </cell>
          <cell r="L8">
            <v>5091.8240000000005</v>
          </cell>
          <cell r="M8">
            <v>4344.7039999999997</v>
          </cell>
          <cell r="N8">
            <v>627.18666666666786</v>
          </cell>
          <cell r="O8">
            <v>119.93333333333216</v>
          </cell>
          <cell r="P8">
            <v>0</v>
          </cell>
          <cell r="Q8">
            <v>0</v>
          </cell>
          <cell r="R8">
            <v>0</v>
          </cell>
          <cell r="S8">
            <v>6.6666666666666671E-3</v>
          </cell>
        </row>
        <row r="9">
          <cell r="A9" t="str">
            <v>07</v>
          </cell>
          <cell r="B9">
            <v>1518.731</v>
          </cell>
          <cell r="C9">
            <v>1428.4843333333333</v>
          </cell>
          <cell r="D9">
            <v>90.246666666666769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K9" t="str">
            <v>07</v>
          </cell>
          <cell r="L9">
            <v>1849.633</v>
          </cell>
          <cell r="M9">
            <v>1673.5329999999997</v>
          </cell>
          <cell r="N9">
            <v>176.1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A10" t="str">
            <v>08</v>
          </cell>
          <cell r="B10">
            <v>1885.373</v>
          </cell>
          <cell r="C10">
            <v>1720.2063333333333</v>
          </cell>
          <cell r="D10">
            <v>165.16666666666677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 t="str">
            <v>08</v>
          </cell>
          <cell r="L10">
            <v>2058.8830000000003</v>
          </cell>
          <cell r="M10">
            <v>1829.2896666666661</v>
          </cell>
          <cell r="N10">
            <v>229.59333333333421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A11" t="str">
            <v>09</v>
          </cell>
          <cell r="B11">
            <v>2341.2570000000001</v>
          </cell>
          <cell r="C11">
            <v>2235.1436666666668</v>
          </cell>
          <cell r="D11">
            <v>106.11333333333314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1.1399999999999999</v>
          </cell>
          <cell r="K11" t="str">
            <v>09</v>
          </cell>
          <cell r="L11">
            <v>2452.2890000000002</v>
          </cell>
          <cell r="M11">
            <v>2232.8223333333331</v>
          </cell>
          <cell r="N11">
            <v>219.46666666666721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A12" t="str">
            <v>10</v>
          </cell>
          <cell r="B12">
            <v>1680.972</v>
          </cell>
          <cell r="C12">
            <v>1557.1520000000003</v>
          </cell>
          <cell r="D12">
            <v>123.82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19.02</v>
          </cell>
          <cell r="K12" t="str">
            <v>10</v>
          </cell>
          <cell r="L12">
            <v>1964.933</v>
          </cell>
          <cell r="M12">
            <v>1655.1196666666679</v>
          </cell>
          <cell r="N12">
            <v>309.8133333333322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8.1333333333333329</v>
          </cell>
        </row>
        <row r="13">
          <cell r="A13" t="str">
            <v>11</v>
          </cell>
          <cell r="B13">
            <v>1800.5230000000001</v>
          </cell>
          <cell r="C13">
            <v>1683.1230000000005</v>
          </cell>
          <cell r="D13">
            <v>116.73333333333312</v>
          </cell>
          <cell r="E13">
            <v>0.66666666666666663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K13" t="str">
            <v>11</v>
          </cell>
          <cell r="L13">
            <v>2006.652</v>
          </cell>
          <cell r="M13">
            <v>1818.1853333333338</v>
          </cell>
          <cell r="N13">
            <v>188.46666666666636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A14" t="str">
            <v>12</v>
          </cell>
          <cell r="B14">
            <v>706.12400000000002</v>
          </cell>
          <cell r="C14">
            <v>641.57733333333317</v>
          </cell>
          <cell r="D14">
            <v>55.080000000000112</v>
          </cell>
          <cell r="E14">
            <v>9.466666666666665</v>
          </cell>
          <cell r="F14">
            <v>0</v>
          </cell>
          <cell r="G14">
            <v>0</v>
          </cell>
          <cell r="H14">
            <v>0</v>
          </cell>
          <cell r="I14">
            <v>0.26666666666666666</v>
          </cell>
          <cell r="K14" t="str">
            <v>12</v>
          </cell>
          <cell r="L14">
            <v>756.97300000000007</v>
          </cell>
          <cell r="M14">
            <v>664.75966666666659</v>
          </cell>
          <cell r="N14">
            <v>82.680000000000121</v>
          </cell>
          <cell r="O14">
            <v>9.5333333333333314</v>
          </cell>
          <cell r="P14">
            <v>0</v>
          </cell>
          <cell r="Q14">
            <v>0</v>
          </cell>
          <cell r="R14">
            <v>0</v>
          </cell>
          <cell r="S14">
            <v>1.0133333333333334</v>
          </cell>
        </row>
        <row r="15">
          <cell r="A15" t="str">
            <v>13</v>
          </cell>
          <cell r="B15">
            <v>723.29</v>
          </cell>
          <cell r="C15">
            <v>661.74333333333311</v>
          </cell>
          <cell r="D15">
            <v>60.08000000000014</v>
          </cell>
          <cell r="E15">
            <v>1.4666666666666666</v>
          </cell>
          <cell r="F15">
            <v>0</v>
          </cell>
          <cell r="G15">
            <v>0</v>
          </cell>
          <cell r="H15">
            <v>0</v>
          </cell>
          <cell r="I15">
            <v>0.37333333333333335</v>
          </cell>
          <cell r="K15" t="str">
            <v>13</v>
          </cell>
          <cell r="L15">
            <v>728.05100000000004</v>
          </cell>
          <cell r="M15">
            <v>559.13099999999997</v>
          </cell>
          <cell r="N15">
            <v>164.0533333333334</v>
          </cell>
          <cell r="O15">
            <v>4.8666666666666671</v>
          </cell>
          <cell r="P15">
            <v>0</v>
          </cell>
          <cell r="Q15">
            <v>0</v>
          </cell>
          <cell r="R15">
            <v>0</v>
          </cell>
          <cell r="S15">
            <v>0.89333333333333342</v>
          </cell>
        </row>
        <row r="16">
          <cell r="A16" t="str">
            <v>14</v>
          </cell>
          <cell r="B16">
            <v>1970.481</v>
          </cell>
          <cell r="C16">
            <v>1840.2476666666664</v>
          </cell>
          <cell r="D16">
            <v>129.16666666666691</v>
          </cell>
          <cell r="E16">
            <v>1.0666666666666667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K16" t="str">
            <v>14</v>
          </cell>
          <cell r="L16">
            <v>2344.413</v>
          </cell>
          <cell r="M16">
            <v>2055.8663333333357</v>
          </cell>
          <cell r="N16">
            <v>288.54666666666446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A17" t="str">
            <v>15</v>
          </cell>
          <cell r="B17">
            <v>557.97699999999998</v>
          </cell>
          <cell r="C17">
            <v>512.75699999999995</v>
          </cell>
          <cell r="D17">
            <v>42.953333333333347</v>
          </cell>
          <cell r="E17">
            <v>2.2666666666666671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K17" t="str">
            <v>15</v>
          </cell>
          <cell r="L17">
            <v>639.51700000000005</v>
          </cell>
          <cell r="M17">
            <v>600.18366666666668</v>
          </cell>
          <cell r="N17">
            <v>38.266666666666659</v>
          </cell>
          <cell r="O17">
            <v>1.0666666666666667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A18" t="str">
            <v>16</v>
          </cell>
          <cell r="B18">
            <v>874.64400000000001</v>
          </cell>
          <cell r="C18">
            <v>805.35733333333326</v>
          </cell>
          <cell r="D18">
            <v>51.620000000000104</v>
          </cell>
          <cell r="E18">
            <v>17.666666666666671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 t="str">
            <v>16</v>
          </cell>
          <cell r="L18">
            <v>1010.883</v>
          </cell>
          <cell r="M18">
            <v>913.56299999999987</v>
          </cell>
          <cell r="N18">
            <v>97.320000000000107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>17</v>
          </cell>
          <cell r="B19">
            <v>3662.2430000000004</v>
          </cell>
          <cell r="C19">
            <v>3516.9229999999998</v>
          </cell>
          <cell r="D19">
            <v>134.67333333333335</v>
          </cell>
          <cell r="E19">
            <v>10.646666666666672</v>
          </cell>
          <cell r="F19">
            <v>0</v>
          </cell>
          <cell r="G19">
            <v>0</v>
          </cell>
          <cell r="H19">
            <v>0</v>
          </cell>
          <cell r="I19">
            <v>2.42</v>
          </cell>
          <cell r="K19" t="str">
            <v>17</v>
          </cell>
          <cell r="L19">
            <v>3428.9810000000002</v>
          </cell>
          <cell r="M19">
            <v>3281.6076666666668</v>
          </cell>
          <cell r="N19">
            <v>136.04666666666674</v>
          </cell>
          <cell r="O19">
            <v>11.326666666666679</v>
          </cell>
          <cell r="P19">
            <v>0</v>
          </cell>
          <cell r="Q19">
            <v>0</v>
          </cell>
          <cell r="R19">
            <v>0</v>
          </cell>
          <cell r="S19">
            <v>0.67333333333333334</v>
          </cell>
        </row>
        <row r="20">
          <cell r="A20" t="str">
            <v>18</v>
          </cell>
          <cell r="B20">
            <v>308.92599999999999</v>
          </cell>
          <cell r="C20">
            <v>297.26599999999996</v>
          </cell>
          <cell r="D20">
            <v>11.66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K20" t="str">
            <v>18</v>
          </cell>
          <cell r="L20">
            <v>312.11200000000002</v>
          </cell>
          <cell r="M20">
            <v>297.14533333333338</v>
          </cell>
          <cell r="N20">
            <v>14.966666666666667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A21" t="str">
            <v>19</v>
          </cell>
          <cell r="B21">
            <v>1459.604</v>
          </cell>
          <cell r="C21">
            <v>1343.4440000000002</v>
          </cell>
          <cell r="D21">
            <v>111.96</v>
          </cell>
          <cell r="E21">
            <v>4.2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K21" t="str">
            <v>19</v>
          </cell>
          <cell r="L21">
            <v>1483.0530000000001</v>
          </cell>
          <cell r="M21">
            <v>1308.9463333333335</v>
          </cell>
          <cell r="N21">
            <v>166.50666666666658</v>
          </cell>
          <cell r="O21">
            <v>7.6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A22" t="str">
            <v>20</v>
          </cell>
          <cell r="B22">
            <v>697.12700000000007</v>
          </cell>
          <cell r="C22">
            <v>644.22699999999998</v>
          </cell>
          <cell r="D22">
            <v>52.900000000000084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K22" t="str">
            <v>20</v>
          </cell>
          <cell r="L22">
            <v>675.20400000000006</v>
          </cell>
          <cell r="M22">
            <v>616.51733333333334</v>
          </cell>
          <cell r="N22">
            <v>58.686666666666746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1.4666666666666666</v>
          </cell>
        </row>
        <row r="23">
          <cell r="A23" t="str">
            <v>21</v>
          </cell>
          <cell r="B23">
            <v>28.242000000000001</v>
          </cell>
          <cell r="C23">
            <v>28.108666666666668</v>
          </cell>
          <cell r="D23">
            <v>0.13333333333333333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K23" t="str">
            <v>21</v>
          </cell>
          <cell r="L23">
            <v>27.222000000000001</v>
          </cell>
          <cell r="M23">
            <v>26.755333333333336</v>
          </cell>
          <cell r="N23">
            <v>0.46666666666666667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A24" t="str">
            <v>22</v>
          </cell>
          <cell r="B24">
            <v>1489.694</v>
          </cell>
          <cell r="C24">
            <v>1370.5473333333337</v>
          </cell>
          <cell r="D24">
            <v>119.14666666666629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K24" t="str">
            <v>22</v>
          </cell>
          <cell r="L24">
            <v>1783.578</v>
          </cell>
          <cell r="M24">
            <v>1622.9579999999999</v>
          </cell>
          <cell r="N24">
            <v>160.62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3.9666666666666686</v>
          </cell>
        </row>
        <row r="25">
          <cell r="A25" t="str">
            <v>23</v>
          </cell>
          <cell r="B25">
            <v>1584.8890000000001</v>
          </cell>
          <cell r="C25">
            <v>1461.9023333333337</v>
          </cell>
          <cell r="D25">
            <v>122.98666666666638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K25" t="str">
            <v>23</v>
          </cell>
          <cell r="L25">
            <v>1730.125</v>
          </cell>
          <cell r="M25">
            <v>1482.9449999999999</v>
          </cell>
          <cell r="N25">
            <v>247.1800000000008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24</v>
          </cell>
          <cell r="B26">
            <v>852.00400000000002</v>
          </cell>
          <cell r="C26">
            <v>819.90400000000011</v>
          </cell>
          <cell r="D26">
            <v>29.8</v>
          </cell>
          <cell r="E26">
            <v>2.2999999999999998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K26" t="str">
            <v>24</v>
          </cell>
          <cell r="L26">
            <v>898.99900000000002</v>
          </cell>
          <cell r="M26">
            <v>845.13233333333324</v>
          </cell>
          <cell r="N26">
            <v>52.66666666666675</v>
          </cell>
          <cell r="O26">
            <v>1.2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A27" t="str">
            <v>25</v>
          </cell>
          <cell r="B27">
            <v>367.49400000000003</v>
          </cell>
          <cell r="C27">
            <v>338.07400000000007</v>
          </cell>
          <cell r="D27">
            <v>9.6533333333333324</v>
          </cell>
          <cell r="E27">
            <v>19.766666666666669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K27" t="str">
            <v>25</v>
          </cell>
          <cell r="L27">
            <v>350.11600000000004</v>
          </cell>
          <cell r="M27">
            <v>285.46266666666673</v>
          </cell>
          <cell r="N27">
            <v>51.533333333333282</v>
          </cell>
          <cell r="O27">
            <v>13.12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A28" t="str">
            <v>26</v>
          </cell>
          <cell r="B28">
            <v>1160.739</v>
          </cell>
          <cell r="C28">
            <v>1047.0256666666667</v>
          </cell>
          <cell r="D28">
            <v>113.71333333333337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K28" t="str">
            <v>26</v>
          </cell>
          <cell r="L28">
            <v>1380.6570000000002</v>
          </cell>
          <cell r="M28">
            <v>1095.5703333333336</v>
          </cell>
          <cell r="N28">
            <v>285.08666666666664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8.666666666666667E-2</v>
          </cell>
        </row>
        <row r="29">
          <cell r="A29" t="str">
            <v>27</v>
          </cell>
          <cell r="B29">
            <v>1057.7260000000001</v>
          </cell>
          <cell r="C29">
            <v>886.11266666666745</v>
          </cell>
          <cell r="D29">
            <v>97.820000000000078</v>
          </cell>
          <cell r="E29">
            <v>73.793333333332612</v>
          </cell>
          <cell r="F29">
            <v>0</v>
          </cell>
          <cell r="G29">
            <v>0</v>
          </cell>
          <cell r="H29">
            <v>0</v>
          </cell>
          <cell r="I29">
            <v>0.68</v>
          </cell>
          <cell r="K29" t="str">
            <v>27</v>
          </cell>
          <cell r="L29">
            <v>1146.328</v>
          </cell>
          <cell r="M29">
            <v>918.67466666666746</v>
          </cell>
          <cell r="N29">
            <v>150.64666666666668</v>
          </cell>
          <cell r="O29">
            <v>77.006666666665836</v>
          </cell>
          <cell r="P29">
            <v>0</v>
          </cell>
          <cell r="Q29">
            <v>0</v>
          </cell>
          <cell r="R29">
            <v>0</v>
          </cell>
          <cell r="S29">
            <v>2.4666666666666668</v>
          </cell>
        </row>
        <row r="30">
          <cell r="A30" t="str">
            <v>28</v>
          </cell>
          <cell r="B30">
            <v>1962.7570000000001</v>
          </cell>
          <cell r="C30">
            <v>1823.3970000000002</v>
          </cell>
          <cell r="D30">
            <v>102.95333333333332</v>
          </cell>
          <cell r="E30">
            <v>36.406666666666624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K30" t="str">
            <v>28</v>
          </cell>
          <cell r="L30">
            <v>2076.12</v>
          </cell>
          <cell r="M30">
            <v>1801.8466666666668</v>
          </cell>
          <cell r="N30">
            <v>223.12</v>
          </cell>
          <cell r="O30">
            <v>51.153333333333265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A31" t="str">
            <v>29</v>
          </cell>
          <cell r="B31">
            <v>2295.6840000000002</v>
          </cell>
          <cell r="C31">
            <v>2088.6239999999998</v>
          </cell>
          <cell r="D31">
            <v>206.30666666666667</v>
          </cell>
          <cell r="E31">
            <v>0.75333333333333341</v>
          </cell>
          <cell r="F31">
            <v>0</v>
          </cell>
          <cell r="G31">
            <v>0</v>
          </cell>
          <cell r="H31">
            <v>0</v>
          </cell>
          <cell r="I31">
            <v>52.046666666666589</v>
          </cell>
          <cell r="K31" t="str">
            <v>29</v>
          </cell>
          <cell r="L31">
            <v>2544.5820000000003</v>
          </cell>
          <cell r="M31">
            <v>1981.6419999999989</v>
          </cell>
          <cell r="N31">
            <v>562.80666666666798</v>
          </cell>
          <cell r="O31">
            <v>0.13333333333333333</v>
          </cell>
          <cell r="P31">
            <v>0</v>
          </cell>
          <cell r="Q31">
            <v>0</v>
          </cell>
          <cell r="R31">
            <v>0</v>
          </cell>
          <cell r="S31">
            <v>40.32</v>
          </cell>
        </row>
        <row r="32">
          <cell r="A32" t="str">
            <v>30</v>
          </cell>
          <cell r="B32">
            <v>332.09300000000002</v>
          </cell>
          <cell r="C32">
            <v>298.29300000000006</v>
          </cell>
          <cell r="D32">
            <v>33.799999999999997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K32" t="str">
            <v>30</v>
          </cell>
          <cell r="L32">
            <v>413.34500000000003</v>
          </cell>
          <cell r="M32">
            <v>370.63833333333332</v>
          </cell>
          <cell r="N32">
            <v>42.706666666666706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</sheetData>
      <sheetData sheetId="10" refreshError="1">
        <row r="2">
          <cell r="A2" t="str">
            <v>DISTRICT</v>
          </cell>
          <cell r="B2" t="str">
            <v>SumOfTotal_FTES</v>
          </cell>
          <cell r="C2" t="str">
            <v>SumOfBase_FTES</v>
          </cell>
          <cell r="D2" t="str">
            <v>SumOfWR_FTES</v>
          </cell>
          <cell r="E2" t="str">
            <v>SumOfApprent_FTES</v>
          </cell>
          <cell r="F2" t="str">
            <v>SumOfTotal_Excess_FTES</v>
          </cell>
          <cell r="G2" t="str">
            <v>SumOfBase_Excess_FTES</v>
          </cell>
          <cell r="H2" t="str">
            <v>SumOfWR_Excess_FTES</v>
          </cell>
          <cell r="I2" t="str">
            <v>SumOfBasicSkills_FTES</v>
          </cell>
          <cell r="K2" t="str">
            <v>DISTRICT</v>
          </cell>
          <cell r="L2" t="str">
            <v>SumOfTotal_FTES</v>
          </cell>
          <cell r="M2" t="str">
            <v>SumOfBase_FTES</v>
          </cell>
          <cell r="N2" t="str">
            <v>SumOfWR_FTES</v>
          </cell>
          <cell r="O2" t="str">
            <v>SumOfApprent_FTES</v>
          </cell>
          <cell r="P2" t="str">
            <v>SumOfTotal_Excess_FTES</v>
          </cell>
          <cell r="Q2" t="str">
            <v>SumOfBase_Excess_FTES</v>
          </cell>
          <cell r="R2" t="str">
            <v>SumOfWR_Excess_FTES</v>
          </cell>
          <cell r="S2" t="str">
            <v>SumOfBasicSkills_FTES</v>
          </cell>
        </row>
        <row r="3">
          <cell r="A3" t="str">
            <v>01</v>
          </cell>
          <cell r="B3">
            <v>1505.21</v>
          </cell>
          <cell r="C3">
            <v>1298.51</v>
          </cell>
          <cell r="D3">
            <v>206.70000000000056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0.44666666666666666</v>
          </cell>
          <cell r="K3" t="str">
            <v>01</v>
          </cell>
          <cell r="L3">
            <v>1581.3620000000001</v>
          </cell>
          <cell r="M3">
            <v>1366.428666666666</v>
          </cell>
          <cell r="N3">
            <v>214.93333333333391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0.40666666666666668</v>
          </cell>
        </row>
        <row r="4">
          <cell r="A4" t="str">
            <v>02</v>
          </cell>
          <cell r="B4">
            <v>1763.489</v>
          </cell>
          <cell r="C4">
            <v>1580.3423333333335</v>
          </cell>
          <cell r="D4">
            <v>179.41333333333313</v>
          </cell>
          <cell r="E4">
            <v>3.7333333333333329</v>
          </cell>
          <cell r="F4">
            <v>0</v>
          </cell>
          <cell r="G4">
            <v>0</v>
          </cell>
          <cell r="H4">
            <v>0</v>
          </cell>
          <cell r="I4">
            <v>3.1066666666666669</v>
          </cell>
          <cell r="K4" t="str">
            <v>02</v>
          </cell>
          <cell r="L4">
            <v>1629.4090000000001</v>
          </cell>
          <cell r="M4">
            <v>1448.7023333333334</v>
          </cell>
          <cell r="N4">
            <v>176.44</v>
          </cell>
          <cell r="O4">
            <v>4.2666666666666666</v>
          </cell>
          <cell r="P4">
            <v>0</v>
          </cell>
          <cell r="Q4">
            <v>0</v>
          </cell>
          <cell r="R4">
            <v>0</v>
          </cell>
          <cell r="S4">
            <v>8.98</v>
          </cell>
        </row>
        <row r="5">
          <cell r="A5" t="str">
            <v>03</v>
          </cell>
          <cell r="B5">
            <v>4103.1329999999998</v>
          </cell>
          <cell r="C5">
            <v>3567.2930000000074</v>
          </cell>
          <cell r="D5">
            <v>166.30666666666676</v>
          </cell>
          <cell r="E5">
            <v>369.5333333333254</v>
          </cell>
          <cell r="F5">
            <v>0</v>
          </cell>
          <cell r="G5">
            <v>0</v>
          </cell>
          <cell r="H5">
            <v>0</v>
          </cell>
          <cell r="I5">
            <v>3.2866666666666662</v>
          </cell>
          <cell r="K5" t="str">
            <v>03</v>
          </cell>
          <cell r="L5">
            <v>4214.9390000000003</v>
          </cell>
          <cell r="M5">
            <v>3540.3790000000081</v>
          </cell>
          <cell r="N5">
            <v>257.82666666666751</v>
          </cell>
          <cell r="O5">
            <v>416.7333333333238</v>
          </cell>
          <cell r="P5">
            <v>0</v>
          </cell>
          <cell r="Q5">
            <v>0</v>
          </cell>
          <cell r="R5">
            <v>0</v>
          </cell>
          <cell r="S5">
            <v>5.6666666666666679</v>
          </cell>
        </row>
        <row r="6">
          <cell r="A6" t="str">
            <v>04</v>
          </cell>
          <cell r="B6">
            <v>3200.9380000000001</v>
          </cell>
          <cell r="C6">
            <v>3032.704666666667</v>
          </cell>
          <cell r="D6">
            <v>128.30000000000001</v>
          </cell>
          <cell r="E6">
            <v>39.933333333333344</v>
          </cell>
          <cell r="F6">
            <v>0</v>
          </cell>
          <cell r="G6">
            <v>0</v>
          </cell>
          <cell r="H6">
            <v>0</v>
          </cell>
          <cell r="I6">
            <v>2.193333333333332</v>
          </cell>
          <cell r="K6" t="str">
            <v>04</v>
          </cell>
          <cell r="L6">
            <v>3451.6210000000001</v>
          </cell>
          <cell r="M6">
            <v>3075.3210000000026</v>
          </cell>
          <cell r="N6">
            <v>337.56666666666405</v>
          </cell>
          <cell r="O6">
            <v>38.733333333333363</v>
          </cell>
          <cell r="P6">
            <v>0</v>
          </cell>
          <cell r="Q6">
            <v>0</v>
          </cell>
          <cell r="R6">
            <v>0</v>
          </cell>
          <cell r="S6">
            <v>0.72666666666666679</v>
          </cell>
        </row>
        <row r="7">
          <cell r="A7" t="str">
            <v>05</v>
          </cell>
          <cell r="B7">
            <v>4072.0260000000003</v>
          </cell>
          <cell r="C7">
            <v>3788.7726666666663</v>
          </cell>
          <cell r="D7">
            <v>183.55333333333414</v>
          </cell>
          <cell r="E7">
            <v>99.7</v>
          </cell>
          <cell r="F7">
            <v>0</v>
          </cell>
          <cell r="G7">
            <v>0</v>
          </cell>
          <cell r="H7">
            <v>0</v>
          </cell>
          <cell r="I7">
            <v>0.24</v>
          </cell>
          <cell r="K7" t="str">
            <v>05</v>
          </cell>
          <cell r="L7">
            <v>4366.143</v>
          </cell>
          <cell r="M7">
            <v>3912.1763333333361</v>
          </cell>
          <cell r="N7">
            <v>341.66666666666453</v>
          </cell>
          <cell r="O7">
            <v>112.3</v>
          </cell>
          <cell r="P7">
            <v>0</v>
          </cell>
          <cell r="Q7">
            <v>0</v>
          </cell>
          <cell r="R7">
            <v>0</v>
          </cell>
          <cell r="S7">
            <v>1.3933333333333335</v>
          </cell>
        </row>
        <row r="8">
          <cell r="A8" t="str">
            <v>06</v>
          </cell>
          <cell r="B8">
            <v>12957.704</v>
          </cell>
          <cell r="C8">
            <v>11355.323999999973</v>
          </cell>
          <cell r="D8">
            <v>669.58000000000197</v>
          </cell>
          <cell r="E8">
            <v>932.80000000002462</v>
          </cell>
          <cell r="F8">
            <v>0</v>
          </cell>
          <cell r="G8">
            <v>0</v>
          </cell>
          <cell r="H8">
            <v>0</v>
          </cell>
          <cell r="I8">
            <v>5.6133333333333333</v>
          </cell>
          <cell r="K8" t="str">
            <v>06</v>
          </cell>
          <cell r="L8">
            <v>13548.992</v>
          </cell>
          <cell r="M8">
            <v>11599.285333333301</v>
          </cell>
          <cell r="N8">
            <v>949.67999999999836</v>
          </cell>
          <cell r="O8">
            <v>1000.0266666667097</v>
          </cell>
          <cell r="P8">
            <v>0</v>
          </cell>
          <cell r="Q8">
            <v>0</v>
          </cell>
          <cell r="R8">
            <v>0</v>
          </cell>
          <cell r="S8">
            <v>3.26</v>
          </cell>
        </row>
        <row r="9">
          <cell r="A9" t="str">
            <v>07</v>
          </cell>
          <cell r="B9">
            <v>4792.7</v>
          </cell>
          <cell r="C9">
            <v>4633.46</v>
          </cell>
          <cell r="D9">
            <v>159.24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1.1599999999999999</v>
          </cell>
          <cell r="K9" t="str">
            <v>07</v>
          </cell>
          <cell r="L9">
            <v>5106.3969999999999</v>
          </cell>
          <cell r="M9">
            <v>4830.5436666666674</v>
          </cell>
          <cell r="N9">
            <v>275.8533333333333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0.38666666666666666</v>
          </cell>
        </row>
        <row r="10">
          <cell r="A10" t="str">
            <v>08</v>
          </cell>
          <cell r="B10">
            <v>7309.375</v>
          </cell>
          <cell r="C10">
            <v>6981.3683333333347</v>
          </cell>
          <cell r="D10">
            <v>328.00666666666541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 t="str">
            <v>08</v>
          </cell>
          <cell r="L10">
            <v>7683.9120000000003</v>
          </cell>
          <cell r="M10">
            <v>7254.552000000007</v>
          </cell>
          <cell r="N10">
            <v>429.35999999999319</v>
          </cell>
          <cell r="O10">
            <v>0</v>
          </cell>
          <cell r="P10">
            <v>763.14666666668165</v>
          </cell>
          <cell r="Q10">
            <v>746.21333333334826</v>
          </cell>
          <cell r="R10">
            <v>16.933333333333341</v>
          </cell>
          <cell r="S10">
            <v>6.6666666666666671E-3</v>
          </cell>
        </row>
        <row r="11">
          <cell r="A11" t="str">
            <v>09</v>
          </cell>
          <cell r="B11">
            <v>5280.9580000000005</v>
          </cell>
          <cell r="C11">
            <v>5077.3313333333335</v>
          </cell>
          <cell r="D11">
            <v>197.69333333333392</v>
          </cell>
          <cell r="E11">
            <v>5.9333333333333336</v>
          </cell>
          <cell r="F11">
            <v>0</v>
          </cell>
          <cell r="G11">
            <v>0</v>
          </cell>
          <cell r="H11">
            <v>0</v>
          </cell>
          <cell r="I11">
            <v>1.66</v>
          </cell>
          <cell r="K11" t="str">
            <v>09</v>
          </cell>
          <cell r="L11">
            <v>5371.98</v>
          </cell>
          <cell r="M11">
            <v>5011.3533333333362</v>
          </cell>
          <cell r="N11">
            <v>348.6266666666636</v>
          </cell>
          <cell r="O11">
            <v>12</v>
          </cell>
          <cell r="P11">
            <v>0</v>
          </cell>
          <cell r="Q11">
            <v>0</v>
          </cell>
          <cell r="R11">
            <v>0</v>
          </cell>
          <cell r="S11">
            <v>7.3333333333333334E-2</v>
          </cell>
        </row>
        <row r="12">
          <cell r="A12" t="str">
            <v>10</v>
          </cell>
          <cell r="B12">
            <v>4819.393</v>
          </cell>
          <cell r="C12">
            <v>4579.4529999999986</v>
          </cell>
          <cell r="D12">
            <v>239.94000000000182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49.613333333333308</v>
          </cell>
          <cell r="K12" t="str">
            <v>10</v>
          </cell>
          <cell r="L12">
            <v>4999.3530000000001</v>
          </cell>
          <cell r="M12">
            <v>4502.4596666666775</v>
          </cell>
          <cell r="N12">
            <v>496.893333333322</v>
          </cell>
          <cell r="O12">
            <v>0</v>
          </cell>
          <cell r="P12">
            <v>335.63999999999794</v>
          </cell>
          <cell r="Q12">
            <v>327.63999999999794</v>
          </cell>
          <cell r="R12">
            <v>8</v>
          </cell>
          <cell r="S12">
            <v>17.986666666666647</v>
          </cell>
        </row>
        <row r="13">
          <cell r="A13" t="str">
            <v>11</v>
          </cell>
          <cell r="B13">
            <v>4928.3160000000007</v>
          </cell>
          <cell r="C13">
            <v>4592.3160000000007</v>
          </cell>
          <cell r="D13">
            <v>235.06666666666672</v>
          </cell>
          <cell r="E13">
            <v>100.93333333333347</v>
          </cell>
          <cell r="F13">
            <v>0</v>
          </cell>
          <cell r="G13">
            <v>0</v>
          </cell>
          <cell r="H13">
            <v>0</v>
          </cell>
          <cell r="I13">
            <v>0.86</v>
          </cell>
          <cell r="K13" t="str">
            <v>11</v>
          </cell>
          <cell r="L13">
            <v>5120.6890000000003</v>
          </cell>
          <cell r="M13">
            <v>4700.2556666666642</v>
          </cell>
          <cell r="N13">
            <v>333.900000000001</v>
          </cell>
          <cell r="O13">
            <v>86.533333333333445</v>
          </cell>
          <cell r="P13">
            <v>0</v>
          </cell>
          <cell r="Q13">
            <v>0</v>
          </cell>
          <cell r="R13">
            <v>0</v>
          </cell>
          <cell r="S13">
            <v>1.1066666666666667</v>
          </cell>
        </row>
        <row r="14">
          <cell r="A14" t="str">
            <v>12</v>
          </cell>
          <cell r="B14">
            <v>1942.0150000000001</v>
          </cell>
          <cell r="C14">
            <v>1818.9416666666671</v>
          </cell>
          <cell r="D14">
            <v>114.4733333333332</v>
          </cell>
          <cell r="E14">
            <v>8.6</v>
          </cell>
          <cell r="F14">
            <v>0</v>
          </cell>
          <cell r="G14">
            <v>0</v>
          </cell>
          <cell r="H14">
            <v>0</v>
          </cell>
          <cell r="I14">
            <v>2.4266666666666663</v>
          </cell>
          <cell r="K14" t="str">
            <v>12</v>
          </cell>
          <cell r="L14">
            <v>1982.35</v>
          </cell>
          <cell r="M14">
            <v>1805.4366666666667</v>
          </cell>
          <cell r="N14">
            <v>168.78</v>
          </cell>
          <cell r="O14">
            <v>8.1333333333333364</v>
          </cell>
          <cell r="P14">
            <v>0</v>
          </cell>
          <cell r="Q14">
            <v>0</v>
          </cell>
          <cell r="R14">
            <v>0</v>
          </cell>
          <cell r="S14">
            <v>1.6333333333333335</v>
          </cell>
        </row>
        <row r="15">
          <cell r="A15" t="str">
            <v>13</v>
          </cell>
          <cell r="B15">
            <v>2338.3670000000002</v>
          </cell>
          <cell r="C15">
            <v>2134.4403333333335</v>
          </cell>
          <cell r="D15">
            <v>110.06</v>
          </cell>
          <cell r="E15">
            <v>93.866666666666632</v>
          </cell>
          <cell r="F15">
            <v>0</v>
          </cell>
          <cell r="G15">
            <v>0</v>
          </cell>
          <cell r="H15">
            <v>0</v>
          </cell>
          <cell r="I15">
            <v>6.946666666666669</v>
          </cell>
          <cell r="K15" t="str">
            <v>13</v>
          </cell>
          <cell r="L15">
            <v>2465.4520000000002</v>
          </cell>
          <cell r="M15">
            <v>2142.2919999999999</v>
          </cell>
          <cell r="N15">
            <v>262.76</v>
          </cell>
          <cell r="O15">
            <v>60.400000000000084</v>
          </cell>
          <cell r="P15">
            <v>0</v>
          </cell>
          <cell r="Q15">
            <v>0</v>
          </cell>
          <cell r="R15">
            <v>0</v>
          </cell>
          <cell r="S15">
            <v>5.3066666666666666</v>
          </cell>
        </row>
        <row r="16">
          <cell r="A16" t="str">
            <v>14</v>
          </cell>
          <cell r="B16">
            <v>5825.08</v>
          </cell>
          <cell r="C16">
            <v>5515.4466666666676</v>
          </cell>
          <cell r="D16">
            <v>271.89999999999861</v>
          </cell>
          <cell r="E16">
            <v>37.733333333333313</v>
          </cell>
          <cell r="F16">
            <v>400.2666666666583</v>
          </cell>
          <cell r="G16">
            <v>397.73333333332494</v>
          </cell>
          <cell r="H16">
            <v>2.5333333333333337</v>
          </cell>
          <cell r="I16">
            <v>0.2</v>
          </cell>
          <cell r="K16" t="str">
            <v>14</v>
          </cell>
          <cell r="L16">
            <v>6389.2039999999997</v>
          </cell>
          <cell r="M16">
            <v>5885.1706666666769</v>
          </cell>
          <cell r="N16">
            <v>460.09999999998985</v>
          </cell>
          <cell r="O16">
            <v>43.933333333333358</v>
          </cell>
          <cell r="P16">
            <v>1120.0666666667219</v>
          </cell>
          <cell r="Q16">
            <v>1110.2000000000553</v>
          </cell>
          <cell r="R16">
            <v>9.8666666666666654</v>
          </cell>
          <cell r="S16">
            <v>0</v>
          </cell>
        </row>
        <row r="17">
          <cell r="A17" t="str">
            <v>15</v>
          </cell>
          <cell r="B17">
            <v>2233.0149999999999</v>
          </cell>
          <cell r="C17">
            <v>2076.2550000000001</v>
          </cell>
          <cell r="D17">
            <v>143</v>
          </cell>
          <cell r="E17">
            <v>13.76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K17" t="str">
            <v>15</v>
          </cell>
          <cell r="L17">
            <v>2376.4679999999998</v>
          </cell>
          <cell r="M17">
            <v>2252.8013333333338</v>
          </cell>
          <cell r="N17">
            <v>119.06666666666648</v>
          </cell>
          <cell r="O17">
            <v>4.5999999999999996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A18" t="str">
            <v>16</v>
          </cell>
          <cell r="B18">
            <v>3631.1130000000003</v>
          </cell>
          <cell r="C18">
            <v>3503.4530000000004</v>
          </cell>
          <cell r="D18">
            <v>126.06</v>
          </cell>
          <cell r="E18">
            <v>1.6</v>
          </cell>
          <cell r="F18">
            <v>0</v>
          </cell>
          <cell r="G18">
            <v>0</v>
          </cell>
          <cell r="H18">
            <v>0</v>
          </cell>
          <cell r="I18">
            <v>2.2933333333333339</v>
          </cell>
          <cell r="K18" t="str">
            <v>16</v>
          </cell>
          <cell r="L18">
            <v>3955.837</v>
          </cell>
          <cell r="M18">
            <v>3743.8903333333319</v>
          </cell>
          <cell r="N18">
            <v>211.94666666666751</v>
          </cell>
          <cell r="O18">
            <v>0</v>
          </cell>
          <cell r="P18">
            <v>368.01333333332849</v>
          </cell>
          <cell r="Q18">
            <v>362.41333333332847</v>
          </cell>
          <cell r="R18">
            <v>5.6</v>
          </cell>
          <cell r="S18">
            <v>1.4333333333333333</v>
          </cell>
        </row>
        <row r="19">
          <cell r="A19" t="str">
            <v>17</v>
          </cell>
          <cell r="B19">
            <v>12585.545</v>
          </cell>
          <cell r="C19">
            <v>11977.645</v>
          </cell>
          <cell r="D19">
            <v>405.20666666666727</v>
          </cell>
          <cell r="E19">
            <v>202.69333333333279</v>
          </cell>
          <cell r="F19">
            <v>720.45333333332587</v>
          </cell>
          <cell r="G19">
            <v>710.23333333332585</v>
          </cell>
          <cell r="H19">
            <v>10.220000000000001</v>
          </cell>
          <cell r="I19">
            <v>5.9333333333333336</v>
          </cell>
          <cell r="K19" t="str">
            <v>17</v>
          </cell>
          <cell r="L19">
            <v>12560.54</v>
          </cell>
          <cell r="M19">
            <v>11964.14</v>
          </cell>
          <cell r="N19">
            <v>421.93999999999858</v>
          </cell>
          <cell r="O19">
            <v>174.46</v>
          </cell>
          <cell r="P19">
            <v>530.58666666666772</v>
          </cell>
          <cell r="Q19">
            <v>520.56666666666774</v>
          </cell>
          <cell r="R19">
            <v>10.02</v>
          </cell>
          <cell r="S19">
            <v>4.7933333333333339</v>
          </cell>
        </row>
        <row r="20">
          <cell r="A20" t="str">
            <v>18</v>
          </cell>
          <cell r="B20">
            <v>1515.636</v>
          </cell>
          <cell r="C20">
            <v>1461.2826666666665</v>
          </cell>
          <cell r="D20">
            <v>54.353333333333367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0.48</v>
          </cell>
          <cell r="K20" t="str">
            <v>18</v>
          </cell>
          <cell r="L20">
            <v>1516.9659999999999</v>
          </cell>
          <cell r="M20">
            <v>1438.2326666666665</v>
          </cell>
          <cell r="N20">
            <v>77.766666666666779</v>
          </cell>
          <cell r="O20">
            <v>0.96666666666666667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A21" t="str">
            <v>19</v>
          </cell>
          <cell r="B21">
            <v>4214.3910000000005</v>
          </cell>
          <cell r="C21">
            <v>3890.9643333333333</v>
          </cell>
          <cell r="D21">
            <v>201.20666666666676</v>
          </cell>
          <cell r="E21">
            <v>122.22</v>
          </cell>
          <cell r="F21">
            <v>0</v>
          </cell>
          <cell r="G21">
            <v>0</v>
          </cell>
          <cell r="H21">
            <v>0</v>
          </cell>
          <cell r="I21">
            <v>0.34666666666666668</v>
          </cell>
          <cell r="K21" t="str">
            <v>19</v>
          </cell>
          <cell r="L21">
            <v>4220.6729999999998</v>
          </cell>
          <cell r="M21">
            <v>3780.8930000000032</v>
          </cell>
          <cell r="N21">
            <v>318.72666666666407</v>
          </cell>
          <cell r="O21">
            <v>121.05333333333346</v>
          </cell>
          <cell r="P21">
            <v>0</v>
          </cell>
          <cell r="Q21">
            <v>0</v>
          </cell>
          <cell r="R21">
            <v>0</v>
          </cell>
          <cell r="S21">
            <v>0.68</v>
          </cell>
        </row>
        <row r="22">
          <cell r="A22" t="str">
            <v>20</v>
          </cell>
          <cell r="B22">
            <v>2820.884</v>
          </cell>
          <cell r="C22">
            <v>2586.1440000000002</v>
          </cell>
          <cell r="D22">
            <v>234.74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18.013333333333332</v>
          </cell>
          <cell r="K22" t="str">
            <v>20</v>
          </cell>
          <cell r="L22">
            <v>2773.761</v>
          </cell>
          <cell r="M22">
            <v>2569.967666666666</v>
          </cell>
          <cell r="N22">
            <v>203.79333333333403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15.513333333333334</v>
          </cell>
        </row>
        <row r="23">
          <cell r="A23" t="str">
            <v>21</v>
          </cell>
          <cell r="B23">
            <v>2620.9870000000001</v>
          </cell>
          <cell r="C23">
            <v>2583.0203333333334</v>
          </cell>
          <cell r="D23">
            <v>37.966666666666626</v>
          </cell>
          <cell r="E23">
            <v>0</v>
          </cell>
          <cell r="F23">
            <v>555.15999999999258</v>
          </cell>
          <cell r="G23">
            <v>553.12666666665928</v>
          </cell>
          <cell r="H23">
            <v>2.0333333333333332</v>
          </cell>
          <cell r="I23">
            <v>0</v>
          </cell>
          <cell r="K23" t="str">
            <v>21</v>
          </cell>
          <cell r="L23">
            <v>2741.002</v>
          </cell>
          <cell r="M23">
            <v>2697.8753333333334</v>
          </cell>
          <cell r="N23">
            <v>43.126666666666672</v>
          </cell>
          <cell r="O23">
            <v>0</v>
          </cell>
          <cell r="P23">
            <v>600.38666666666461</v>
          </cell>
          <cell r="Q23">
            <v>594.99333333333129</v>
          </cell>
          <cell r="R23">
            <v>5.3933333333333335</v>
          </cell>
          <cell r="S23">
            <v>0</v>
          </cell>
        </row>
        <row r="24">
          <cell r="A24" t="str">
            <v>22</v>
          </cell>
          <cell r="B24">
            <v>4203.567</v>
          </cell>
          <cell r="C24">
            <v>3962.7669999999985</v>
          </cell>
          <cell r="D24">
            <v>240.80000000000146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3.3866666666666712</v>
          </cell>
          <cell r="K24" t="str">
            <v>22</v>
          </cell>
          <cell r="L24">
            <v>4649.1090000000004</v>
          </cell>
          <cell r="M24">
            <v>4324.809000000002</v>
          </cell>
          <cell r="N24">
            <v>324.29999999999831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0.24666666666666667</v>
          </cell>
        </row>
        <row r="25">
          <cell r="A25" t="str">
            <v>23</v>
          </cell>
          <cell r="B25">
            <v>4248.8680000000004</v>
          </cell>
          <cell r="C25">
            <v>4053.8146666666662</v>
          </cell>
          <cell r="D25">
            <v>195.05333333333408</v>
          </cell>
          <cell r="E25">
            <v>0</v>
          </cell>
          <cell r="F25">
            <v>172.06666666666692</v>
          </cell>
          <cell r="G25">
            <v>168.06666666666692</v>
          </cell>
          <cell r="H25">
            <v>4</v>
          </cell>
          <cell r="I25">
            <v>1.1133333333333333</v>
          </cell>
          <cell r="K25" t="str">
            <v>23</v>
          </cell>
          <cell r="L25">
            <v>4558.3190000000004</v>
          </cell>
          <cell r="M25">
            <v>4115.3256666666739</v>
          </cell>
          <cell r="N25">
            <v>442.99333333332578</v>
          </cell>
          <cell r="O25">
            <v>0</v>
          </cell>
          <cell r="P25">
            <v>350.41999999999712</v>
          </cell>
          <cell r="Q25">
            <v>340.83333333333047</v>
          </cell>
          <cell r="R25">
            <v>9.586666666666666</v>
          </cell>
          <cell r="S25">
            <v>0.32666666666666672</v>
          </cell>
        </row>
        <row r="26">
          <cell r="A26" t="str">
            <v>24</v>
          </cell>
          <cell r="B26">
            <v>3024.9470000000001</v>
          </cell>
          <cell r="C26">
            <v>2938.2803333333336</v>
          </cell>
          <cell r="D26">
            <v>82.466666666666669</v>
          </cell>
          <cell r="E26">
            <v>4.2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K26" t="str">
            <v>24</v>
          </cell>
          <cell r="L26">
            <v>3165.3919999999998</v>
          </cell>
          <cell r="M26">
            <v>3041.8586666666665</v>
          </cell>
          <cell r="N26">
            <v>120.4</v>
          </cell>
          <cell r="O26">
            <v>3.1333333333333337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A27" t="str">
            <v>25</v>
          </cell>
          <cell r="B27">
            <v>1543.9730000000002</v>
          </cell>
          <cell r="C27">
            <v>1308.6063333333332</v>
          </cell>
          <cell r="D27">
            <v>183.64</v>
          </cell>
          <cell r="E27">
            <v>51.726666666666681</v>
          </cell>
          <cell r="F27">
            <v>0</v>
          </cell>
          <cell r="G27">
            <v>0</v>
          </cell>
          <cell r="H27">
            <v>0</v>
          </cell>
          <cell r="I27">
            <v>0.45333333333333331</v>
          </cell>
          <cell r="K27" t="str">
            <v>25</v>
          </cell>
          <cell r="L27">
            <v>1593.2639999999999</v>
          </cell>
          <cell r="M27">
            <v>1294.3906666666669</v>
          </cell>
          <cell r="N27">
            <v>255.95333333333318</v>
          </cell>
          <cell r="O27">
            <v>42.92</v>
          </cell>
          <cell r="P27">
            <v>0</v>
          </cell>
          <cell r="Q27">
            <v>0</v>
          </cell>
          <cell r="R27">
            <v>0</v>
          </cell>
          <cell r="S27">
            <v>0.7</v>
          </cell>
        </row>
        <row r="28">
          <cell r="A28" t="str">
            <v>26</v>
          </cell>
          <cell r="B28">
            <v>2312.125</v>
          </cell>
          <cell r="C28">
            <v>2102.9183333333326</v>
          </cell>
          <cell r="D28">
            <v>155.74</v>
          </cell>
          <cell r="E28">
            <v>53.46666666666664</v>
          </cell>
          <cell r="F28">
            <v>0</v>
          </cell>
          <cell r="G28">
            <v>0</v>
          </cell>
          <cell r="H28">
            <v>0</v>
          </cell>
          <cell r="I28">
            <v>1.76</v>
          </cell>
          <cell r="K28" t="str">
            <v>26</v>
          </cell>
          <cell r="L28">
            <v>2648.056</v>
          </cell>
          <cell r="M28">
            <v>2136.4626666666754</v>
          </cell>
          <cell r="N28">
            <v>441.32666666665824</v>
          </cell>
          <cell r="O28">
            <v>70.26666666666668</v>
          </cell>
          <cell r="P28">
            <v>0</v>
          </cell>
          <cell r="Q28">
            <v>0</v>
          </cell>
          <cell r="R28">
            <v>0</v>
          </cell>
          <cell r="S28">
            <v>1.2133333333333336</v>
          </cell>
        </row>
        <row r="29">
          <cell r="A29" t="str">
            <v>27</v>
          </cell>
          <cell r="B29">
            <v>3311.0730000000003</v>
          </cell>
          <cell r="C29">
            <v>2869.4396666666694</v>
          </cell>
          <cell r="D29">
            <v>196.68666666666687</v>
          </cell>
          <cell r="E29">
            <v>244.94666666666396</v>
          </cell>
          <cell r="F29">
            <v>0</v>
          </cell>
          <cell r="G29">
            <v>0</v>
          </cell>
          <cell r="H29">
            <v>0</v>
          </cell>
          <cell r="I29">
            <v>137.73333333333346</v>
          </cell>
          <cell r="K29" t="str">
            <v>27</v>
          </cell>
          <cell r="L29">
            <v>3326.8679999999999</v>
          </cell>
          <cell r="M29">
            <v>2658.4746666666711</v>
          </cell>
          <cell r="N29">
            <v>438.83999999999844</v>
          </cell>
          <cell r="O29">
            <v>229.55333333333095</v>
          </cell>
          <cell r="P29">
            <v>0</v>
          </cell>
          <cell r="Q29">
            <v>0</v>
          </cell>
          <cell r="R29">
            <v>0</v>
          </cell>
          <cell r="S29">
            <v>116.05333333333324</v>
          </cell>
        </row>
        <row r="30">
          <cell r="A30" t="str">
            <v>28</v>
          </cell>
          <cell r="B30">
            <v>4028.9410000000003</v>
          </cell>
          <cell r="C30">
            <v>3454.8143333333337</v>
          </cell>
          <cell r="D30">
            <v>438.14666666666687</v>
          </cell>
          <cell r="E30">
            <v>135.97999999999942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K30" t="str">
            <v>28</v>
          </cell>
          <cell r="L30">
            <v>4345.7920000000004</v>
          </cell>
          <cell r="M30">
            <v>3731.278666666668</v>
          </cell>
          <cell r="N30">
            <v>452.81999999999931</v>
          </cell>
          <cell r="O30">
            <v>161.69333333333276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A31" t="str">
            <v>29</v>
          </cell>
          <cell r="B31">
            <v>3316.5889999999999</v>
          </cell>
          <cell r="C31">
            <v>3040.3756666666663</v>
          </cell>
          <cell r="D31">
            <v>253.8533333333335</v>
          </cell>
          <cell r="E31">
            <v>22.36</v>
          </cell>
          <cell r="F31">
            <v>0</v>
          </cell>
          <cell r="G31">
            <v>0</v>
          </cell>
          <cell r="H31">
            <v>0</v>
          </cell>
          <cell r="I31">
            <v>42.72</v>
          </cell>
          <cell r="K31" t="str">
            <v>29</v>
          </cell>
          <cell r="L31">
            <v>3831.4430000000002</v>
          </cell>
          <cell r="M31">
            <v>2989.9696666666564</v>
          </cell>
          <cell r="N31">
            <v>832.10666666667714</v>
          </cell>
          <cell r="O31">
            <v>9.3666666666666689</v>
          </cell>
          <cell r="P31">
            <v>0</v>
          </cell>
          <cell r="Q31">
            <v>0</v>
          </cell>
          <cell r="R31">
            <v>0</v>
          </cell>
          <cell r="S31">
            <v>40.799999999999997</v>
          </cell>
        </row>
        <row r="32">
          <cell r="A32" t="str">
            <v>30</v>
          </cell>
          <cell r="B32">
            <v>1249.0160000000001</v>
          </cell>
          <cell r="C32">
            <v>1208.6426666666666</v>
          </cell>
          <cell r="D32">
            <v>40.373333333333342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K32" t="str">
            <v>30</v>
          </cell>
          <cell r="L32">
            <v>1245.4760000000001</v>
          </cell>
          <cell r="M32">
            <v>1179.5893333333331</v>
          </cell>
          <cell r="N32">
            <v>65.886666666666841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</sheetData>
      <sheetData sheetId="11" refreshError="1"/>
      <sheetData sheetId="12" refreshError="1"/>
      <sheetData sheetId="13" refreshError="1">
        <row r="2">
          <cell r="A2" t="str">
            <v>DISTRICT</v>
          </cell>
          <cell r="B2" t="str">
            <v>SumOfTotal_FTES</v>
          </cell>
          <cell r="C2" t="str">
            <v>SumOfBase_FTES</v>
          </cell>
          <cell r="D2" t="str">
            <v>SumOfWR_FTES</v>
          </cell>
          <cell r="E2" t="str">
            <v>SumOfApprent_FTES</v>
          </cell>
          <cell r="F2" t="str">
            <v>SumOfTotal_Excess_FTES</v>
          </cell>
          <cell r="G2" t="str">
            <v>SumOfBase_Excess_FTES</v>
          </cell>
          <cell r="H2" t="str">
            <v>SumOfWR_Excess_FTES</v>
          </cell>
          <cell r="I2" t="str">
            <v>SumOfBasicSkills_FTES</v>
          </cell>
          <cell r="K2" t="str">
            <v>DISTRICT</v>
          </cell>
          <cell r="L2" t="str">
            <v>SumOfTotal_FTES</v>
          </cell>
          <cell r="M2" t="str">
            <v>SumOfBase_FTES</v>
          </cell>
          <cell r="N2" t="str">
            <v>SumOfWR_FTES</v>
          </cell>
          <cell r="O2" t="str">
            <v>SumOfApprent_FTES</v>
          </cell>
          <cell r="P2" t="str">
            <v>SumOfTotal_Excess_FTES</v>
          </cell>
          <cell r="Q2" t="str">
            <v>SumOfBase_Excess_FTES</v>
          </cell>
          <cell r="R2" t="str">
            <v>SumOfWR_Excess_FTES</v>
          </cell>
          <cell r="S2" t="str">
            <v>SumOfBasicSkills_FTES</v>
          </cell>
        </row>
        <row r="3">
          <cell r="A3" t="str">
            <v>01</v>
          </cell>
          <cell r="B3">
            <v>1569.5830000000001</v>
          </cell>
          <cell r="C3">
            <v>1305.423</v>
          </cell>
          <cell r="D3">
            <v>264.16000000000003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K3" t="str">
            <v>01</v>
          </cell>
          <cell r="L3">
            <v>1589.973</v>
          </cell>
          <cell r="M3">
            <v>1338.1129999999989</v>
          </cell>
          <cell r="N3">
            <v>251.86000000000109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A4" t="str">
            <v>02</v>
          </cell>
          <cell r="B4">
            <v>1760.1880000000001</v>
          </cell>
          <cell r="C4">
            <v>1566.9880000000001</v>
          </cell>
          <cell r="D4">
            <v>189.2</v>
          </cell>
          <cell r="E4">
            <v>4</v>
          </cell>
          <cell r="F4">
            <v>97.293333333333351</v>
          </cell>
          <cell r="G4">
            <v>91.96</v>
          </cell>
          <cell r="H4">
            <v>5.333333333333333</v>
          </cell>
          <cell r="I4">
            <v>3.12</v>
          </cell>
          <cell r="K4" t="str">
            <v>02</v>
          </cell>
          <cell r="L4">
            <v>1682.451</v>
          </cell>
          <cell r="M4">
            <v>1452.3643333333321</v>
          </cell>
          <cell r="N4">
            <v>225.28666666666768</v>
          </cell>
          <cell r="O4">
            <v>4.8</v>
          </cell>
          <cell r="P4">
            <v>0</v>
          </cell>
          <cell r="Q4">
            <v>0</v>
          </cell>
          <cell r="R4">
            <v>0</v>
          </cell>
          <cell r="S4">
            <v>2.166666666666667</v>
          </cell>
        </row>
        <row r="5">
          <cell r="A5" t="str">
            <v>03</v>
          </cell>
          <cell r="B5">
            <v>4003.384</v>
          </cell>
          <cell r="C5">
            <v>3394.5706666666747</v>
          </cell>
          <cell r="D5">
            <v>201.34666666666718</v>
          </cell>
          <cell r="E5">
            <v>407.466666666658</v>
          </cell>
          <cell r="F5">
            <v>0</v>
          </cell>
          <cell r="G5">
            <v>0</v>
          </cell>
          <cell r="H5">
            <v>0</v>
          </cell>
          <cell r="I5">
            <v>3.0266666666666673</v>
          </cell>
          <cell r="K5" t="str">
            <v>03</v>
          </cell>
          <cell r="L5">
            <v>4099.6899999999996</v>
          </cell>
          <cell r="M5">
            <v>3394.2500000000082</v>
          </cell>
          <cell r="N5">
            <v>280.64</v>
          </cell>
          <cell r="O5">
            <v>424.79999999999154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A6" t="str">
            <v>04</v>
          </cell>
          <cell r="B6">
            <v>3199.752</v>
          </cell>
          <cell r="C6">
            <v>3010.8919999999998</v>
          </cell>
          <cell r="D6">
            <v>168.32666666666688</v>
          </cell>
          <cell r="E6">
            <v>20.533333333333331</v>
          </cell>
          <cell r="F6">
            <v>0</v>
          </cell>
          <cell r="G6">
            <v>0</v>
          </cell>
          <cell r="H6">
            <v>0</v>
          </cell>
          <cell r="I6">
            <v>3.48</v>
          </cell>
          <cell r="K6" t="str">
            <v>04</v>
          </cell>
          <cell r="L6">
            <v>3558.114</v>
          </cell>
          <cell r="M6">
            <v>3132.5740000000046</v>
          </cell>
          <cell r="N6">
            <v>385.8066666666619</v>
          </cell>
          <cell r="O6">
            <v>39.733333333333327</v>
          </cell>
          <cell r="P6">
            <v>502.0399999999878</v>
          </cell>
          <cell r="Q6">
            <v>480.92666666665446</v>
          </cell>
          <cell r="R6">
            <v>21.113333333333316</v>
          </cell>
          <cell r="S6">
            <v>2.3533333333333331</v>
          </cell>
        </row>
        <row r="7">
          <cell r="A7" t="str">
            <v>05</v>
          </cell>
          <cell r="B7">
            <v>4031.8980000000001</v>
          </cell>
          <cell r="C7">
            <v>3724.7713333333327</v>
          </cell>
          <cell r="D7">
            <v>190.59333333333396</v>
          </cell>
          <cell r="E7">
            <v>116.53333333333332</v>
          </cell>
          <cell r="F7">
            <v>225.00000000000156</v>
          </cell>
          <cell r="G7">
            <v>220.86666666666824</v>
          </cell>
          <cell r="H7">
            <v>4.1333333333333337</v>
          </cell>
          <cell r="I7">
            <v>1.34</v>
          </cell>
          <cell r="K7" t="str">
            <v>05</v>
          </cell>
          <cell r="L7">
            <v>4223.6270000000004</v>
          </cell>
          <cell r="M7">
            <v>3755.9003333333362</v>
          </cell>
          <cell r="N7">
            <v>354.65999999999724</v>
          </cell>
          <cell r="O7">
            <v>113.06666666666653</v>
          </cell>
          <cell r="P7">
            <v>500.13333333332235</v>
          </cell>
          <cell r="Q7">
            <v>488.19999999998902</v>
          </cell>
          <cell r="R7">
            <v>11.933333333333337</v>
          </cell>
          <cell r="S7">
            <v>0.59333333333333338</v>
          </cell>
        </row>
        <row r="8">
          <cell r="A8" t="str">
            <v>06</v>
          </cell>
          <cell r="B8">
            <v>12558.37</v>
          </cell>
          <cell r="C8">
            <v>10937.323333333296</v>
          </cell>
          <cell r="D8">
            <v>800.6800000000012</v>
          </cell>
          <cell r="E8">
            <v>820.36666666670283</v>
          </cell>
          <cell r="F8">
            <v>0</v>
          </cell>
          <cell r="G8">
            <v>0</v>
          </cell>
          <cell r="H8">
            <v>0</v>
          </cell>
          <cell r="I8">
            <v>3.7733333333333334</v>
          </cell>
          <cell r="K8" t="str">
            <v>06</v>
          </cell>
          <cell r="L8">
            <v>13546.358</v>
          </cell>
          <cell r="M8">
            <v>11716.3713333334</v>
          </cell>
          <cell r="N8">
            <v>1149.5333333333263</v>
          </cell>
          <cell r="O8">
            <v>680.45333333333099</v>
          </cell>
          <cell r="P8">
            <v>800.00000000001785</v>
          </cell>
          <cell r="Q8">
            <v>789.46666666668455</v>
          </cell>
          <cell r="R8">
            <v>10.533333333333335</v>
          </cell>
          <cell r="S8">
            <v>2.4933333333333332</v>
          </cell>
        </row>
        <row r="9">
          <cell r="A9" t="str">
            <v>07</v>
          </cell>
          <cell r="B9">
            <v>4583.6630000000005</v>
          </cell>
          <cell r="C9">
            <v>4388.2963333333337</v>
          </cell>
          <cell r="D9">
            <v>195.36666666666704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0.48666666666666669</v>
          </cell>
          <cell r="K9" t="str">
            <v>07</v>
          </cell>
          <cell r="L9">
            <v>4889.9110000000001</v>
          </cell>
          <cell r="M9">
            <v>4529.6910000000044</v>
          </cell>
          <cell r="N9">
            <v>360.21999999999639</v>
          </cell>
          <cell r="O9">
            <v>0</v>
          </cell>
          <cell r="P9">
            <v>450.49999999999136</v>
          </cell>
          <cell r="Q9">
            <v>445.76666666665801</v>
          </cell>
          <cell r="R9">
            <v>4.7333333333333334</v>
          </cell>
          <cell r="S9">
            <v>0.14000000000000001</v>
          </cell>
        </row>
        <row r="10">
          <cell r="A10" t="str">
            <v>08</v>
          </cell>
          <cell r="B10">
            <v>7009.2650000000003</v>
          </cell>
          <cell r="C10">
            <v>6673.2916666666679</v>
          </cell>
          <cell r="D10">
            <v>335.97333333333199</v>
          </cell>
          <cell r="E10">
            <v>0</v>
          </cell>
          <cell r="F10">
            <v>1800.3866666665772</v>
          </cell>
          <cell r="G10">
            <v>1737.2733333332437</v>
          </cell>
          <cell r="H10">
            <v>63.113333333333486</v>
          </cell>
          <cell r="I10">
            <v>6.6666666666666671E-3</v>
          </cell>
          <cell r="K10" t="str">
            <v>08</v>
          </cell>
          <cell r="L10">
            <v>7380.4650000000001</v>
          </cell>
          <cell r="M10">
            <v>6992.645000000005</v>
          </cell>
          <cell r="N10">
            <v>387.8199999999951</v>
          </cell>
          <cell r="O10">
            <v>0</v>
          </cell>
          <cell r="P10">
            <v>1761.5866666665768</v>
          </cell>
          <cell r="Q10">
            <v>1704.1866666665767</v>
          </cell>
          <cell r="R10">
            <v>57.400000000000134</v>
          </cell>
          <cell r="S10">
            <v>6.6666666666666671E-3</v>
          </cell>
        </row>
        <row r="11">
          <cell r="A11" t="str">
            <v>09</v>
          </cell>
          <cell r="B11">
            <v>5305.8130000000001</v>
          </cell>
          <cell r="C11">
            <v>5024.4396666666662</v>
          </cell>
          <cell r="D11">
            <v>276.37333333333356</v>
          </cell>
          <cell r="E11">
            <v>5</v>
          </cell>
          <cell r="F11">
            <v>0</v>
          </cell>
          <cell r="G11">
            <v>0</v>
          </cell>
          <cell r="H11">
            <v>0</v>
          </cell>
          <cell r="I11">
            <v>2.7266666666666666</v>
          </cell>
          <cell r="K11" t="str">
            <v>09</v>
          </cell>
          <cell r="L11">
            <v>5376.9570000000003</v>
          </cell>
          <cell r="M11">
            <v>4927.4103333333414</v>
          </cell>
          <cell r="N11">
            <v>439.21333333332518</v>
          </cell>
          <cell r="O11">
            <v>10.333333333333334</v>
          </cell>
          <cell r="P11">
            <v>200.05333333333459</v>
          </cell>
          <cell r="Q11">
            <v>195.58666666666792</v>
          </cell>
          <cell r="R11">
            <v>4.4666666666666677</v>
          </cell>
          <cell r="S11">
            <v>2.3533333333333331</v>
          </cell>
        </row>
        <row r="12">
          <cell r="A12" t="str">
            <v>10</v>
          </cell>
          <cell r="B12">
            <v>4707.0740000000005</v>
          </cell>
          <cell r="C12">
            <v>4350.0406666666713</v>
          </cell>
          <cell r="D12">
            <v>357.0333333333291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47.91333333333327</v>
          </cell>
          <cell r="K12" t="str">
            <v>10</v>
          </cell>
          <cell r="L12">
            <v>4898.1210000000001</v>
          </cell>
          <cell r="M12">
            <v>4344.7410000000064</v>
          </cell>
          <cell r="N12">
            <v>553.37999999999386</v>
          </cell>
          <cell r="O12">
            <v>0</v>
          </cell>
          <cell r="P12">
            <v>350.15333333333018</v>
          </cell>
          <cell r="Q12">
            <v>341.21999999999684</v>
          </cell>
          <cell r="R12">
            <v>8.9333333333333336</v>
          </cell>
          <cell r="S12">
            <v>1.6333333333333333</v>
          </cell>
        </row>
        <row r="13">
          <cell r="A13" t="str">
            <v>11</v>
          </cell>
          <cell r="B13">
            <v>4753.232</v>
          </cell>
          <cell r="C13">
            <v>4437.232</v>
          </cell>
          <cell r="D13">
            <v>219.46666666666681</v>
          </cell>
          <cell r="E13">
            <v>96.533333333333516</v>
          </cell>
          <cell r="F13">
            <v>0</v>
          </cell>
          <cell r="G13">
            <v>0</v>
          </cell>
          <cell r="H13">
            <v>0</v>
          </cell>
          <cell r="I13">
            <v>0.21333333333333335</v>
          </cell>
          <cell r="K13" t="str">
            <v>11</v>
          </cell>
          <cell r="L13">
            <v>4901.875</v>
          </cell>
          <cell r="M13">
            <v>4508.9083333333338</v>
          </cell>
          <cell r="N13">
            <v>299.7</v>
          </cell>
          <cell r="O13">
            <v>93.266666666666879</v>
          </cell>
          <cell r="P13">
            <v>740.63333333332571</v>
          </cell>
          <cell r="Q13">
            <v>722.03333333332557</v>
          </cell>
          <cell r="R13">
            <v>18.600000000000001</v>
          </cell>
          <cell r="S13">
            <v>1.0333333333333334</v>
          </cell>
        </row>
        <row r="14">
          <cell r="A14" t="str">
            <v>12</v>
          </cell>
          <cell r="B14">
            <v>1907.923</v>
          </cell>
          <cell r="C14">
            <v>1786.1896666666669</v>
          </cell>
          <cell r="D14">
            <v>115.46666666666658</v>
          </cell>
          <cell r="E14">
            <v>6.2666666666666693</v>
          </cell>
          <cell r="F14">
            <v>0</v>
          </cell>
          <cell r="G14">
            <v>0</v>
          </cell>
          <cell r="H14">
            <v>0</v>
          </cell>
          <cell r="I14">
            <v>3.453333333333334</v>
          </cell>
          <cell r="K14" t="str">
            <v>12</v>
          </cell>
          <cell r="L14">
            <v>1969.0630000000001</v>
          </cell>
          <cell r="M14">
            <v>1799.129666666666</v>
          </cell>
          <cell r="N14">
            <v>159.33333333333351</v>
          </cell>
          <cell r="O14">
            <v>10.6</v>
          </cell>
          <cell r="P14">
            <v>0</v>
          </cell>
          <cell r="Q14">
            <v>0</v>
          </cell>
          <cell r="R14">
            <v>0</v>
          </cell>
          <cell r="S14">
            <v>3.8533333333333339</v>
          </cell>
        </row>
        <row r="15">
          <cell r="A15" t="str">
            <v>13</v>
          </cell>
          <cell r="B15">
            <v>2319.4940000000001</v>
          </cell>
          <cell r="C15">
            <v>2114.8873333333336</v>
          </cell>
          <cell r="D15">
            <v>162.0066666666668</v>
          </cell>
          <cell r="E15">
            <v>42.6</v>
          </cell>
          <cell r="F15">
            <v>0</v>
          </cell>
          <cell r="G15">
            <v>0</v>
          </cell>
          <cell r="H15">
            <v>0</v>
          </cell>
          <cell r="I15">
            <v>3.0266666666666673</v>
          </cell>
          <cell r="K15" t="str">
            <v>13</v>
          </cell>
          <cell r="L15">
            <v>2377.2829999999999</v>
          </cell>
          <cell r="M15">
            <v>2086.9496666666655</v>
          </cell>
          <cell r="N15">
            <v>252.00000000000108</v>
          </cell>
          <cell r="O15">
            <v>38.333333333333336</v>
          </cell>
          <cell r="P15">
            <v>254.1266666666678</v>
          </cell>
          <cell r="Q15">
            <v>249.76000000000113</v>
          </cell>
          <cell r="R15">
            <v>4.3666666666666689</v>
          </cell>
          <cell r="S15">
            <v>4.5733333333333341</v>
          </cell>
        </row>
        <row r="16">
          <cell r="A16" t="str">
            <v>14</v>
          </cell>
          <cell r="B16">
            <v>5813.5660000000007</v>
          </cell>
          <cell r="C16">
            <v>5410.5393333333395</v>
          </cell>
          <cell r="D16">
            <v>368.49333333332845</v>
          </cell>
          <cell r="E16">
            <v>34.533333333333303</v>
          </cell>
          <cell r="F16">
            <v>750.02000000002045</v>
          </cell>
          <cell r="G16">
            <v>741.95333333335373</v>
          </cell>
          <cell r="H16">
            <v>8.0666666666666682</v>
          </cell>
          <cell r="I16">
            <v>0.24</v>
          </cell>
          <cell r="K16" t="str">
            <v>14</v>
          </cell>
          <cell r="L16">
            <v>6426.2529999999997</v>
          </cell>
          <cell r="M16">
            <v>5903.6863333333449</v>
          </cell>
          <cell r="N16">
            <v>481.09999999998848</v>
          </cell>
          <cell r="O16">
            <v>41.46666666666669</v>
          </cell>
          <cell r="P16">
            <v>1330.0000000000484</v>
          </cell>
          <cell r="Q16">
            <v>1310.1333333333819</v>
          </cell>
          <cell r="R16">
            <v>19.866666666666649</v>
          </cell>
          <cell r="S16">
            <v>0</v>
          </cell>
        </row>
        <row r="17">
          <cell r="A17" t="str">
            <v>15</v>
          </cell>
          <cell r="B17">
            <v>2181.096</v>
          </cell>
          <cell r="C17">
            <v>2031.7760000000001</v>
          </cell>
          <cell r="D17">
            <v>136.42666666666651</v>
          </cell>
          <cell r="E17">
            <v>12.893333333333334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K17" t="str">
            <v>15</v>
          </cell>
          <cell r="L17">
            <v>2305.0659999999998</v>
          </cell>
          <cell r="M17">
            <v>2143.6659999999997</v>
          </cell>
          <cell r="N17">
            <v>155.26666666666671</v>
          </cell>
          <cell r="O17">
            <v>6.1333333333333302</v>
          </cell>
          <cell r="P17">
            <v>250.16000000000173</v>
          </cell>
          <cell r="Q17">
            <v>241.89333333333508</v>
          </cell>
          <cell r="R17">
            <v>8.2666666666666657</v>
          </cell>
          <cell r="S17">
            <v>0</v>
          </cell>
        </row>
        <row r="18">
          <cell r="A18" t="str">
            <v>16</v>
          </cell>
          <cell r="B18">
            <v>3990.6970000000001</v>
          </cell>
          <cell r="C18">
            <v>3815.2903333333334</v>
          </cell>
          <cell r="D18">
            <v>175.40666666666672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2.1</v>
          </cell>
          <cell r="K18" t="str">
            <v>16</v>
          </cell>
          <cell r="L18">
            <v>4262.3339999999998</v>
          </cell>
          <cell r="M18">
            <v>4045.8873333333322</v>
          </cell>
          <cell r="N18">
            <v>216.44666666666774</v>
          </cell>
          <cell r="O18">
            <v>0</v>
          </cell>
          <cell r="P18">
            <v>99.999999999999886</v>
          </cell>
          <cell r="Q18">
            <v>98.999999999999886</v>
          </cell>
          <cell r="R18">
            <v>1</v>
          </cell>
          <cell r="S18">
            <v>2.2400000000000002</v>
          </cell>
        </row>
        <row r="19">
          <cell r="A19" t="str">
            <v>17</v>
          </cell>
          <cell r="B19">
            <v>12303.133000000002</v>
          </cell>
          <cell r="C19">
            <v>11474.419666666668</v>
          </cell>
          <cell r="D19">
            <v>452.42666666666491</v>
          </cell>
          <cell r="E19">
            <v>376.28666666666811</v>
          </cell>
          <cell r="F19">
            <v>840.52666666665107</v>
          </cell>
          <cell r="G19">
            <v>823.3999999999844</v>
          </cell>
          <cell r="H19">
            <v>17.126666666666672</v>
          </cell>
          <cell r="I19">
            <v>3.14</v>
          </cell>
          <cell r="K19" t="str">
            <v>17</v>
          </cell>
          <cell r="L19">
            <v>12833.034</v>
          </cell>
          <cell r="M19">
            <v>11869.707333333337</v>
          </cell>
          <cell r="N19">
            <v>587.81999999999505</v>
          </cell>
          <cell r="O19">
            <v>375.50666666666916</v>
          </cell>
          <cell r="P19">
            <v>1002.179999999988</v>
          </cell>
          <cell r="Q19">
            <v>980.29333333332124</v>
          </cell>
          <cell r="R19">
            <v>21.886666666666674</v>
          </cell>
          <cell r="S19">
            <v>0.6</v>
          </cell>
        </row>
        <row r="20">
          <cell r="A20" t="str">
            <v>18</v>
          </cell>
          <cell r="B20">
            <v>1565.883</v>
          </cell>
          <cell r="C20">
            <v>1496.8829999999998</v>
          </cell>
          <cell r="D20">
            <v>67.60000000000008</v>
          </cell>
          <cell r="E20">
            <v>1.4</v>
          </cell>
          <cell r="F20">
            <v>100.04666666666664</v>
          </cell>
          <cell r="G20">
            <v>97.913333333333298</v>
          </cell>
          <cell r="H20">
            <v>2.1333333333333333</v>
          </cell>
          <cell r="I20">
            <v>0</v>
          </cell>
          <cell r="K20" t="str">
            <v>18</v>
          </cell>
          <cell r="L20">
            <v>1648.231</v>
          </cell>
          <cell r="M20">
            <v>1544.9576666666669</v>
          </cell>
          <cell r="N20">
            <v>103.27333333333328</v>
          </cell>
          <cell r="O20">
            <v>0</v>
          </cell>
          <cell r="P20">
            <v>144.04</v>
          </cell>
          <cell r="Q20">
            <v>138.3066666666665</v>
          </cell>
          <cell r="R20">
            <v>5.7333333333333343</v>
          </cell>
          <cell r="S20">
            <v>0</v>
          </cell>
        </row>
        <row r="21">
          <cell r="A21" t="str">
            <v>19</v>
          </cell>
          <cell r="B21">
            <v>4003.2890000000002</v>
          </cell>
          <cell r="C21">
            <v>3677.5223333333333</v>
          </cell>
          <cell r="D21">
            <v>261.83333333333331</v>
          </cell>
          <cell r="E21">
            <v>63.933333333333543</v>
          </cell>
          <cell r="F21">
            <v>0</v>
          </cell>
          <cell r="G21">
            <v>0</v>
          </cell>
          <cell r="H21">
            <v>0</v>
          </cell>
          <cell r="I21">
            <v>0.60666666666666669</v>
          </cell>
          <cell r="K21" t="str">
            <v>19</v>
          </cell>
          <cell r="L21">
            <v>4281.0450000000001</v>
          </cell>
          <cell r="M21">
            <v>3821.1916666666698</v>
          </cell>
          <cell r="N21">
            <v>340.11999999999648</v>
          </cell>
          <cell r="O21">
            <v>119.73333333333365</v>
          </cell>
          <cell r="P21">
            <v>200.34666666666723</v>
          </cell>
          <cell r="Q21">
            <v>191.8133333333339</v>
          </cell>
          <cell r="R21">
            <v>8.5333333333333314</v>
          </cell>
          <cell r="S21">
            <v>0</v>
          </cell>
        </row>
        <row r="22">
          <cell r="A22" t="str">
            <v>20</v>
          </cell>
          <cell r="B22">
            <v>3021.9960000000001</v>
          </cell>
          <cell r="C22">
            <v>2716.7293333333341</v>
          </cell>
          <cell r="D22">
            <v>305.2666666666658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38.186666666666682</v>
          </cell>
          <cell r="K22" t="str">
            <v>20</v>
          </cell>
          <cell r="L22">
            <v>2975.6089999999999</v>
          </cell>
          <cell r="M22">
            <v>2654.075666666668</v>
          </cell>
          <cell r="N22">
            <v>321.5333333333316</v>
          </cell>
          <cell r="O22">
            <v>0</v>
          </cell>
          <cell r="P22">
            <v>256.2266666666676</v>
          </cell>
          <cell r="Q22">
            <v>242.63333333333426</v>
          </cell>
          <cell r="R22">
            <v>13.593333333333334</v>
          </cell>
          <cell r="S22">
            <v>34.966666666666654</v>
          </cell>
        </row>
        <row r="23">
          <cell r="A23" t="str">
            <v>21</v>
          </cell>
          <cell r="B23">
            <v>2613.9540000000002</v>
          </cell>
          <cell r="C23">
            <v>2578.134</v>
          </cell>
          <cell r="D23">
            <v>35.82</v>
          </cell>
          <cell r="E23">
            <v>0</v>
          </cell>
          <cell r="F23">
            <v>540.33999999999128</v>
          </cell>
          <cell r="G23">
            <v>536.55999999999131</v>
          </cell>
          <cell r="H23">
            <v>3.78</v>
          </cell>
          <cell r="I23">
            <v>0</v>
          </cell>
          <cell r="K23" t="str">
            <v>21</v>
          </cell>
          <cell r="L23">
            <v>2657.0630000000001</v>
          </cell>
          <cell r="M23">
            <v>2615.2496666666666</v>
          </cell>
          <cell r="N23">
            <v>41.81333333333334</v>
          </cell>
          <cell r="O23">
            <v>0</v>
          </cell>
          <cell r="P23">
            <v>625.30000000000086</v>
          </cell>
          <cell r="Q23">
            <v>619.83333333333417</v>
          </cell>
          <cell r="R23">
            <v>5.4666666666666677</v>
          </cell>
          <cell r="S23">
            <v>0.11333333333333333</v>
          </cell>
        </row>
        <row r="24">
          <cell r="A24" t="str">
            <v>22</v>
          </cell>
          <cell r="B24">
            <v>4218.3429999999998</v>
          </cell>
          <cell r="C24">
            <v>3937.016333333333</v>
          </cell>
          <cell r="D24">
            <v>281.32666666666699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1.7666666666666611</v>
          </cell>
          <cell r="K24" t="str">
            <v>22</v>
          </cell>
          <cell r="L24">
            <v>4431.7650000000003</v>
          </cell>
          <cell r="M24">
            <v>4066.9316666666709</v>
          </cell>
          <cell r="N24">
            <v>364.83333333332934</v>
          </cell>
          <cell r="O24">
            <v>0</v>
          </cell>
          <cell r="P24">
            <v>1000.5200000000418</v>
          </cell>
          <cell r="Q24">
            <v>942.62000000004173</v>
          </cell>
          <cell r="R24">
            <v>57.900000000000141</v>
          </cell>
          <cell r="S24">
            <v>2.1066666666666674</v>
          </cell>
        </row>
        <row r="25">
          <cell r="A25" t="str">
            <v>23</v>
          </cell>
          <cell r="B25">
            <v>4154.4319999999998</v>
          </cell>
          <cell r="C25">
            <v>3912.6386666666649</v>
          </cell>
          <cell r="D25">
            <v>241.79333333333508</v>
          </cell>
          <cell r="E25">
            <v>0</v>
          </cell>
          <cell r="F25">
            <v>125.06666666666636</v>
          </cell>
          <cell r="G25">
            <v>122.26666666666637</v>
          </cell>
          <cell r="H25">
            <v>2.8</v>
          </cell>
          <cell r="I25">
            <v>5.62</v>
          </cell>
          <cell r="K25" t="str">
            <v>23</v>
          </cell>
          <cell r="L25">
            <v>4428.7420000000002</v>
          </cell>
          <cell r="M25">
            <v>3954.708666666676</v>
          </cell>
          <cell r="N25">
            <v>474.03333333332381</v>
          </cell>
          <cell r="O25">
            <v>0</v>
          </cell>
          <cell r="P25">
            <v>332.29999999999779</v>
          </cell>
          <cell r="Q25">
            <v>323.43333333333112</v>
          </cell>
          <cell r="R25">
            <v>8.8666666666666654</v>
          </cell>
          <cell r="S25">
            <v>0.80666666666666675</v>
          </cell>
        </row>
        <row r="26">
          <cell r="A26" t="str">
            <v>24</v>
          </cell>
          <cell r="B26">
            <v>3016.174</v>
          </cell>
          <cell r="C26">
            <v>2913.3406666666665</v>
          </cell>
          <cell r="D26">
            <v>97.900000000000048</v>
          </cell>
          <cell r="E26">
            <v>4.9333333333333345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K26" t="str">
            <v>24</v>
          </cell>
          <cell r="L26">
            <v>3177.5439999999999</v>
          </cell>
          <cell r="M26">
            <v>3045.5439999999999</v>
          </cell>
          <cell r="N26">
            <v>129.6</v>
          </cell>
          <cell r="O26">
            <v>2.4</v>
          </cell>
          <cell r="P26">
            <v>75.200000000000074</v>
          </cell>
          <cell r="Q26">
            <v>74.60000000000008</v>
          </cell>
          <cell r="R26">
            <v>0.6</v>
          </cell>
          <cell r="S26">
            <v>0</v>
          </cell>
        </row>
        <row r="27">
          <cell r="A27" t="str">
            <v>25</v>
          </cell>
          <cell r="B27">
            <v>1479.6690000000001</v>
          </cell>
          <cell r="C27">
            <v>1248.9156666666665</v>
          </cell>
          <cell r="D27">
            <v>190.74</v>
          </cell>
          <cell r="E27">
            <v>40.013333333333271</v>
          </cell>
          <cell r="F27">
            <v>0</v>
          </cell>
          <cell r="G27">
            <v>0</v>
          </cell>
          <cell r="H27">
            <v>0</v>
          </cell>
          <cell r="I27">
            <v>1.3333333333333334E-2</v>
          </cell>
          <cell r="K27" t="str">
            <v>25</v>
          </cell>
          <cell r="L27">
            <v>1571.7639999999999</v>
          </cell>
          <cell r="M27">
            <v>1250.7706666666668</v>
          </cell>
          <cell r="N27">
            <v>283.27999999999997</v>
          </cell>
          <cell r="O27">
            <v>37.713333333333296</v>
          </cell>
          <cell r="P27">
            <v>0</v>
          </cell>
          <cell r="Q27">
            <v>0</v>
          </cell>
          <cell r="R27">
            <v>0</v>
          </cell>
          <cell r="S27">
            <v>0.4</v>
          </cell>
        </row>
        <row r="28">
          <cell r="A28" t="str">
            <v>26</v>
          </cell>
          <cell r="B28">
            <v>2413.623</v>
          </cell>
          <cell r="C28">
            <v>2183.6496666666653</v>
          </cell>
          <cell r="D28">
            <v>229.97333333333458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1.1533333333333333</v>
          </cell>
          <cell r="K28" t="str">
            <v>26</v>
          </cell>
          <cell r="L28">
            <v>2600.5740000000001</v>
          </cell>
          <cell r="M28">
            <v>2051.0406666666777</v>
          </cell>
          <cell r="N28">
            <v>496.59999999998939</v>
          </cell>
          <cell r="O28">
            <v>52.933333333333358</v>
          </cell>
          <cell r="P28">
            <v>0</v>
          </cell>
          <cell r="Q28">
            <v>0</v>
          </cell>
          <cell r="R28">
            <v>0</v>
          </cell>
          <cell r="S28">
            <v>0.31333333333333335</v>
          </cell>
        </row>
        <row r="29">
          <cell r="A29" t="str">
            <v>27</v>
          </cell>
          <cell r="B29">
            <v>3257.6040000000003</v>
          </cell>
          <cell r="C29">
            <v>2731.2506666666691</v>
          </cell>
          <cell r="D29">
            <v>303.17333333333363</v>
          </cell>
          <cell r="E29">
            <v>223.17999999999748</v>
          </cell>
          <cell r="F29">
            <v>0</v>
          </cell>
          <cell r="G29">
            <v>0</v>
          </cell>
          <cell r="H29">
            <v>0</v>
          </cell>
          <cell r="I29">
            <v>83.4</v>
          </cell>
          <cell r="K29" t="str">
            <v>27</v>
          </cell>
          <cell r="L29">
            <v>3038.3609999999999</v>
          </cell>
          <cell r="M29">
            <v>2385.1210000000042</v>
          </cell>
          <cell r="N29">
            <v>450.08666666666522</v>
          </cell>
          <cell r="O29">
            <v>203.15333333333086</v>
          </cell>
          <cell r="P29">
            <v>0</v>
          </cell>
          <cell r="Q29">
            <v>0</v>
          </cell>
          <cell r="R29">
            <v>0</v>
          </cell>
          <cell r="S29">
            <v>65.7</v>
          </cell>
        </row>
        <row r="30">
          <cell r="A30" t="str">
            <v>28</v>
          </cell>
          <cell r="B30">
            <v>3841.2370000000001</v>
          </cell>
          <cell r="C30">
            <v>3250.5036666666674</v>
          </cell>
          <cell r="D30">
            <v>444.13333333333333</v>
          </cell>
          <cell r="E30">
            <v>146.59999999999928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K30" t="str">
            <v>28</v>
          </cell>
          <cell r="L30">
            <v>3678.3119999999999</v>
          </cell>
          <cell r="M30">
            <v>3129.1453333333352</v>
          </cell>
          <cell r="N30">
            <v>438.84666666666544</v>
          </cell>
          <cell r="O30">
            <v>110.32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A31" t="str">
            <v>29</v>
          </cell>
          <cell r="B31">
            <v>3249.0840000000003</v>
          </cell>
          <cell r="C31">
            <v>2939.6173333333331</v>
          </cell>
          <cell r="D31">
            <v>288.12</v>
          </cell>
          <cell r="E31">
            <v>21.346666666666657</v>
          </cell>
          <cell r="F31">
            <v>0</v>
          </cell>
          <cell r="G31">
            <v>0</v>
          </cell>
          <cell r="H31">
            <v>0</v>
          </cell>
          <cell r="I31">
            <v>37.179999999999914</v>
          </cell>
          <cell r="K31" t="str">
            <v>29</v>
          </cell>
          <cell r="L31">
            <v>3569.22</v>
          </cell>
          <cell r="M31">
            <v>2643.0399999999895</v>
          </cell>
          <cell r="N31">
            <v>908.51333333334412</v>
          </cell>
          <cell r="O31">
            <v>17.666666666666664</v>
          </cell>
          <cell r="P31">
            <v>0</v>
          </cell>
          <cell r="Q31">
            <v>0</v>
          </cell>
          <cell r="R31">
            <v>0</v>
          </cell>
          <cell r="S31">
            <v>41.52</v>
          </cell>
        </row>
        <row r="32">
          <cell r="A32" t="str">
            <v>30</v>
          </cell>
          <cell r="B32">
            <v>1152.7530000000002</v>
          </cell>
          <cell r="C32">
            <v>1111.4596666666669</v>
          </cell>
          <cell r="D32">
            <v>41.293333333333372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K32" t="str">
            <v>30</v>
          </cell>
          <cell r="L32">
            <v>1210.018</v>
          </cell>
          <cell r="M32">
            <v>1133.8646666666666</v>
          </cell>
          <cell r="N32">
            <v>76.153333333333435</v>
          </cell>
          <cell r="O32">
            <v>0</v>
          </cell>
          <cell r="P32">
            <v>340.23999999999751</v>
          </cell>
          <cell r="Q32">
            <v>333.63999999999749</v>
          </cell>
          <cell r="R32">
            <v>6.6</v>
          </cell>
          <cell r="S32">
            <v>0</v>
          </cell>
        </row>
      </sheetData>
      <sheetData sheetId="14" refreshError="1">
        <row r="2">
          <cell r="A2" t="str">
            <v>DISTRICT</v>
          </cell>
          <cell r="B2" t="str">
            <v>SumOfTotal_FTES</v>
          </cell>
          <cell r="C2" t="str">
            <v>SumOfBase_FTES</v>
          </cell>
          <cell r="D2" t="str">
            <v>SumOfWR_FTES</v>
          </cell>
          <cell r="E2" t="str">
            <v>SumOfApprent_FTES</v>
          </cell>
          <cell r="F2" t="str">
            <v>SumOfTotal_Excess_FTES</v>
          </cell>
          <cell r="G2" t="str">
            <v>SumOfBase_Excess_FTES</v>
          </cell>
          <cell r="H2" t="str">
            <v>SumOfWR_Excess_FTES</v>
          </cell>
          <cell r="I2" t="str">
            <v>SumOfBasicSkills_FTES</v>
          </cell>
        </row>
        <row r="3">
          <cell r="A3" t="str">
            <v>01</v>
          </cell>
          <cell r="B3">
            <v>1458.9870000000001</v>
          </cell>
          <cell r="C3">
            <v>1240.2603333333329</v>
          </cell>
          <cell r="D3">
            <v>218.72666666666711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0.64</v>
          </cell>
        </row>
        <row r="4">
          <cell r="A4" t="str">
            <v>02</v>
          </cell>
          <cell r="B4">
            <v>1614.5440000000001</v>
          </cell>
          <cell r="C4">
            <v>1412.4706666666666</v>
          </cell>
          <cell r="D4">
            <v>198.07333333333341</v>
          </cell>
          <cell r="E4">
            <v>4</v>
          </cell>
          <cell r="F4">
            <v>0</v>
          </cell>
          <cell r="G4">
            <v>0</v>
          </cell>
          <cell r="H4">
            <v>0</v>
          </cell>
          <cell r="I4">
            <v>2.76</v>
          </cell>
        </row>
        <row r="5">
          <cell r="A5" t="str">
            <v>03</v>
          </cell>
          <cell r="B5">
            <v>3908.7180000000003</v>
          </cell>
          <cell r="C5">
            <v>3349.9246666666704</v>
          </cell>
          <cell r="D5">
            <v>232.12666666666743</v>
          </cell>
          <cell r="E5">
            <v>326.66666666666231</v>
          </cell>
          <cell r="F5">
            <v>0</v>
          </cell>
          <cell r="G5">
            <v>0</v>
          </cell>
          <cell r="H5">
            <v>0</v>
          </cell>
          <cell r="I5">
            <v>0.23333333333333336</v>
          </cell>
        </row>
        <row r="6">
          <cell r="A6" t="str">
            <v>04</v>
          </cell>
          <cell r="B6">
            <v>3092.9110000000001</v>
          </cell>
          <cell r="C6">
            <v>2858.7243333333331</v>
          </cell>
          <cell r="D6">
            <v>217.65333333333362</v>
          </cell>
          <cell r="E6">
            <v>16.533333333333335</v>
          </cell>
          <cell r="F6">
            <v>324.61333333333113</v>
          </cell>
          <cell r="G6">
            <v>318.56666666666445</v>
          </cell>
          <cell r="H6">
            <v>6.0466666666666677</v>
          </cell>
          <cell r="I6">
            <v>3.8866666666666658</v>
          </cell>
        </row>
        <row r="7">
          <cell r="A7" t="str">
            <v>05</v>
          </cell>
          <cell r="B7">
            <v>3825.0190000000002</v>
          </cell>
          <cell r="C7">
            <v>3470.918999999999</v>
          </cell>
          <cell r="D7">
            <v>281.86666666666764</v>
          </cell>
          <cell r="E7">
            <v>72.233333333333377</v>
          </cell>
          <cell r="F7">
            <v>450.33333333332473</v>
          </cell>
          <cell r="G7">
            <v>433.59999999999138</v>
          </cell>
          <cell r="H7">
            <v>16.733333333333338</v>
          </cell>
          <cell r="I7">
            <v>1.26</v>
          </cell>
        </row>
        <row r="8">
          <cell r="A8" t="str">
            <v>06</v>
          </cell>
          <cell r="B8">
            <v>12489.899000000001</v>
          </cell>
          <cell r="C8">
            <v>10889.732333333315</v>
          </cell>
          <cell r="D8">
            <v>888.52666666666767</v>
          </cell>
          <cell r="E8">
            <v>711.64000000001886</v>
          </cell>
          <cell r="F8">
            <v>1150.4666666666587</v>
          </cell>
          <cell r="G8">
            <v>1134.4666666666587</v>
          </cell>
          <cell r="H8">
            <v>16</v>
          </cell>
          <cell r="I8">
            <v>2.1533333333333333</v>
          </cell>
        </row>
        <row r="9">
          <cell r="A9" t="str">
            <v>07</v>
          </cell>
          <cell r="B9">
            <v>4660.3069999999998</v>
          </cell>
          <cell r="C9">
            <v>4417.3669999999984</v>
          </cell>
          <cell r="D9">
            <v>234.40666666666729</v>
          </cell>
          <cell r="E9">
            <v>8.5333333333333421</v>
          </cell>
          <cell r="F9">
            <v>142.16666666666663</v>
          </cell>
          <cell r="G9">
            <v>139.43333333333331</v>
          </cell>
          <cell r="H9">
            <v>2.7333333333333334</v>
          </cell>
          <cell r="I9">
            <v>1.7066666666666666</v>
          </cell>
        </row>
        <row r="10">
          <cell r="A10" t="str">
            <v>08</v>
          </cell>
          <cell r="B10">
            <v>6643.9880000000003</v>
          </cell>
          <cell r="C10">
            <v>6366.9413333333332</v>
          </cell>
          <cell r="D10">
            <v>277.04666666666719</v>
          </cell>
          <cell r="E10">
            <v>0</v>
          </cell>
          <cell r="F10">
            <v>1820.7733333332442</v>
          </cell>
          <cell r="G10">
            <v>1769.213333333244</v>
          </cell>
          <cell r="H10">
            <v>51.560000000000073</v>
          </cell>
          <cell r="I10">
            <v>0</v>
          </cell>
        </row>
        <row r="11">
          <cell r="A11" t="str">
            <v>09</v>
          </cell>
          <cell r="B11">
            <v>4886.57</v>
          </cell>
          <cell r="C11">
            <v>4555.9233333333359</v>
          </cell>
          <cell r="D11">
            <v>326.97999999999723</v>
          </cell>
          <cell r="E11">
            <v>3.666666666666667</v>
          </cell>
          <cell r="F11">
            <v>0</v>
          </cell>
          <cell r="G11">
            <v>0</v>
          </cell>
          <cell r="H11">
            <v>0</v>
          </cell>
          <cell r="I11">
            <v>1.8733333333333331</v>
          </cell>
        </row>
        <row r="12">
          <cell r="A12" t="str">
            <v>10</v>
          </cell>
          <cell r="B12">
            <v>4711.33</v>
          </cell>
          <cell r="C12">
            <v>4270.8633333333428</v>
          </cell>
          <cell r="D12">
            <v>440.46666666665681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41.873333333333413</v>
          </cell>
        </row>
        <row r="13">
          <cell r="A13" t="str">
            <v>11</v>
          </cell>
          <cell r="B13">
            <v>4827.4030000000002</v>
          </cell>
          <cell r="C13">
            <v>4460.7363333333324</v>
          </cell>
          <cell r="D13">
            <v>283.40000000000106</v>
          </cell>
          <cell r="E13">
            <v>83.266666666666779</v>
          </cell>
          <cell r="F13">
            <v>200.43333333333277</v>
          </cell>
          <cell r="G13">
            <v>195.76666666666608</v>
          </cell>
          <cell r="H13">
            <v>4.666666666666667</v>
          </cell>
          <cell r="I13">
            <v>0</v>
          </cell>
        </row>
        <row r="14">
          <cell r="A14" t="str">
            <v>12</v>
          </cell>
          <cell r="B14">
            <v>1919.5250000000001</v>
          </cell>
          <cell r="C14">
            <v>1788.2316666666666</v>
          </cell>
          <cell r="D14">
            <v>122.82666666666674</v>
          </cell>
          <cell r="E14">
            <v>8.4666666666666686</v>
          </cell>
          <cell r="F14">
            <v>0</v>
          </cell>
          <cell r="G14">
            <v>0</v>
          </cell>
          <cell r="H14">
            <v>0</v>
          </cell>
          <cell r="I14">
            <v>3.0133333333333336</v>
          </cell>
        </row>
        <row r="15">
          <cell r="A15" t="str">
            <v>13</v>
          </cell>
          <cell r="B15">
            <v>2175.1669999999999</v>
          </cell>
          <cell r="C15">
            <v>1917.146999999999</v>
          </cell>
          <cell r="D15">
            <v>219.15333333333405</v>
          </cell>
          <cell r="E15">
            <v>38.866666666666674</v>
          </cell>
          <cell r="F15">
            <v>0</v>
          </cell>
          <cell r="G15">
            <v>0</v>
          </cell>
          <cell r="H15">
            <v>0</v>
          </cell>
          <cell r="I15">
            <v>3.0533333333333332</v>
          </cell>
        </row>
        <row r="16">
          <cell r="A16" t="str">
            <v>14</v>
          </cell>
          <cell r="B16">
            <v>5834.4070000000002</v>
          </cell>
          <cell r="C16">
            <v>5369.5803333333415</v>
          </cell>
          <cell r="D16">
            <v>427.82666666665847</v>
          </cell>
          <cell r="E16">
            <v>37</v>
          </cell>
          <cell r="F16">
            <v>800.20000000002801</v>
          </cell>
          <cell r="G16">
            <v>792.33333333336134</v>
          </cell>
          <cell r="H16">
            <v>7.866666666666668</v>
          </cell>
          <cell r="I16">
            <v>0.33333333333333337</v>
          </cell>
        </row>
        <row r="17">
          <cell r="A17" t="str">
            <v>15</v>
          </cell>
          <cell r="B17">
            <v>2048.7730000000001</v>
          </cell>
          <cell r="C17">
            <v>1925.6663333333336</v>
          </cell>
          <cell r="D17">
            <v>112.64</v>
          </cell>
          <cell r="E17">
            <v>10.46666666666667</v>
          </cell>
          <cell r="F17">
            <v>250.10000000000107</v>
          </cell>
          <cell r="G17">
            <v>243.76666666666773</v>
          </cell>
          <cell r="H17">
            <v>6.3333333333333313</v>
          </cell>
          <cell r="I17">
            <v>0</v>
          </cell>
        </row>
        <row r="18">
          <cell r="A18" t="str">
            <v>16</v>
          </cell>
          <cell r="B18">
            <v>3868.451</v>
          </cell>
          <cell r="C18">
            <v>3659.0776666666661</v>
          </cell>
          <cell r="D18">
            <v>209.37333333333379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3.4533333333333327</v>
          </cell>
        </row>
        <row r="19">
          <cell r="A19" t="str">
            <v>17</v>
          </cell>
          <cell r="B19">
            <v>11742.161</v>
          </cell>
          <cell r="C19">
            <v>11279.527666666667</v>
          </cell>
          <cell r="D19">
            <v>319.20000000000067</v>
          </cell>
          <cell r="E19">
            <v>143.43333333333317</v>
          </cell>
          <cell r="F19">
            <v>750.60666666665702</v>
          </cell>
          <cell r="G19">
            <v>743.126666666657</v>
          </cell>
          <cell r="H19">
            <v>7.48</v>
          </cell>
          <cell r="I19">
            <v>9.2933333333333383</v>
          </cell>
        </row>
        <row r="20">
          <cell r="A20" t="str">
            <v>18</v>
          </cell>
          <cell r="B20">
            <v>1410.7280000000001</v>
          </cell>
          <cell r="C20">
            <v>1332.4146666666668</v>
          </cell>
          <cell r="D20">
            <v>76.246666666666769</v>
          </cell>
          <cell r="E20">
            <v>2.0666666666666664</v>
          </cell>
          <cell r="F20">
            <v>110.14</v>
          </cell>
          <cell r="G20">
            <v>108.3133333333332</v>
          </cell>
          <cell r="H20">
            <v>1.8266666666666664</v>
          </cell>
          <cell r="I20">
            <v>0</v>
          </cell>
        </row>
        <row r="21">
          <cell r="A21" t="str">
            <v>19</v>
          </cell>
          <cell r="B21">
            <v>4004.08</v>
          </cell>
          <cell r="C21">
            <v>3519.3066666666682</v>
          </cell>
          <cell r="D21">
            <v>311.98666666666497</v>
          </cell>
          <cell r="E21">
            <v>172.78666666666695</v>
          </cell>
          <cell r="F21">
            <v>0</v>
          </cell>
          <cell r="G21">
            <v>0</v>
          </cell>
          <cell r="H21">
            <v>0</v>
          </cell>
          <cell r="I21">
            <v>0.52</v>
          </cell>
        </row>
        <row r="22">
          <cell r="A22" t="str">
            <v>20</v>
          </cell>
          <cell r="B22">
            <v>2553.7090000000003</v>
          </cell>
          <cell r="C22">
            <v>2299.5356666666657</v>
          </cell>
          <cell r="D22">
            <v>254.17333333333434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24.426666666666673</v>
          </cell>
        </row>
        <row r="23">
          <cell r="A23" t="str">
            <v>21</v>
          </cell>
          <cell r="B23">
            <v>2371.837</v>
          </cell>
          <cell r="C23">
            <v>2333.3503333333333</v>
          </cell>
          <cell r="D23">
            <v>38.486666666666657</v>
          </cell>
          <cell r="E23">
            <v>0</v>
          </cell>
          <cell r="F23">
            <v>520.23999999998864</v>
          </cell>
          <cell r="G23">
            <v>517.23999999998864</v>
          </cell>
          <cell r="H23">
            <v>3</v>
          </cell>
          <cell r="I23">
            <v>4.6666666666666669E-2</v>
          </cell>
        </row>
        <row r="24">
          <cell r="A24" t="str">
            <v>22</v>
          </cell>
          <cell r="B24">
            <v>4251.567</v>
          </cell>
          <cell r="C24">
            <v>3983.9936666666654</v>
          </cell>
          <cell r="D24">
            <v>267.57333333333452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0.76000000000000101</v>
          </cell>
        </row>
        <row r="25">
          <cell r="A25" t="str">
            <v>23</v>
          </cell>
          <cell r="B25">
            <v>4169.0070000000005</v>
          </cell>
          <cell r="C25">
            <v>3857.9670000000019</v>
          </cell>
          <cell r="D25">
            <v>311.03999999999843</v>
          </cell>
          <cell r="E25">
            <v>0</v>
          </cell>
          <cell r="F25">
            <v>179.30000000000078</v>
          </cell>
          <cell r="G25">
            <v>176.36666666666744</v>
          </cell>
          <cell r="H25">
            <v>2.9333333333333331</v>
          </cell>
          <cell r="I25">
            <v>3.0466666666666669</v>
          </cell>
        </row>
        <row r="26">
          <cell r="A26" t="str">
            <v>24</v>
          </cell>
          <cell r="B26">
            <v>2835.1130000000003</v>
          </cell>
          <cell r="C26">
            <v>2724.3796666666667</v>
          </cell>
          <cell r="D26">
            <v>108.33333333333336</v>
          </cell>
          <cell r="E26">
            <v>2.4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 t="str">
            <v>25</v>
          </cell>
          <cell r="B27">
            <v>1536.4940000000001</v>
          </cell>
          <cell r="C27">
            <v>1271.3339999999994</v>
          </cell>
          <cell r="D27">
            <v>207.44000000000091</v>
          </cell>
          <cell r="E27">
            <v>57.719999999999892</v>
          </cell>
          <cell r="F27">
            <v>0</v>
          </cell>
          <cell r="G27">
            <v>0</v>
          </cell>
          <cell r="H27">
            <v>0</v>
          </cell>
          <cell r="I27">
            <v>0.63333333333333341</v>
          </cell>
        </row>
        <row r="28">
          <cell r="A28" t="str">
            <v>26</v>
          </cell>
          <cell r="B28">
            <v>2310.3440000000001</v>
          </cell>
          <cell r="C28">
            <v>1969.2840000000003</v>
          </cell>
          <cell r="D28">
            <v>288.06</v>
          </cell>
          <cell r="E28">
            <v>53</v>
          </cell>
          <cell r="F28">
            <v>0</v>
          </cell>
          <cell r="G28">
            <v>0</v>
          </cell>
          <cell r="H28">
            <v>0</v>
          </cell>
          <cell r="I28">
            <v>0.98666666666666702</v>
          </cell>
        </row>
        <row r="29">
          <cell r="A29" t="str">
            <v>27</v>
          </cell>
          <cell r="B29">
            <v>3121.259</v>
          </cell>
          <cell r="C29">
            <v>2647.9590000000021</v>
          </cell>
          <cell r="D29">
            <v>276.16000000000003</v>
          </cell>
          <cell r="E29">
            <v>197.1399999999974</v>
          </cell>
          <cell r="F29">
            <v>0</v>
          </cell>
          <cell r="G29">
            <v>0</v>
          </cell>
          <cell r="H29">
            <v>0</v>
          </cell>
          <cell r="I29">
            <v>114.5866666666666</v>
          </cell>
        </row>
        <row r="30">
          <cell r="A30" t="str">
            <v>28</v>
          </cell>
          <cell r="B30">
            <v>4000.163</v>
          </cell>
          <cell r="C30">
            <v>3264.7563333333314</v>
          </cell>
          <cell r="D30">
            <v>477.85333333333233</v>
          </cell>
          <cell r="E30">
            <v>257.55333333333641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>29</v>
          </cell>
          <cell r="B31">
            <v>3412.1730000000002</v>
          </cell>
          <cell r="C31">
            <v>2680.5063333333273</v>
          </cell>
          <cell r="D31">
            <v>724.04666666667276</v>
          </cell>
          <cell r="E31">
            <v>7.62</v>
          </cell>
          <cell r="F31">
            <v>0</v>
          </cell>
          <cell r="G31">
            <v>0</v>
          </cell>
          <cell r="H31">
            <v>0</v>
          </cell>
          <cell r="I31">
            <v>48.400000000000148</v>
          </cell>
        </row>
        <row r="32">
          <cell r="A32" t="str">
            <v>30</v>
          </cell>
          <cell r="B32">
            <v>1096.146</v>
          </cell>
          <cell r="C32">
            <v>1045.5126666666665</v>
          </cell>
          <cell r="D32">
            <v>50.633333333333468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"/>
      <sheetName val="CSS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ldcare"/>
      <sheetName val="Child-Data"/>
      <sheetName val="Minority"/>
      <sheetName val="Minority-Data"/>
      <sheetName val="Disability"/>
      <sheetName val="Disability-Data"/>
    </sheetNames>
    <sheetDataSet>
      <sheetData sheetId="0" refreshError="1"/>
      <sheetData sheetId="1"/>
      <sheetData sheetId="2" refreshError="1"/>
      <sheetData sheetId="3"/>
      <sheetData sheetId="4" refreshError="1"/>
      <sheetData sheetId="5">
        <row r="1">
          <cell r="A1" t="str">
            <v>COLLEGE</v>
          </cell>
          <cell r="B1" t="str">
            <v>TITLE</v>
          </cell>
          <cell r="C1" t="str">
            <v>CountOfDW_KEY</v>
          </cell>
        </row>
        <row r="2">
          <cell r="A2" t="str">
            <v>010</v>
          </cell>
          <cell r="B2" t="str">
            <v>PENINSULA</v>
          </cell>
          <cell r="C2">
            <v>356</v>
          </cell>
        </row>
        <row r="3">
          <cell r="A3" t="str">
            <v>020</v>
          </cell>
          <cell r="B3" t="str">
            <v>GRAYS HARBOR</v>
          </cell>
          <cell r="C3">
            <v>454</v>
          </cell>
        </row>
        <row r="4">
          <cell r="A4" t="str">
            <v>030</v>
          </cell>
          <cell r="B4" t="str">
            <v>OLYMPIC</v>
          </cell>
          <cell r="C4">
            <v>582</v>
          </cell>
        </row>
        <row r="5">
          <cell r="A5" t="str">
            <v>040</v>
          </cell>
          <cell r="B5" t="str">
            <v>SKAGIT VALLEY</v>
          </cell>
          <cell r="C5">
            <v>332</v>
          </cell>
        </row>
        <row r="6">
          <cell r="A6" t="str">
            <v>050</v>
          </cell>
          <cell r="B6" t="str">
            <v>EVERETT</v>
          </cell>
          <cell r="C6">
            <v>281</v>
          </cell>
        </row>
        <row r="7">
          <cell r="A7" t="str">
            <v>062</v>
          </cell>
          <cell r="B7" t="str">
            <v>SEATTLE CENTRAL</v>
          </cell>
          <cell r="C7">
            <v>356</v>
          </cell>
        </row>
        <row r="8">
          <cell r="A8" t="str">
            <v>063</v>
          </cell>
          <cell r="B8" t="str">
            <v>SEATTLE NORTH</v>
          </cell>
          <cell r="C8">
            <v>297</v>
          </cell>
        </row>
        <row r="9">
          <cell r="A9" t="str">
            <v>064</v>
          </cell>
          <cell r="B9" t="str">
            <v>SEATTLE SOUTH</v>
          </cell>
          <cell r="C9">
            <v>232</v>
          </cell>
        </row>
        <row r="10">
          <cell r="A10" t="str">
            <v>065</v>
          </cell>
          <cell r="B10" t="str">
            <v>SEATTLE VOC INSTITUTE</v>
          </cell>
          <cell r="C10">
            <v>2</v>
          </cell>
        </row>
        <row r="11">
          <cell r="A11" t="str">
            <v>070</v>
          </cell>
          <cell r="B11" t="str">
            <v>SHORELINE</v>
          </cell>
          <cell r="C11">
            <v>325</v>
          </cell>
        </row>
        <row r="12">
          <cell r="A12" t="str">
            <v>080</v>
          </cell>
          <cell r="B12" t="str">
            <v>BELLEVUE</v>
          </cell>
          <cell r="C12">
            <v>717</v>
          </cell>
        </row>
        <row r="13">
          <cell r="A13" t="str">
            <v>090</v>
          </cell>
          <cell r="B13" t="str">
            <v>HIGHLINE</v>
          </cell>
          <cell r="C13">
            <v>1358</v>
          </cell>
        </row>
        <row r="14">
          <cell r="A14" t="str">
            <v>100</v>
          </cell>
          <cell r="B14" t="str">
            <v>GREEN RIVER</v>
          </cell>
          <cell r="C14">
            <v>492</v>
          </cell>
        </row>
        <row r="15">
          <cell r="A15" t="str">
            <v>110</v>
          </cell>
          <cell r="B15" t="str">
            <v>PIERCE DISTRICT</v>
          </cell>
          <cell r="C15">
            <v>547</v>
          </cell>
        </row>
        <row r="16">
          <cell r="A16" t="str">
            <v>121</v>
          </cell>
          <cell r="B16" t="str">
            <v>CENTRALIA</v>
          </cell>
          <cell r="C16">
            <v>338</v>
          </cell>
        </row>
        <row r="17">
          <cell r="A17" t="str">
            <v>130</v>
          </cell>
          <cell r="B17" t="str">
            <v>LOWER COLUMBIA</v>
          </cell>
          <cell r="C17">
            <v>502</v>
          </cell>
        </row>
        <row r="18">
          <cell r="A18" t="str">
            <v>140</v>
          </cell>
          <cell r="B18" t="str">
            <v>CLARK</v>
          </cell>
          <cell r="C18">
            <v>936</v>
          </cell>
        </row>
        <row r="19">
          <cell r="A19" t="str">
            <v>150</v>
          </cell>
          <cell r="B19" t="str">
            <v>WENATCHEE VALLEY</v>
          </cell>
          <cell r="C19">
            <v>190</v>
          </cell>
        </row>
        <row r="20">
          <cell r="A20" t="str">
            <v>160</v>
          </cell>
          <cell r="B20" t="str">
            <v>YAKIMA VALLEY</v>
          </cell>
          <cell r="C20">
            <v>384</v>
          </cell>
        </row>
        <row r="21">
          <cell r="A21" t="str">
            <v>171</v>
          </cell>
          <cell r="B21" t="str">
            <v>SPOKANE COMMUNITY</v>
          </cell>
          <cell r="C21">
            <v>487</v>
          </cell>
        </row>
        <row r="22">
          <cell r="A22" t="str">
            <v>172</v>
          </cell>
          <cell r="B22" t="str">
            <v>SPOKANE FALLS</v>
          </cell>
          <cell r="C22">
            <v>1309</v>
          </cell>
        </row>
        <row r="23">
          <cell r="A23" t="str">
            <v>180</v>
          </cell>
          <cell r="B23" t="str">
            <v>BIG BEND</v>
          </cell>
          <cell r="C23">
            <v>234</v>
          </cell>
        </row>
        <row r="24">
          <cell r="A24" t="str">
            <v>190</v>
          </cell>
          <cell r="B24" t="str">
            <v>COLUMBIA BASIN</v>
          </cell>
          <cell r="C24">
            <v>398</v>
          </cell>
        </row>
        <row r="25">
          <cell r="A25" t="str">
            <v>200</v>
          </cell>
          <cell r="B25" t="str">
            <v>WALLA WALLA</v>
          </cell>
          <cell r="C25">
            <v>261</v>
          </cell>
        </row>
        <row r="26">
          <cell r="A26" t="str">
            <v>210</v>
          </cell>
          <cell r="B26" t="str">
            <v>WHATCOM</v>
          </cell>
          <cell r="C26">
            <v>291</v>
          </cell>
        </row>
        <row r="27">
          <cell r="A27" t="str">
            <v>220</v>
          </cell>
          <cell r="B27" t="str">
            <v>TACOMA</v>
          </cell>
          <cell r="C27">
            <v>617</v>
          </cell>
        </row>
        <row r="28">
          <cell r="A28" t="str">
            <v>230</v>
          </cell>
          <cell r="B28" t="str">
            <v>EDMONDS</v>
          </cell>
          <cell r="C28">
            <v>520</v>
          </cell>
        </row>
        <row r="29">
          <cell r="A29" t="str">
            <v>240</v>
          </cell>
          <cell r="B29" t="str">
            <v>SOUTH PUGET SOUND</v>
          </cell>
          <cell r="C29">
            <v>406</v>
          </cell>
        </row>
        <row r="30">
          <cell r="A30" t="str">
            <v>250</v>
          </cell>
          <cell r="B30" t="str">
            <v>BELLINGHAM</v>
          </cell>
          <cell r="C30">
            <v>260</v>
          </cell>
        </row>
        <row r="31">
          <cell r="A31" t="str">
            <v>260</v>
          </cell>
          <cell r="B31" t="str">
            <v>LAKE WASHINGTON</v>
          </cell>
          <cell r="C31">
            <v>200</v>
          </cell>
        </row>
        <row r="32">
          <cell r="A32" t="str">
            <v>270</v>
          </cell>
          <cell r="B32" t="str">
            <v>RENTON</v>
          </cell>
          <cell r="C32">
            <v>86</v>
          </cell>
        </row>
        <row r="33">
          <cell r="A33" t="str">
            <v>280</v>
          </cell>
          <cell r="B33" t="str">
            <v>BATES</v>
          </cell>
          <cell r="C33">
            <v>542</v>
          </cell>
        </row>
        <row r="34">
          <cell r="A34" t="str">
            <v>290</v>
          </cell>
          <cell r="B34" t="str">
            <v>CLOVER PARK</v>
          </cell>
          <cell r="C34">
            <v>182</v>
          </cell>
        </row>
        <row r="35">
          <cell r="A35" t="str">
            <v>300</v>
          </cell>
          <cell r="B35" t="str">
            <v>CASCADIA</v>
          </cell>
          <cell r="C35">
            <v>26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_FIN"/>
      <sheetName val="Exp by Source of Funds"/>
      <sheetName val="Exp Source of funds data"/>
      <sheetName val="Exp Source of Funds"/>
      <sheetName val="Exp by Program"/>
      <sheetName val="Exp by Prog Data"/>
      <sheetName val="Exp by Prog by Dist"/>
      <sheetName val="Operating Fees"/>
      <sheetName val="Exp by Object"/>
    </sheetNames>
    <sheetDataSet>
      <sheetData sheetId="0" refreshError="1"/>
      <sheetData sheetId="1" refreshError="1"/>
      <sheetData sheetId="2" refreshError="1">
        <row r="2">
          <cell r="A2" t="str">
            <v>01</v>
          </cell>
          <cell r="B2">
            <v>7004177.1299999999</v>
          </cell>
          <cell r="C2">
            <v>334816.8</v>
          </cell>
          <cell r="D2">
            <v>1942769</v>
          </cell>
          <cell r="E2">
            <v>143023.51</v>
          </cell>
          <cell r="F2">
            <v>1223011.1499999999</v>
          </cell>
        </row>
        <row r="3">
          <cell r="A3" t="str">
            <v>02</v>
          </cell>
          <cell r="B3">
            <v>7503383.5199999996</v>
          </cell>
          <cell r="C3">
            <v>182754</v>
          </cell>
          <cell r="D3">
            <v>1917927.33</v>
          </cell>
          <cell r="E3">
            <v>16331.45</v>
          </cell>
          <cell r="F3">
            <v>709488.78</v>
          </cell>
        </row>
        <row r="4">
          <cell r="A4" t="str">
            <v>03</v>
          </cell>
          <cell r="B4">
            <v>12933425</v>
          </cell>
          <cell r="C4">
            <v>523522.77</v>
          </cell>
          <cell r="D4">
            <v>4950553.9400000004</v>
          </cell>
          <cell r="E4">
            <v>37212</v>
          </cell>
          <cell r="F4">
            <v>1808158.23</v>
          </cell>
        </row>
        <row r="5">
          <cell r="A5" t="str">
            <v>04</v>
          </cell>
          <cell r="B5">
            <v>11377667</v>
          </cell>
          <cell r="C5">
            <v>723218.71</v>
          </cell>
          <cell r="D5">
            <v>3295727.68</v>
          </cell>
          <cell r="E5">
            <v>0</v>
          </cell>
          <cell r="F5">
            <v>6659001.7000000002</v>
          </cell>
        </row>
        <row r="6">
          <cell r="A6" t="str">
            <v>05</v>
          </cell>
          <cell r="B6">
            <v>13217159</v>
          </cell>
          <cell r="C6">
            <v>955113.61</v>
          </cell>
          <cell r="D6">
            <v>4596076.4400000004</v>
          </cell>
          <cell r="E6">
            <v>6619.01</v>
          </cell>
          <cell r="F6">
            <v>2629334.21</v>
          </cell>
        </row>
        <row r="7">
          <cell r="A7" t="str">
            <v>06</v>
          </cell>
          <cell r="B7">
            <v>47739471.25</v>
          </cell>
          <cell r="C7">
            <v>6639789.54</v>
          </cell>
          <cell r="D7">
            <v>12059091.18</v>
          </cell>
          <cell r="E7">
            <v>0</v>
          </cell>
          <cell r="F7">
            <v>15944625.619999999</v>
          </cell>
        </row>
        <row r="8">
          <cell r="A8" t="str">
            <v>07</v>
          </cell>
          <cell r="B8">
            <v>17352553.969999999</v>
          </cell>
          <cell r="C8">
            <v>1673080.71</v>
          </cell>
          <cell r="D8">
            <v>5547155.4000000004</v>
          </cell>
          <cell r="E8">
            <v>121535.21</v>
          </cell>
          <cell r="F8">
            <v>5459942.4000000004</v>
          </cell>
        </row>
        <row r="9">
          <cell r="A9" t="str">
            <v>08</v>
          </cell>
          <cell r="B9">
            <v>17993596.640000001</v>
          </cell>
          <cell r="C9">
            <v>8010014.6299999999</v>
          </cell>
          <cell r="D9">
            <v>7047242</v>
          </cell>
          <cell r="E9">
            <v>3612.5</v>
          </cell>
          <cell r="F9">
            <v>5391235.6100000003</v>
          </cell>
        </row>
        <row r="10">
          <cell r="A10" t="str">
            <v>09</v>
          </cell>
          <cell r="B10">
            <v>16642831</v>
          </cell>
          <cell r="C10">
            <v>2461363.4900000002</v>
          </cell>
          <cell r="D10">
            <v>5361764.7699999996</v>
          </cell>
          <cell r="E10">
            <v>82151.11</v>
          </cell>
          <cell r="F10">
            <v>2248636.85</v>
          </cell>
        </row>
        <row r="11">
          <cell r="A11" t="str">
            <v>10</v>
          </cell>
          <cell r="B11">
            <v>16465008.59</v>
          </cell>
          <cell r="C11">
            <v>1972413.5</v>
          </cell>
          <cell r="D11">
            <v>4623680.6100000003</v>
          </cell>
          <cell r="E11">
            <v>15554.8</v>
          </cell>
          <cell r="F11">
            <v>7603939.8399999999</v>
          </cell>
        </row>
        <row r="12">
          <cell r="A12" t="str">
            <v>11</v>
          </cell>
          <cell r="B12">
            <v>13971989.51</v>
          </cell>
          <cell r="C12">
            <v>2243347.6</v>
          </cell>
          <cell r="D12">
            <v>5529169.4000000004</v>
          </cell>
          <cell r="E12">
            <v>174376.28</v>
          </cell>
          <cell r="F12">
            <v>5934480.71</v>
          </cell>
        </row>
        <row r="13">
          <cell r="A13" t="str">
            <v>12</v>
          </cell>
          <cell r="B13">
            <v>7722760.4800000004</v>
          </cell>
          <cell r="C13">
            <v>427678.11</v>
          </cell>
          <cell r="D13">
            <v>1915487.97</v>
          </cell>
          <cell r="E13">
            <v>16946.259999999998</v>
          </cell>
          <cell r="F13">
            <v>1719306.95</v>
          </cell>
        </row>
        <row r="14">
          <cell r="A14" t="str">
            <v>13</v>
          </cell>
          <cell r="B14">
            <v>8720599</v>
          </cell>
          <cell r="C14">
            <v>810661.59</v>
          </cell>
          <cell r="D14">
            <v>2585946.9900000002</v>
          </cell>
          <cell r="E14">
            <v>25586.02</v>
          </cell>
          <cell r="F14">
            <v>2890476.43</v>
          </cell>
        </row>
        <row r="15">
          <cell r="A15" t="str">
            <v>14</v>
          </cell>
          <cell r="B15">
            <v>17630968.489999998</v>
          </cell>
          <cell r="C15">
            <v>1787678.44</v>
          </cell>
          <cell r="D15">
            <v>6018000</v>
          </cell>
          <cell r="E15">
            <v>0</v>
          </cell>
          <cell r="F15">
            <v>2415785.16</v>
          </cell>
        </row>
        <row r="16">
          <cell r="A16" t="str">
            <v>15</v>
          </cell>
          <cell r="B16">
            <v>8490147.3200000003</v>
          </cell>
          <cell r="C16">
            <v>315657.98</v>
          </cell>
          <cell r="D16">
            <v>2186223.44</v>
          </cell>
          <cell r="E16">
            <v>4107.49</v>
          </cell>
          <cell r="F16">
            <v>1025960.55</v>
          </cell>
        </row>
        <row r="17">
          <cell r="A17" t="str">
            <v>16</v>
          </cell>
          <cell r="B17">
            <v>12883056.609999999</v>
          </cell>
          <cell r="C17">
            <v>1083064.99</v>
          </cell>
          <cell r="D17">
            <v>4092327.1</v>
          </cell>
          <cell r="E17">
            <v>0</v>
          </cell>
          <cell r="F17">
            <v>1755477.29</v>
          </cell>
        </row>
        <row r="18">
          <cell r="A18" t="str">
            <v>17</v>
          </cell>
          <cell r="B18">
            <v>41336589</v>
          </cell>
          <cell r="C18">
            <v>2877279.53</v>
          </cell>
          <cell r="D18">
            <v>12097878.34</v>
          </cell>
          <cell r="E18">
            <v>105617.38</v>
          </cell>
          <cell r="F18">
            <v>11429318.43</v>
          </cell>
        </row>
        <row r="19">
          <cell r="A19" t="str">
            <v>18</v>
          </cell>
          <cell r="B19">
            <v>6823956.4299999997</v>
          </cell>
          <cell r="C19">
            <v>265853.87</v>
          </cell>
          <cell r="D19">
            <v>1457828.58</v>
          </cell>
          <cell r="E19">
            <v>17305.86</v>
          </cell>
          <cell r="F19">
            <v>1785391.51</v>
          </cell>
        </row>
        <row r="20">
          <cell r="A20" t="str">
            <v>19</v>
          </cell>
          <cell r="B20">
            <v>13532061.9</v>
          </cell>
          <cell r="C20">
            <v>698889.31</v>
          </cell>
          <cell r="D20">
            <v>4349956.26</v>
          </cell>
          <cell r="E20">
            <v>66047.710000000006</v>
          </cell>
          <cell r="F20">
            <v>3025469.1</v>
          </cell>
        </row>
        <row r="21">
          <cell r="A21" t="str">
            <v>20</v>
          </cell>
          <cell r="B21">
            <v>11058265.390000001</v>
          </cell>
          <cell r="C21">
            <v>1613874.33</v>
          </cell>
          <cell r="D21">
            <v>2945500</v>
          </cell>
          <cell r="E21">
            <v>2654.8</v>
          </cell>
          <cell r="F21">
            <v>1457609.9</v>
          </cell>
        </row>
        <row r="22">
          <cell r="A22" t="str">
            <v>21</v>
          </cell>
          <cell r="B22">
            <v>6691942.8799999999</v>
          </cell>
          <cell r="C22">
            <v>1652730.29</v>
          </cell>
          <cell r="D22">
            <v>2247261</v>
          </cell>
          <cell r="E22">
            <v>1601.65</v>
          </cell>
          <cell r="F22">
            <v>962091.01</v>
          </cell>
        </row>
        <row r="23">
          <cell r="A23" t="str">
            <v>22</v>
          </cell>
          <cell r="B23">
            <v>13269696.970000001</v>
          </cell>
          <cell r="C23">
            <v>1011448.33</v>
          </cell>
          <cell r="D23">
            <v>4510187.2300000004</v>
          </cell>
          <cell r="E23">
            <v>0</v>
          </cell>
          <cell r="F23">
            <v>2926780.72</v>
          </cell>
        </row>
        <row r="24">
          <cell r="A24" t="str">
            <v>23</v>
          </cell>
          <cell r="B24">
            <v>14425824</v>
          </cell>
          <cell r="C24">
            <v>3223041.28</v>
          </cell>
          <cell r="D24">
            <v>4249752.66</v>
          </cell>
          <cell r="E24">
            <v>12796.57</v>
          </cell>
          <cell r="F24">
            <v>9212721.9100000001</v>
          </cell>
        </row>
        <row r="25">
          <cell r="A25" t="str">
            <v>24</v>
          </cell>
          <cell r="B25">
            <v>10072738.48</v>
          </cell>
          <cell r="C25">
            <v>542589.26</v>
          </cell>
          <cell r="D25">
            <v>3430908.18</v>
          </cell>
          <cell r="E25">
            <v>126249.64</v>
          </cell>
          <cell r="F25">
            <v>2747988.65</v>
          </cell>
        </row>
        <row r="26">
          <cell r="A26" t="str">
            <v>25</v>
          </cell>
          <cell r="B26">
            <v>5982028</v>
          </cell>
          <cell r="C26">
            <v>533927.07999999996</v>
          </cell>
          <cell r="D26">
            <v>1710036.8</v>
          </cell>
          <cell r="E26">
            <v>12032.35</v>
          </cell>
          <cell r="F26">
            <v>337225.52</v>
          </cell>
        </row>
        <row r="27">
          <cell r="A27" t="str">
            <v>26</v>
          </cell>
          <cell r="B27">
            <v>9620895</v>
          </cell>
          <cell r="C27">
            <v>1644352.4</v>
          </cell>
          <cell r="D27">
            <v>2271635.19</v>
          </cell>
          <cell r="E27">
            <v>29113.41</v>
          </cell>
          <cell r="F27">
            <v>1011328.41</v>
          </cell>
        </row>
        <row r="28">
          <cell r="A28" t="str">
            <v>27</v>
          </cell>
          <cell r="B28">
            <v>12007845.640000001</v>
          </cell>
          <cell r="C28">
            <v>346802.1</v>
          </cell>
          <cell r="D28">
            <v>2921630.87</v>
          </cell>
          <cell r="E28">
            <v>0</v>
          </cell>
          <cell r="F28">
            <v>1691979.53</v>
          </cell>
        </row>
        <row r="29">
          <cell r="A29" t="str">
            <v>28</v>
          </cell>
          <cell r="B29">
            <v>15783915</v>
          </cell>
          <cell r="C29">
            <v>1812982.23</v>
          </cell>
          <cell r="D29">
            <v>2112789.61</v>
          </cell>
          <cell r="E29">
            <v>0</v>
          </cell>
          <cell r="F29">
            <v>3623051.33</v>
          </cell>
        </row>
        <row r="30">
          <cell r="A30" t="str">
            <v>29</v>
          </cell>
          <cell r="B30">
            <v>14761837.609999999</v>
          </cell>
          <cell r="C30">
            <v>2729798.3</v>
          </cell>
          <cell r="D30">
            <v>3666473.76</v>
          </cell>
          <cell r="E30">
            <v>0</v>
          </cell>
          <cell r="F30">
            <v>856281.67</v>
          </cell>
        </row>
      </sheetData>
      <sheetData sheetId="3" refreshError="1"/>
      <sheetData sheetId="4" refreshError="1"/>
      <sheetData sheetId="5" refreshError="1">
        <row r="2">
          <cell r="A2" t="str">
            <v>01</v>
          </cell>
          <cell r="B2">
            <v>4785696.99</v>
          </cell>
          <cell r="C2">
            <v>399416.01</v>
          </cell>
          <cell r="D2">
            <v>404986.2</v>
          </cell>
          <cell r="E2">
            <v>1315580.44</v>
          </cell>
          <cell r="F2">
            <v>1323546.26</v>
          </cell>
          <cell r="G2">
            <v>860743.74</v>
          </cell>
        </row>
        <row r="3">
          <cell r="A3" t="str">
            <v>02</v>
          </cell>
          <cell r="B3">
            <v>4320571.34</v>
          </cell>
          <cell r="C3">
            <v>428179.74</v>
          </cell>
          <cell r="D3">
            <v>342868.92</v>
          </cell>
          <cell r="E3">
            <v>1535438.26</v>
          </cell>
          <cell r="F3">
            <v>1891235.69</v>
          </cell>
          <cell r="G3">
            <v>919348.35</v>
          </cell>
        </row>
        <row r="4">
          <cell r="A4" t="str">
            <v>03</v>
          </cell>
          <cell r="B4">
            <v>9760990.4199999999</v>
          </cell>
          <cell r="C4">
            <v>345109.24</v>
          </cell>
          <cell r="D4">
            <v>761916.31</v>
          </cell>
          <cell r="E4">
            <v>2448246.6</v>
          </cell>
          <cell r="F4">
            <v>2982709.73</v>
          </cell>
          <cell r="G4">
            <v>1622218.64</v>
          </cell>
        </row>
        <row r="5">
          <cell r="A5" t="str">
            <v>04</v>
          </cell>
          <cell r="B5">
            <v>7991307.5800000001</v>
          </cell>
          <cell r="C5">
            <v>365045.36</v>
          </cell>
          <cell r="D5">
            <v>638860.47</v>
          </cell>
          <cell r="E5">
            <v>2023882.29</v>
          </cell>
          <cell r="F5">
            <v>2093815.87</v>
          </cell>
          <cell r="G5">
            <v>1560483.11</v>
          </cell>
        </row>
        <row r="6">
          <cell r="A6" t="str">
            <v>05</v>
          </cell>
          <cell r="B6">
            <v>10047544.109999999</v>
          </cell>
          <cell r="C6">
            <v>635543.32999999996</v>
          </cell>
          <cell r="D6">
            <v>811023.32</v>
          </cell>
          <cell r="E6">
            <v>2014455.7</v>
          </cell>
          <cell r="F6">
            <v>2697762.83</v>
          </cell>
          <cell r="G6">
            <v>1613525.16</v>
          </cell>
        </row>
        <row r="7">
          <cell r="A7" t="str">
            <v>06</v>
          </cell>
          <cell r="B7">
            <v>33070505.850000001</v>
          </cell>
          <cell r="C7">
            <v>603624.52</v>
          </cell>
          <cell r="D7">
            <v>1893124.6</v>
          </cell>
          <cell r="E7">
            <v>7730191.7699999996</v>
          </cell>
          <cell r="F7">
            <v>9564692.2799999993</v>
          </cell>
          <cell r="G7">
            <v>6936423.4100000001</v>
          </cell>
        </row>
        <row r="8">
          <cell r="A8" t="str">
            <v>07</v>
          </cell>
          <cell r="B8">
            <v>12919503.08</v>
          </cell>
          <cell r="C8">
            <v>686697.61</v>
          </cell>
          <cell r="D8">
            <v>1011558.36</v>
          </cell>
          <cell r="E8">
            <v>2217025.02</v>
          </cell>
          <cell r="F8">
            <v>3963993.42</v>
          </cell>
          <cell r="G8">
            <v>2222467.09</v>
          </cell>
        </row>
        <row r="9">
          <cell r="A9" t="str">
            <v>08</v>
          </cell>
          <cell r="B9">
            <v>13346860.439999999</v>
          </cell>
          <cell r="C9">
            <v>337722.82</v>
          </cell>
          <cell r="D9">
            <v>954060.61</v>
          </cell>
          <cell r="E9">
            <v>3473048.82</v>
          </cell>
          <cell r="F9">
            <v>4090500.59</v>
          </cell>
          <cell r="G9">
            <v>2842257.86</v>
          </cell>
        </row>
        <row r="10">
          <cell r="A10" t="str">
            <v>09</v>
          </cell>
          <cell r="B10">
            <v>11897299.939999999</v>
          </cell>
          <cell r="C10">
            <v>399293.97</v>
          </cell>
          <cell r="D10">
            <v>958338.23</v>
          </cell>
          <cell r="E10">
            <v>2830885.67</v>
          </cell>
          <cell r="F10">
            <v>3233254.86</v>
          </cell>
          <cell r="G10">
            <v>2767674.21</v>
          </cell>
        </row>
        <row r="11">
          <cell r="A11" t="str">
            <v>10</v>
          </cell>
          <cell r="B11">
            <v>9789863.8499999996</v>
          </cell>
          <cell r="C11">
            <v>1573971.82</v>
          </cell>
          <cell r="D11">
            <v>595348.37</v>
          </cell>
          <cell r="E11">
            <v>2442298.69</v>
          </cell>
          <cell r="F11">
            <v>4397862.47</v>
          </cell>
          <cell r="G11">
            <v>2304898.7999999998</v>
          </cell>
        </row>
        <row r="12">
          <cell r="A12" t="str">
            <v>11</v>
          </cell>
          <cell r="B12">
            <v>10293750.039999999</v>
          </cell>
          <cell r="C12">
            <v>904322.36</v>
          </cell>
          <cell r="D12">
            <v>906130.26</v>
          </cell>
          <cell r="E12">
            <v>2657114.9</v>
          </cell>
          <cell r="F12">
            <v>3093881.77</v>
          </cell>
          <cell r="G12">
            <v>1820335.86</v>
          </cell>
        </row>
        <row r="13">
          <cell r="A13" t="str">
            <v>12</v>
          </cell>
          <cell r="B13">
            <v>5115078.33</v>
          </cell>
          <cell r="C13">
            <v>309515.02</v>
          </cell>
          <cell r="D13">
            <v>349493.6</v>
          </cell>
          <cell r="E13">
            <v>1156926.23</v>
          </cell>
          <cell r="F13">
            <v>1738073.55</v>
          </cell>
          <cell r="G13">
            <v>986107.98</v>
          </cell>
        </row>
        <row r="14">
          <cell r="A14" t="str">
            <v>13</v>
          </cell>
          <cell r="B14">
            <v>5552489.4400000004</v>
          </cell>
          <cell r="C14">
            <v>585582.69999999995</v>
          </cell>
          <cell r="D14">
            <v>296397.59999999998</v>
          </cell>
          <cell r="E14">
            <v>1233040.3600000001</v>
          </cell>
          <cell r="F14">
            <v>2277508.09</v>
          </cell>
          <cell r="G14">
            <v>1387113.82</v>
          </cell>
        </row>
        <row r="15">
          <cell r="A15" t="str">
            <v>14</v>
          </cell>
          <cell r="B15">
            <v>13594200.77</v>
          </cell>
          <cell r="C15">
            <v>851843.55</v>
          </cell>
          <cell r="D15">
            <v>786101.41</v>
          </cell>
          <cell r="E15">
            <v>2674226.2400000002</v>
          </cell>
          <cell r="F15">
            <v>3239081.98</v>
          </cell>
          <cell r="G15">
            <v>2503514.54</v>
          </cell>
        </row>
        <row r="16">
          <cell r="A16" t="str">
            <v>15</v>
          </cell>
          <cell r="B16">
            <v>5287603.97</v>
          </cell>
          <cell r="C16">
            <v>384423.62</v>
          </cell>
          <cell r="D16">
            <v>419518.57</v>
          </cell>
          <cell r="E16">
            <v>1424303.9</v>
          </cell>
          <cell r="F16">
            <v>1972673.08</v>
          </cell>
          <cell r="G16">
            <v>1191955.1100000001</v>
          </cell>
        </row>
        <row r="17">
          <cell r="A17" t="str">
            <v>16</v>
          </cell>
          <cell r="B17">
            <v>9160459.9800000004</v>
          </cell>
          <cell r="C17">
            <v>521094.19</v>
          </cell>
          <cell r="D17">
            <v>560127.02</v>
          </cell>
          <cell r="E17">
            <v>2082381.62</v>
          </cell>
          <cell r="F17">
            <v>2797518.83</v>
          </cell>
          <cell r="G17">
            <v>1853802.07</v>
          </cell>
        </row>
        <row r="18">
          <cell r="A18" t="str">
            <v>17</v>
          </cell>
          <cell r="B18">
            <v>30032819.300000001</v>
          </cell>
          <cell r="C18">
            <v>604681.59</v>
          </cell>
          <cell r="D18">
            <v>2106720.9300000002</v>
          </cell>
          <cell r="E18">
            <v>7153258.1100000003</v>
          </cell>
          <cell r="F18">
            <v>7111307</v>
          </cell>
          <cell r="G18">
            <v>6531297.79</v>
          </cell>
        </row>
        <row r="19">
          <cell r="A19" t="str">
            <v>18</v>
          </cell>
          <cell r="B19">
            <v>4016969.19</v>
          </cell>
          <cell r="C19">
            <v>191629.58</v>
          </cell>
          <cell r="D19">
            <v>349327.89</v>
          </cell>
          <cell r="E19">
            <v>903660.64</v>
          </cell>
          <cell r="F19">
            <v>1531767.03</v>
          </cell>
          <cell r="G19">
            <v>1305736.54</v>
          </cell>
        </row>
        <row r="20">
          <cell r="A20" t="str">
            <v>19</v>
          </cell>
          <cell r="B20">
            <v>10386343.130000001</v>
          </cell>
          <cell r="C20">
            <v>220870.26</v>
          </cell>
          <cell r="D20">
            <v>600303.88</v>
          </cell>
          <cell r="E20">
            <v>2174543.81</v>
          </cell>
          <cell r="F20">
            <v>2671793.37</v>
          </cell>
          <cell r="G20">
            <v>1894211.42</v>
          </cell>
        </row>
        <row r="21">
          <cell r="A21" t="str">
            <v>20</v>
          </cell>
          <cell r="B21">
            <v>7524535.7199999997</v>
          </cell>
          <cell r="C21">
            <v>647256.72</v>
          </cell>
          <cell r="D21">
            <v>720333.08</v>
          </cell>
          <cell r="E21">
            <v>1901810.21</v>
          </cell>
          <cell r="F21">
            <v>2204564.19</v>
          </cell>
          <cell r="G21">
            <v>1007920.27</v>
          </cell>
        </row>
        <row r="22">
          <cell r="A22" t="str">
            <v>21</v>
          </cell>
          <cell r="B22">
            <v>3979306.47</v>
          </cell>
          <cell r="C22">
            <v>350645.97</v>
          </cell>
          <cell r="D22">
            <v>362667.31</v>
          </cell>
          <cell r="E22">
            <v>1330848.4099999999</v>
          </cell>
          <cell r="F22">
            <v>1900889.1</v>
          </cell>
          <cell r="G22">
            <v>1016448.27</v>
          </cell>
        </row>
        <row r="23">
          <cell r="A23" t="str">
            <v>22</v>
          </cell>
          <cell r="B23">
            <v>8448619.2400000002</v>
          </cell>
          <cell r="C23">
            <v>904740</v>
          </cell>
          <cell r="D23">
            <v>767962.26</v>
          </cell>
          <cell r="E23">
            <v>2277711</v>
          </cell>
          <cell r="F23">
            <v>3329876.09</v>
          </cell>
          <cell r="G23">
            <v>2050975.61</v>
          </cell>
        </row>
        <row r="24">
          <cell r="A24" t="str">
            <v>23</v>
          </cell>
          <cell r="B24">
            <v>9434263.3200000003</v>
          </cell>
          <cell r="C24">
            <v>692963.21</v>
          </cell>
          <cell r="D24">
            <v>819385.34</v>
          </cell>
          <cell r="E24">
            <v>2155417.87</v>
          </cell>
          <cell r="F24">
            <v>3018769.75</v>
          </cell>
          <cell r="G24">
            <v>2567573.7400000002</v>
          </cell>
        </row>
        <row r="25">
          <cell r="A25" t="str">
            <v>24</v>
          </cell>
          <cell r="B25">
            <v>7006091.3399999999</v>
          </cell>
          <cell r="C25">
            <v>455430.02</v>
          </cell>
          <cell r="D25">
            <v>442726.19</v>
          </cell>
          <cell r="E25">
            <v>1712065.48</v>
          </cell>
          <cell r="F25">
            <v>2323121.58</v>
          </cell>
          <cell r="G25">
            <v>1690461.69</v>
          </cell>
        </row>
        <row r="26">
          <cell r="A26" t="str">
            <v>25</v>
          </cell>
          <cell r="B26">
            <v>3707981.51</v>
          </cell>
          <cell r="C26">
            <v>382716.27</v>
          </cell>
          <cell r="D26">
            <v>260338.14</v>
          </cell>
          <cell r="E26">
            <v>1016373.65</v>
          </cell>
          <cell r="F26">
            <v>1489096.09</v>
          </cell>
          <cell r="G26">
            <v>847591.49</v>
          </cell>
        </row>
        <row r="27">
          <cell r="A27" t="str">
            <v>26</v>
          </cell>
          <cell r="B27">
            <v>5427398.1900000004</v>
          </cell>
          <cell r="C27">
            <v>915515.74</v>
          </cell>
          <cell r="D27">
            <v>252053.5</v>
          </cell>
          <cell r="E27">
            <v>1375769.92</v>
          </cell>
          <cell r="F27">
            <v>2632967.4700000002</v>
          </cell>
          <cell r="G27">
            <v>1317938.78</v>
          </cell>
        </row>
        <row r="28">
          <cell r="A28" t="str">
            <v>27</v>
          </cell>
          <cell r="B28">
            <v>7687419.8200000003</v>
          </cell>
          <cell r="C28">
            <v>957137.11</v>
          </cell>
          <cell r="D28">
            <v>194100.89</v>
          </cell>
          <cell r="E28">
            <v>1459713.79</v>
          </cell>
          <cell r="F28">
            <v>2860288.97</v>
          </cell>
          <cell r="G28">
            <v>1770815.93</v>
          </cell>
        </row>
        <row r="29">
          <cell r="A29" t="str">
            <v>28</v>
          </cell>
          <cell r="B29">
            <v>9594410.2400000002</v>
          </cell>
          <cell r="C29">
            <v>1253099.8799999999</v>
          </cell>
          <cell r="D29">
            <v>235905.83</v>
          </cell>
          <cell r="E29">
            <v>1645691.34</v>
          </cell>
          <cell r="F29">
            <v>3301303.88</v>
          </cell>
          <cell r="G29">
            <v>1866293.44</v>
          </cell>
        </row>
        <row r="30">
          <cell r="A30" t="str">
            <v>29</v>
          </cell>
          <cell r="B30">
            <v>10600514.029999999</v>
          </cell>
          <cell r="C30">
            <v>1385460.88</v>
          </cell>
          <cell r="D30">
            <v>415214.36</v>
          </cell>
          <cell r="E30">
            <v>1266746.26</v>
          </cell>
          <cell r="F30">
            <v>3224191.7</v>
          </cell>
          <cell r="G30">
            <v>1536184.14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_FIN"/>
      <sheetName val="Exp by Source of Funds"/>
      <sheetName val="Exp Source of funds data"/>
      <sheetName val="Exp Source of Funds"/>
      <sheetName val="Exp by Program"/>
      <sheetName val="Exp by Prog Data"/>
      <sheetName val="Exp by Prog by Dist"/>
      <sheetName val="Operating Fees"/>
      <sheetName val="Exp by Object"/>
    </sheetNames>
    <sheetDataSet>
      <sheetData sheetId="0" refreshError="1"/>
      <sheetData sheetId="1" refreshError="1"/>
      <sheetData sheetId="2" refreshError="1">
        <row r="2">
          <cell r="A2" t="str">
            <v>01</v>
          </cell>
          <cell r="B2">
            <v>7004177.1299999999</v>
          </cell>
          <cell r="C2">
            <v>334816.8</v>
          </cell>
          <cell r="D2">
            <v>1942769</v>
          </cell>
          <cell r="E2">
            <v>143023.51</v>
          </cell>
          <cell r="F2">
            <v>1223011.1499999999</v>
          </cell>
        </row>
        <row r="3">
          <cell r="A3" t="str">
            <v>02</v>
          </cell>
          <cell r="B3">
            <v>7503383.5199999996</v>
          </cell>
          <cell r="C3">
            <v>182754</v>
          </cell>
          <cell r="D3">
            <v>1917927.33</v>
          </cell>
          <cell r="E3">
            <v>16331.45</v>
          </cell>
          <cell r="F3">
            <v>709488.78</v>
          </cell>
        </row>
        <row r="4">
          <cell r="A4" t="str">
            <v>03</v>
          </cell>
          <cell r="B4">
            <v>12933425</v>
          </cell>
          <cell r="C4">
            <v>523522.77</v>
          </cell>
          <cell r="D4">
            <v>4950553.9400000004</v>
          </cell>
          <cell r="E4">
            <v>37212</v>
          </cell>
          <cell r="F4">
            <v>1808158.23</v>
          </cell>
        </row>
        <row r="5">
          <cell r="A5" t="str">
            <v>04</v>
          </cell>
          <cell r="B5">
            <v>11377667</v>
          </cell>
          <cell r="C5">
            <v>723218.71</v>
          </cell>
          <cell r="D5">
            <v>3295727.68</v>
          </cell>
          <cell r="E5">
            <v>0</v>
          </cell>
          <cell r="F5">
            <v>6659001.7000000002</v>
          </cell>
        </row>
        <row r="6">
          <cell r="A6" t="str">
            <v>05</v>
          </cell>
          <cell r="B6">
            <v>13217159</v>
          </cell>
          <cell r="C6">
            <v>955113.61</v>
          </cell>
          <cell r="D6">
            <v>4596076.4400000004</v>
          </cell>
          <cell r="E6">
            <v>6619.01</v>
          </cell>
          <cell r="F6">
            <v>2629334.21</v>
          </cell>
        </row>
        <row r="7">
          <cell r="A7" t="str">
            <v>06</v>
          </cell>
          <cell r="B7">
            <v>47739471.25</v>
          </cell>
          <cell r="C7">
            <v>6639789.54</v>
          </cell>
          <cell r="D7">
            <v>12059091.18</v>
          </cell>
          <cell r="E7">
            <v>0</v>
          </cell>
          <cell r="F7">
            <v>15944625.619999999</v>
          </cell>
        </row>
        <row r="8">
          <cell r="A8" t="str">
            <v>07</v>
          </cell>
          <cell r="B8">
            <v>17352553.969999999</v>
          </cell>
          <cell r="C8">
            <v>1673080.71</v>
          </cell>
          <cell r="D8">
            <v>5547155.4000000004</v>
          </cell>
          <cell r="E8">
            <v>121535.21</v>
          </cell>
          <cell r="F8">
            <v>5459942.4000000004</v>
          </cell>
        </row>
        <row r="9">
          <cell r="A9" t="str">
            <v>08</v>
          </cell>
          <cell r="B9">
            <v>17993596.640000001</v>
          </cell>
          <cell r="C9">
            <v>8010014.6299999999</v>
          </cell>
          <cell r="D9">
            <v>7047242</v>
          </cell>
          <cell r="E9">
            <v>3612.5</v>
          </cell>
          <cell r="F9">
            <v>5391235.6100000003</v>
          </cell>
        </row>
        <row r="10">
          <cell r="A10" t="str">
            <v>09</v>
          </cell>
          <cell r="B10">
            <v>16642831</v>
          </cell>
          <cell r="C10">
            <v>2461363.4900000002</v>
          </cell>
          <cell r="D10">
            <v>5361764.7699999996</v>
          </cell>
          <cell r="E10">
            <v>82151.11</v>
          </cell>
          <cell r="F10">
            <v>2248636.85</v>
          </cell>
        </row>
        <row r="11">
          <cell r="A11" t="str">
            <v>10</v>
          </cell>
          <cell r="B11">
            <v>16465008.59</v>
          </cell>
          <cell r="C11">
            <v>1972413.5</v>
          </cell>
          <cell r="D11">
            <v>4623680.6100000003</v>
          </cell>
          <cell r="E11">
            <v>15554.8</v>
          </cell>
          <cell r="F11">
            <v>7603939.8399999999</v>
          </cell>
        </row>
        <row r="12">
          <cell r="A12" t="str">
            <v>11</v>
          </cell>
          <cell r="B12">
            <v>13971989.51</v>
          </cell>
          <cell r="C12">
            <v>2243347.6</v>
          </cell>
          <cell r="D12">
            <v>5529169.4000000004</v>
          </cell>
          <cell r="E12">
            <v>174376.28</v>
          </cell>
          <cell r="F12">
            <v>5934480.71</v>
          </cell>
        </row>
        <row r="13">
          <cell r="A13" t="str">
            <v>12</v>
          </cell>
          <cell r="B13">
            <v>7722760.4800000004</v>
          </cell>
          <cell r="C13">
            <v>427678.11</v>
          </cell>
          <cell r="D13">
            <v>1915487.97</v>
          </cell>
          <cell r="E13">
            <v>16946.259999999998</v>
          </cell>
          <cell r="F13">
            <v>1719306.95</v>
          </cell>
        </row>
        <row r="14">
          <cell r="A14" t="str">
            <v>13</v>
          </cell>
          <cell r="B14">
            <v>8720599</v>
          </cell>
          <cell r="C14">
            <v>810661.59</v>
          </cell>
          <cell r="D14">
            <v>2585946.9900000002</v>
          </cell>
          <cell r="E14">
            <v>25586.02</v>
          </cell>
          <cell r="F14">
            <v>2890476.43</v>
          </cell>
        </row>
        <row r="15">
          <cell r="A15" t="str">
            <v>14</v>
          </cell>
          <cell r="B15">
            <v>17630968.489999998</v>
          </cell>
          <cell r="C15">
            <v>1787678.44</v>
          </cell>
          <cell r="D15">
            <v>6018000</v>
          </cell>
          <cell r="E15">
            <v>0</v>
          </cell>
          <cell r="F15">
            <v>2415785.16</v>
          </cell>
        </row>
        <row r="16">
          <cell r="A16" t="str">
            <v>15</v>
          </cell>
          <cell r="B16">
            <v>8490147.3200000003</v>
          </cell>
          <cell r="C16">
            <v>315657.98</v>
          </cell>
          <cell r="D16">
            <v>2186223.44</v>
          </cell>
          <cell r="E16">
            <v>4107.49</v>
          </cell>
          <cell r="F16">
            <v>1025960.55</v>
          </cell>
        </row>
        <row r="17">
          <cell r="A17" t="str">
            <v>16</v>
          </cell>
          <cell r="B17">
            <v>12883056.609999999</v>
          </cell>
          <cell r="C17">
            <v>1083064.99</v>
          </cell>
          <cell r="D17">
            <v>4092327.1</v>
          </cell>
          <cell r="E17">
            <v>0</v>
          </cell>
          <cell r="F17">
            <v>1755477.29</v>
          </cell>
        </row>
        <row r="18">
          <cell r="A18" t="str">
            <v>17</v>
          </cell>
          <cell r="B18">
            <v>41336589</v>
          </cell>
          <cell r="C18">
            <v>2877279.53</v>
          </cell>
          <cell r="D18">
            <v>12097878.34</v>
          </cell>
          <cell r="E18">
            <v>105617.38</v>
          </cell>
          <cell r="F18">
            <v>11429318.43</v>
          </cell>
        </row>
        <row r="19">
          <cell r="A19" t="str">
            <v>18</v>
          </cell>
          <cell r="B19">
            <v>6823956.4299999997</v>
          </cell>
          <cell r="C19">
            <v>265853.87</v>
          </cell>
          <cell r="D19">
            <v>1457828.58</v>
          </cell>
          <cell r="E19">
            <v>17305.86</v>
          </cell>
          <cell r="F19">
            <v>1785391.51</v>
          </cell>
        </row>
        <row r="20">
          <cell r="A20" t="str">
            <v>19</v>
          </cell>
          <cell r="B20">
            <v>13532061.9</v>
          </cell>
          <cell r="C20">
            <v>698889.31</v>
          </cell>
          <cell r="D20">
            <v>4349956.26</v>
          </cell>
          <cell r="E20">
            <v>66047.710000000006</v>
          </cell>
          <cell r="F20">
            <v>3025469.1</v>
          </cell>
        </row>
        <row r="21">
          <cell r="A21" t="str">
            <v>20</v>
          </cell>
          <cell r="B21">
            <v>11058265.390000001</v>
          </cell>
          <cell r="C21">
            <v>1613874.33</v>
          </cell>
          <cell r="D21">
            <v>2945500</v>
          </cell>
          <cell r="E21">
            <v>2654.8</v>
          </cell>
          <cell r="F21">
            <v>1457609.9</v>
          </cell>
        </row>
        <row r="22">
          <cell r="A22" t="str">
            <v>21</v>
          </cell>
          <cell r="B22">
            <v>6691942.8799999999</v>
          </cell>
          <cell r="C22">
            <v>1652730.29</v>
          </cell>
          <cell r="D22">
            <v>2247261</v>
          </cell>
          <cell r="E22">
            <v>1601.65</v>
          </cell>
          <cell r="F22">
            <v>962091.01</v>
          </cell>
        </row>
        <row r="23">
          <cell r="A23" t="str">
            <v>22</v>
          </cell>
          <cell r="B23">
            <v>13269696.970000001</v>
          </cell>
          <cell r="C23">
            <v>1011448.33</v>
          </cell>
          <cell r="D23">
            <v>4510187.2300000004</v>
          </cell>
          <cell r="E23">
            <v>0</v>
          </cell>
          <cell r="F23">
            <v>2926780.72</v>
          </cell>
        </row>
        <row r="24">
          <cell r="A24" t="str">
            <v>23</v>
          </cell>
          <cell r="B24">
            <v>14425824</v>
          </cell>
          <cell r="C24">
            <v>3223041.28</v>
          </cell>
          <cell r="D24">
            <v>4249752.66</v>
          </cell>
          <cell r="E24">
            <v>12796.57</v>
          </cell>
          <cell r="F24">
            <v>9212721.9100000001</v>
          </cell>
        </row>
        <row r="25">
          <cell r="A25" t="str">
            <v>24</v>
          </cell>
          <cell r="B25">
            <v>10072738.48</v>
          </cell>
          <cell r="C25">
            <v>542589.26</v>
          </cell>
          <cell r="D25">
            <v>3430908.18</v>
          </cell>
          <cell r="E25">
            <v>126249.64</v>
          </cell>
          <cell r="F25">
            <v>2747988.65</v>
          </cell>
        </row>
        <row r="26">
          <cell r="A26" t="str">
            <v>25</v>
          </cell>
          <cell r="B26">
            <v>5982028</v>
          </cell>
          <cell r="C26">
            <v>533927.07999999996</v>
          </cell>
          <cell r="D26">
            <v>1710036.8</v>
          </cell>
          <cell r="E26">
            <v>12032.35</v>
          </cell>
          <cell r="F26">
            <v>337225.52</v>
          </cell>
        </row>
        <row r="27">
          <cell r="A27" t="str">
            <v>26</v>
          </cell>
          <cell r="B27">
            <v>9620895</v>
          </cell>
          <cell r="C27">
            <v>1644352.4</v>
          </cell>
          <cell r="D27">
            <v>2271635.19</v>
          </cell>
          <cell r="E27">
            <v>29113.41</v>
          </cell>
          <cell r="F27">
            <v>1011328.41</v>
          </cell>
        </row>
        <row r="28">
          <cell r="A28" t="str">
            <v>27</v>
          </cell>
          <cell r="B28">
            <v>12007845.640000001</v>
          </cell>
          <cell r="C28">
            <v>346802.1</v>
          </cell>
          <cell r="D28">
            <v>2921630.87</v>
          </cell>
          <cell r="E28">
            <v>0</v>
          </cell>
          <cell r="F28">
            <v>1691979.53</v>
          </cell>
        </row>
        <row r="29">
          <cell r="A29" t="str">
            <v>28</v>
          </cell>
          <cell r="B29">
            <v>15783915</v>
          </cell>
          <cell r="C29">
            <v>1812982.23</v>
          </cell>
          <cell r="D29">
            <v>2112789.61</v>
          </cell>
          <cell r="E29">
            <v>0</v>
          </cell>
          <cell r="F29">
            <v>3623051.33</v>
          </cell>
        </row>
        <row r="30">
          <cell r="A30" t="str">
            <v>29</v>
          </cell>
          <cell r="B30">
            <v>14761837.609999999</v>
          </cell>
          <cell r="C30">
            <v>2729798.3</v>
          </cell>
          <cell r="D30">
            <v>3666473.76</v>
          </cell>
          <cell r="E30">
            <v>0</v>
          </cell>
          <cell r="F30">
            <v>856281.67</v>
          </cell>
        </row>
      </sheetData>
      <sheetData sheetId="3" refreshError="1"/>
      <sheetData sheetId="4" refreshError="1"/>
      <sheetData sheetId="5" refreshError="1">
        <row r="2">
          <cell r="A2" t="str">
            <v>01</v>
          </cell>
          <cell r="B2">
            <v>4785696.99</v>
          </cell>
          <cell r="C2">
            <v>399416.01</v>
          </cell>
          <cell r="D2">
            <v>404986.2</v>
          </cell>
          <cell r="E2">
            <v>1315580.44</v>
          </cell>
          <cell r="F2">
            <v>1323546.26</v>
          </cell>
          <cell r="G2">
            <v>860743.74</v>
          </cell>
        </row>
        <row r="3">
          <cell r="A3" t="str">
            <v>02</v>
          </cell>
          <cell r="B3">
            <v>4320571.34</v>
          </cell>
          <cell r="C3">
            <v>428179.74</v>
          </cell>
          <cell r="D3">
            <v>342868.92</v>
          </cell>
          <cell r="E3">
            <v>1535438.26</v>
          </cell>
          <cell r="F3">
            <v>1891235.69</v>
          </cell>
          <cell r="G3">
            <v>919348.35</v>
          </cell>
        </row>
        <row r="4">
          <cell r="A4" t="str">
            <v>03</v>
          </cell>
          <cell r="B4">
            <v>9760990.4199999999</v>
          </cell>
          <cell r="C4">
            <v>345109.24</v>
          </cell>
          <cell r="D4">
            <v>761916.31</v>
          </cell>
          <cell r="E4">
            <v>2448246.6</v>
          </cell>
          <cell r="F4">
            <v>2982709.73</v>
          </cell>
          <cell r="G4">
            <v>1622218.64</v>
          </cell>
        </row>
        <row r="5">
          <cell r="A5" t="str">
            <v>04</v>
          </cell>
          <cell r="B5">
            <v>7991307.5800000001</v>
          </cell>
          <cell r="C5">
            <v>365045.36</v>
          </cell>
          <cell r="D5">
            <v>638860.47</v>
          </cell>
          <cell r="E5">
            <v>2023882.29</v>
          </cell>
          <cell r="F5">
            <v>2093815.87</v>
          </cell>
          <cell r="G5">
            <v>1560483.11</v>
          </cell>
        </row>
        <row r="6">
          <cell r="A6" t="str">
            <v>05</v>
          </cell>
          <cell r="B6">
            <v>10047544.109999999</v>
          </cell>
          <cell r="C6">
            <v>635543.32999999996</v>
          </cell>
          <cell r="D6">
            <v>811023.32</v>
          </cell>
          <cell r="E6">
            <v>2014455.7</v>
          </cell>
          <cell r="F6">
            <v>2697762.83</v>
          </cell>
          <cell r="G6">
            <v>1613525.16</v>
          </cell>
        </row>
        <row r="7">
          <cell r="A7" t="str">
            <v>06</v>
          </cell>
          <cell r="B7">
            <v>33070505.850000001</v>
          </cell>
          <cell r="C7">
            <v>603624.52</v>
          </cell>
          <cell r="D7">
            <v>1893124.6</v>
          </cell>
          <cell r="E7">
            <v>7730191.7699999996</v>
          </cell>
          <cell r="F7">
            <v>9564692.2799999993</v>
          </cell>
          <cell r="G7">
            <v>6936423.4100000001</v>
          </cell>
        </row>
        <row r="8">
          <cell r="A8" t="str">
            <v>07</v>
          </cell>
          <cell r="B8">
            <v>12919503.08</v>
          </cell>
          <cell r="C8">
            <v>686697.61</v>
          </cell>
          <cell r="D8">
            <v>1011558.36</v>
          </cell>
          <cell r="E8">
            <v>2217025.02</v>
          </cell>
          <cell r="F8">
            <v>3963993.42</v>
          </cell>
          <cell r="G8">
            <v>2222467.09</v>
          </cell>
        </row>
        <row r="9">
          <cell r="A9" t="str">
            <v>08</v>
          </cell>
          <cell r="B9">
            <v>13346860.439999999</v>
          </cell>
          <cell r="C9">
            <v>337722.82</v>
          </cell>
          <cell r="D9">
            <v>954060.61</v>
          </cell>
          <cell r="E9">
            <v>3473048.82</v>
          </cell>
          <cell r="F9">
            <v>4090500.59</v>
          </cell>
          <cell r="G9">
            <v>2842257.86</v>
          </cell>
        </row>
        <row r="10">
          <cell r="A10" t="str">
            <v>09</v>
          </cell>
          <cell r="B10">
            <v>11897299.939999999</v>
          </cell>
          <cell r="C10">
            <v>399293.97</v>
          </cell>
          <cell r="D10">
            <v>958338.23</v>
          </cell>
          <cell r="E10">
            <v>2830885.67</v>
          </cell>
          <cell r="F10">
            <v>3233254.86</v>
          </cell>
          <cell r="G10">
            <v>2767674.21</v>
          </cell>
        </row>
        <row r="11">
          <cell r="A11" t="str">
            <v>10</v>
          </cell>
          <cell r="B11">
            <v>9789863.8499999996</v>
          </cell>
          <cell r="C11">
            <v>1573971.82</v>
          </cell>
          <cell r="D11">
            <v>595348.37</v>
          </cell>
          <cell r="E11">
            <v>2442298.69</v>
          </cell>
          <cell r="F11">
            <v>4397862.47</v>
          </cell>
          <cell r="G11">
            <v>2304898.7999999998</v>
          </cell>
        </row>
        <row r="12">
          <cell r="A12" t="str">
            <v>11</v>
          </cell>
          <cell r="B12">
            <v>10293750.039999999</v>
          </cell>
          <cell r="C12">
            <v>904322.36</v>
          </cell>
          <cell r="D12">
            <v>906130.26</v>
          </cell>
          <cell r="E12">
            <v>2657114.9</v>
          </cell>
          <cell r="F12">
            <v>3093881.77</v>
          </cell>
          <cell r="G12">
            <v>1820335.86</v>
          </cell>
        </row>
        <row r="13">
          <cell r="A13" t="str">
            <v>12</v>
          </cell>
          <cell r="B13">
            <v>5115078.33</v>
          </cell>
          <cell r="C13">
            <v>309515.02</v>
          </cell>
          <cell r="D13">
            <v>349493.6</v>
          </cell>
          <cell r="E13">
            <v>1156926.23</v>
          </cell>
          <cell r="F13">
            <v>1738073.55</v>
          </cell>
          <cell r="G13">
            <v>986107.98</v>
          </cell>
        </row>
        <row r="14">
          <cell r="A14" t="str">
            <v>13</v>
          </cell>
          <cell r="B14">
            <v>5552489.4400000004</v>
          </cell>
          <cell r="C14">
            <v>585582.69999999995</v>
          </cell>
          <cell r="D14">
            <v>296397.59999999998</v>
          </cell>
          <cell r="E14">
            <v>1233040.3600000001</v>
          </cell>
          <cell r="F14">
            <v>2277508.09</v>
          </cell>
          <cell r="G14">
            <v>1387113.82</v>
          </cell>
        </row>
        <row r="15">
          <cell r="A15" t="str">
            <v>14</v>
          </cell>
          <cell r="B15">
            <v>13594200.77</v>
          </cell>
          <cell r="C15">
            <v>851843.55</v>
          </cell>
          <cell r="D15">
            <v>786101.41</v>
          </cell>
          <cell r="E15">
            <v>2674226.2400000002</v>
          </cell>
          <cell r="F15">
            <v>3239081.98</v>
          </cell>
          <cell r="G15">
            <v>2503514.54</v>
          </cell>
        </row>
        <row r="16">
          <cell r="A16" t="str">
            <v>15</v>
          </cell>
          <cell r="B16">
            <v>5287603.97</v>
          </cell>
          <cell r="C16">
            <v>384423.62</v>
          </cell>
          <cell r="D16">
            <v>419518.57</v>
          </cell>
          <cell r="E16">
            <v>1424303.9</v>
          </cell>
          <cell r="F16">
            <v>1972673.08</v>
          </cell>
          <cell r="G16">
            <v>1191955.1100000001</v>
          </cell>
        </row>
        <row r="17">
          <cell r="A17" t="str">
            <v>16</v>
          </cell>
          <cell r="B17">
            <v>9160459.9800000004</v>
          </cell>
          <cell r="C17">
            <v>521094.19</v>
          </cell>
          <cell r="D17">
            <v>560127.02</v>
          </cell>
          <cell r="E17">
            <v>2082381.62</v>
          </cell>
          <cell r="F17">
            <v>2797518.83</v>
          </cell>
          <cell r="G17">
            <v>1853802.07</v>
          </cell>
        </row>
        <row r="18">
          <cell r="A18" t="str">
            <v>17</v>
          </cell>
          <cell r="B18">
            <v>30032819.300000001</v>
          </cell>
          <cell r="C18">
            <v>604681.59</v>
          </cell>
          <cell r="D18">
            <v>2106720.9300000002</v>
          </cell>
          <cell r="E18">
            <v>7153258.1100000003</v>
          </cell>
          <cell r="F18">
            <v>7111307</v>
          </cell>
          <cell r="G18">
            <v>6531297.79</v>
          </cell>
        </row>
        <row r="19">
          <cell r="A19" t="str">
            <v>18</v>
          </cell>
          <cell r="B19">
            <v>4016969.19</v>
          </cell>
          <cell r="C19">
            <v>191629.58</v>
          </cell>
          <cell r="D19">
            <v>349327.89</v>
          </cell>
          <cell r="E19">
            <v>903660.64</v>
          </cell>
          <cell r="F19">
            <v>1531767.03</v>
          </cell>
          <cell r="G19">
            <v>1305736.54</v>
          </cell>
        </row>
        <row r="20">
          <cell r="A20" t="str">
            <v>19</v>
          </cell>
          <cell r="B20">
            <v>10386343.130000001</v>
          </cell>
          <cell r="C20">
            <v>220870.26</v>
          </cell>
          <cell r="D20">
            <v>600303.88</v>
          </cell>
          <cell r="E20">
            <v>2174543.81</v>
          </cell>
          <cell r="F20">
            <v>2671793.37</v>
          </cell>
          <cell r="G20">
            <v>1894211.42</v>
          </cell>
        </row>
        <row r="21">
          <cell r="A21" t="str">
            <v>20</v>
          </cell>
          <cell r="B21">
            <v>7524535.7199999997</v>
          </cell>
          <cell r="C21">
            <v>647256.72</v>
          </cell>
          <cell r="D21">
            <v>720333.08</v>
          </cell>
          <cell r="E21">
            <v>1901810.21</v>
          </cell>
          <cell r="F21">
            <v>2204564.19</v>
          </cell>
          <cell r="G21">
            <v>1007920.27</v>
          </cell>
        </row>
        <row r="22">
          <cell r="A22" t="str">
            <v>21</v>
          </cell>
          <cell r="B22">
            <v>3979306.47</v>
          </cell>
          <cell r="C22">
            <v>350645.97</v>
          </cell>
          <cell r="D22">
            <v>362667.31</v>
          </cell>
          <cell r="E22">
            <v>1330848.4099999999</v>
          </cell>
          <cell r="F22">
            <v>1900889.1</v>
          </cell>
          <cell r="G22">
            <v>1016448.27</v>
          </cell>
        </row>
        <row r="23">
          <cell r="A23" t="str">
            <v>22</v>
          </cell>
          <cell r="B23">
            <v>8448619.2400000002</v>
          </cell>
          <cell r="C23">
            <v>904740</v>
          </cell>
          <cell r="D23">
            <v>767962.26</v>
          </cell>
          <cell r="E23">
            <v>2277711</v>
          </cell>
          <cell r="F23">
            <v>3329876.09</v>
          </cell>
          <cell r="G23">
            <v>2050975.61</v>
          </cell>
        </row>
        <row r="24">
          <cell r="A24" t="str">
            <v>23</v>
          </cell>
          <cell r="B24">
            <v>9434263.3200000003</v>
          </cell>
          <cell r="C24">
            <v>692963.21</v>
          </cell>
          <cell r="D24">
            <v>819385.34</v>
          </cell>
          <cell r="E24">
            <v>2155417.87</v>
          </cell>
          <cell r="F24">
            <v>3018769.75</v>
          </cell>
          <cell r="G24">
            <v>2567573.7400000002</v>
          </cell>
        </row>
        <row r="25">
          <cell r="A25" t="str">
            <v>24</v>
          </cell>
          <cell r="B25">
            <v>7006091.3399999999</v>
          </cell>
          <cell r="C25">
            <v>455430.02</v>
          </cell>
          <cell r="D25">
            <v>442726.19</v>
          </cell>
          <cell r="E25">
            <v>1712065.48</v>
          </cell>
          <cell r="F25">
            <v>2323121.58</v>
          </cell>
          <cell r="G25">
            <v>1690461.69</v>
          </cell>
        </row>
        <row r="26">
          <cell r="A26" t="str">
            <v>25</v>
          </cell>
          <cell r="B26">
            <v>3707981.51</v>
          </cell>
          <cell r="C26">
            <v>382716.27</v>
          </cell>
          <cell r="D26">
            <v>260338.14</v>
          </cell>
          <cell r="E26">
            <v>1016373.65</v>
          </cell>
          <cell r="F26">
            <v>1489096.09</v>
          </cell>
          <cell r="G26">
            <v>847591.49</v>
          </cell>
        </row>
        <row r="27">
          <cell r="A27" t="str">
            <v>26</v>
          </cell>
          <cell r="B27">
            <v>5427398.1900000004</v>
          </cell>
          <cell r="C27">
            <v>915515.74</v>
          </cell>
          <cell r="D27">
            <v>252053.5</v>
          </cell>
          <cell r="E27">
            <v>1375769.92</v>
          </cell>
          <cell r="F27">
            <v>2632967.4700000002</v>
          </cell>
          <cell r="G27">
            <v>1317938.78</v>
          </cell>
        </row>
        <row r="28">
          <cell r="A28" t="str">
            <v>27</v>
          </cell>
          <cell r="B28">
            <v>7687419.8200000003</v>
          </cell>
          <cell r="C28">
            <v>957137.11</v>
          </cell>
          <cell r="D28">
            <v>194100.89</v>
          </cell>
          <cell r="E28">
            <v>1459713.79</v>
          </cell>
          <cell r="F28">
            <v>2860288.97</v>
          </cell>
          <cell r="G28">
            <v>1770815.93</v>
          </cell>
        </row>
        <row r="29">
          <cell r="A29" t="str">
            <v>28</v>
          </cell>
          <cell r="B29">
            <v>9594410.2400000002</v>
          </cell>
          <cell r="C29">
            <v>1253099.8799999999</v>
          </cell>
          <cell r="D29">
            <v>235905.83</v>
          </cell>
          <cell r="E29">
            <v>1645691.34</v>
          </cell>
          <cell r="F29">
            <v>3301303.88</v>
          </cell>
          <cell r="G29">
            <v>1866293.44</v>
          </cell>
        </row>
        <row r="30">
          <cell r="A30" t="str">
            <v>29</v>
          </cell>
          <cell r="B30">
            <v>10600514.029999999</v>
          </cell>
          <cell r="C30">
            <v>1385460.88</v>
          </cell>
          <cell r="D30">
            <v>415214.36</v>
          </cell>
          <cell r="E30">
            <v>1266746.26</v>
          </cell>
          <cell r="F30">
            <v>3224191.7</v>
          </cell>
          <cell r="G30">
            <v>1536184.14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INDEX-pg 78"/>
      <sheetName val="Exp by Source of Funds-pg 79"/>
      <sheetName val="Exp Source of Funds-pg 80"/>
      <sheetName val="Exp by Program-pg 81"/>
      <sheetName val="Exp by Prog by Dist-pg 82-83"/>
      <sheetName val="Exp by Object-pg 85"/>
      <sheetName val="Sheet3"/>
    </sheetNames>
    <sheetDataSet>
      <sheetData sheetId="0"/>
      <sheetData sheetId="1">
        <row r="1">
          <cell r="A1" t="str">
            <v>Have not updated this page</v>
          </cell>
          <cell r="B1">
            <v>0.91967509025270744</v>
          </cell>
          <cell r="C1">
            <v>0.93</v>
          </cell>
          <cell r="D1">
            <v>0.94499999999999995</v>
          </cell>
          <cell r="E1">
            <v>0.97</v>
          </cell>
          <cell r="F1">
            <v>0.98799999999999999</v>
          </cell>
          <cell r="G1">
            <v>1</v>
          </cell>
          <cell r="H1" t="str">
            <v>Change from FY01</v>
          </cell>
          <cell r="J1" t="str">
            <v>Change from FY98</v>
          </cell>
        </row>
        <row r="3">
          <cell r="A3" t="str">
            <v>This note is for my info only:</v>
          </cell>
          <cell r="C3" t="str">
            <v>001 Funds include Worker Retraining (758) for 97-98 &amp; 98-99 (just add the Current $)</v>
          </cell>
        </row>
        <row r="4">
          <cell r="A4" t="str">
            <v>Type of Funds</v>
          </cell>
          <cell r="B4" t="str">
            <v>1996-97</v>
          </cell>
          <cell r="C4" t="str">
            <v>1997-98</v>
          </cell>
          <cell r="D4" t="str">
            <v>1998-99</v>
          </cell>
          <cell r="E4" t="str">
            <v>1999-00</v>
          </cell>
          <cell r="F4" t="str">
            <v>2000-01</v>
          </cell>
          <cell r="G4" t="str">
            <v>2001-02</v>
          </cell>
        </row>
        <row r="5">
          <cell r="A5" t="str">
            <v>State General (001)</v>
          </cell>
          <cell r="I5" t="str">
            <v>Chng from 97-98 to 01-02</v>
          </cell>
        </row>
        <row r="6">
          <cell r="A6" t="str">
            <v xml:space="preserve">  Current $</v>
          </cell>
          <cell r="B6">
            <v>356796464.42000002</v>
          </cell>
          <cell r="C6">
            <v>401734847</v>
          </cell>
          <cell r="D6">
            <v>414036866</v>
          </cell>
          <cell r="E6">
            <v>448010866</v>
          </cell>
          <cell r="F6">
            <v>479850439</v>
          </cell>
          <cell r="G6">
            <v>505015330</v>
          </cell>
        </row>
        <row r="7">
          <cell r="A7" t="str">
            <v xml:space="preserve">  Constant $</v>
          </cell>
          <cell r="B7">
            <v>387959256.70005894</v>
          </cell>
          <cell r="C7">
            <v>431972953.76344085</v>
          </cell>
          <cell r="D7">
            <v>438134249.73544973</v>
          </cell>
          <cell r="E7">
            <v>461866872.16494846</v>
          </cell>
          <cell r="F7">
            <v>485678581.98380566</v>
          </cell>
          <cell r="G7">
            <v>505015330</v>
          </cell>
          <cell r="H7">
            <v>3.9813878423897851E-2</v>
          </cell>
          <cell r="I7">
            <v>0.16254754365126517</v>
          </cell>
          <cell r="J7">
            <v>0.16909016085428111</v>
          </cell>
        </row>
        <row r="8">
          <cell r="A8" t="str">
            <v xml:space="preserve">  % Total</v>
          </cell>
          <cell r="B8">
            <v>0.57034551520609811</v>
          </cell>
          <cell r="C8">
            <v>0.61111172102048616</v>
          </cell>
          <cell r="D8">
            <v>0.59885114418403584</v>
          </cell>
          <cell r="E8">
            <v>0.59137604414222589</v>
          </cell>
          <cell r="F8">
            <v>0.59023581382004264</v>
          </cell>
          <cell r="G8">
            <v>0.58487351933542542</v>
          </cell>
        </row>
        <row r="9">
          <cell r="A9" t="str">
            <v>Operating Fees (149)</v>
          </cell>
        </row>
        <row r="10">
          <cell r="A10" t="str">
            <v>Current $</v>
          </cell>
          <cell r="B10">
            <v>110465545.84999999</v>
          </cell>
          <cell r="C10">
            <v>118934198</v>
          </cell>
          <cell r="D10">
            <v>121640982</v>
          </cell>
          <cell r="E10">
            <v>133953155</v>
          </cell>
          <cell r="F10">
            <v>134944916</v>
          </cell>
          <cell r="G10">
            <v>145847594</v>
          </cell>
        </row>
        <row r="11">
          <cell r="A11" t="str">
            <v xml:space="preserve">  Constant $</v>
          </cell>
          <cell r="B11">
            <v>120113665.16368991</v>
          </cell>
          <cell r="C11">
            <v>127886234.40860215</v>
          </cell>
          <cell r="D11">
            <v>128720615.87301588</v>
          </cell>
          <cell r="E11">
            <v>138096036.08247423</v>
          </cell>
          <cell r="F11">
            <v>136583923.07692307</v>
          </cell>
          <cell r="G11">
            <v>145847594</v>
          </cell>
          <cell r="H11">
            <v>6.7824021410336083E-2</v>
          </cell>
          <cell r="J11">
            <v>0.14044795105945895</v>
          </cell>
        </row>
        <row r="12">
          <cell r="A12" t="str">
            <v xml:space="preserve">  % Total</v>
          </cell>
          <cell r="B12">
            <v>0.17658114623629512</v>
          </cell>
          <cell r="C12">
            <v>0.18092053246247583</v>
          </cell>
          <cell r="D12">
            <v>0.17593805584058717</v>
          </cell>
          <cell r="E12">
            <v>0.1768186731976952</v>
          </cell>
          <cell r="F12">
            <v>0.16598780753879291</v>
          </cell>
          <cell r="G12">
            <v>0.16891050730951926</v>
          </cell>
        </row>
        <row r="13">
          <cell r="A13" t="str">
            <v>Total State</v>
          </cell>
        </row>
        <row r="14">
          <cell r="A14" t="str">
            <v>Current $</v>
          </cell>
          <cell r="B14">
            <v>31443706.98</v>
          </cell>
          <cell r="C14">
            <v>520669045</v>
          </cell>
          <cell r="D14">
            <v>535677848</v>
          </cell>
          <cell r="E14">
            <v>581964021</v>
          </cell>
          <cell r="F14">
            <v>614795355</v>
          </cell>
          <cell r="G14">
            <v>650862924</v>
          </cell>
        </row>
        <row r="15">
          <cell r="A15" t="str">
            <v xml:space="preserve">  Constant $</v>
          </cell>
          <cell r="B15">
            <v>34190017.010637887</v>
          </cell>
          <cell r="C15">
            <v>559859188.17204297</v>
          </cell>
          <cell r="D15">
            <v>566854865.60846567</v>
          </cell>
          <cell r="E15">
            <v>599962908.2474227</v>
          </cell>
          <cell r="F15">
            <v>622262505.06072879</v>
          </cell>
          <cell r="G15">
            <v>650862924</v>
          </cell>
          <cell r="H15">
            <v>4.5961983418043154E-2</v>
          </cell>
          <cell r="J15">
            <v>0.16254754365126517</v>
          </cell>
        </row>
        <row r="16">
          <cell r="A16" t="str">
            <v xml:space="preserve">  % Total</v>
          </cell>
          <cell r="B16">
            <v>5.0263326702663411E-2</v>
          </cell>
          <cell r="C16">
            <v>0.79203225348296202</v>
          </cell>
          <cell r="D16">
            <v>0.77478920002462304</v>
          </cell>
          <cell r="E16">
            <v>0.76819471733992106</v>
          </cell>
          <cell r="F16">
            <v>0.75622362135883558</v>
          </cell>
          <cell r="G16">
            <v>0.7537840266449447</v>
          </cell>
        </row>
        <row r="18">
          <cell r="A18" t="str">
            <v>Dedicated Local (148)</v>
          </cell>
        </row>
        <row r="19">
          <cell r="A19" t="str">
            <v>Current $</v>
          </cell>
          <cell r="B19">
            <v>498705717.25</v>
          </cell>
          <cell r="C19">
            <v>43061325</v>
          </cell>
          <cell r="D19">
            <v>49097745</v>
          </cell>
          <cell r="E19">
            <v>61430018</v>
          </cell>
          <cell r="F19">
            <v>71913282</v>
          </cell>
          <cell r="G19">
            <v>72042929</v>
          </cell>
        </row>
        <row r="20">
          <cell r="A20" t="str">
            <v xml:space="preserve">  Constant $</v>
          </cell>
          <cell r="B20">
            <v>542262938.87438679</v>
          </cell>
          <cell r="C20">
            <v>46302500</v>
          </cell>
          <cell r="D20">
            <v>51955285.714285716</v>
          </cell>
          <cell r="E20">
            <v>63329915.463917531</v>
          </cell>
          <cell r="F20">
            <v>72786722.672064781</v>
          </cell>
          <cell r="G20">
            <v>72042929</v>
          </cell>
          <cell r="H20">
            <v>-1.0218809760344463E-2</v>
          </cell>
          <cell r="I20">
            <v>0.44619514358503676</v>
          </cell>
          <cell r="J20">
            <v>0.55591877328437989</v>
          </cell>
        </row>
        <row r="21">
          <cell r="A21" t="str">
            <v xml:space="preserve">  % Total</v>
          </cell>
          <cell r="B21">
            <v>0.79718998814505659</v>
          </cell>
          <cell r="C21">
            <v>6.5504102087943814E-2</v>
          </cell>
          <cell r="D21">
            <v>7.1013581602431569E-2</v>
          </cell>
          <cell r="E21">
            <v>8.1087856999490115E-2</v>
          </cell>
          <cell r="F21">
            <v>8.8456300288474302E-2</v>
          </cell>
          <cell r="G21">
            <v>8.3435093796978763E-2</v>
          </cell>
          <cell r="I21">
            <v>0.24621597335505535</v>
          </cell>
        </row>
        <row r="23">
          <cell r="A23" t="str">
            <v>Grants &amp; Contracts (145)</v>
          </cell>
        </row>
        <row r="24">
          <cell r="A24" t="str">
            <v>Current $</v>
          </cell>
          <cell r="B24">
            <v>40016155.109999999</v>
          </cell>
          <cell r="C24">
            <v>93653269</v>
          </cell>
          <cell r="D24">
            <v>106609687</v>
          </cell>
          <cell r="E24">
            <v>114179539.5</v>
          </cell>
          <cell r="F24">
            <v>126272256</v>
          </cell>
          <cell r="G24">
            <v>140554901</v>
          </cell>
        </row>
        <row r="25">
          <cell r="A25" t="str">
            <v xml:space="preserve">  Constant $</v>
          </cell>
          <cell r="B25">
            <v>43511187.30312071</v>
          </cell>
          <cell r="C25">
            <v>100702439.78494623</v>
          </cell>
          <cell r="D25">
            <v>112814483.5978836</v>
          </cell>
          <cell r="E25">
            <v>117710865.46391752</v>
          </cell>
          <cell r="F25">
            <v>127805927.12550607</v>
          </cell>
          <cell r="G25">
            <v>140554901</v>
          </cell>
          <cell r="H25">
            <v>9.9752602725336592E-2</v>
          </cell>
          <cell r="J25">
            <v>0.39574474362448581</v>
          </cell>
        </row>
        <row r="26">
          <cell r="A26" t="str">
            <v xml:space="preserve">  % Total</v>
          </cell>
          <cell r="B26">
            <v>6.3966538008947693E-2</v>
          </cell>
          <cell r="C26">
            <v>0.14246364442909418</v>
          </cell>
          <cell r="D26">
            <v>0.15419721837294539</v>
          </cell>
          <cell r="E26">
            <v>0.15071742566058882</v>
          </cell>
          <cell r="F26">
            <v>0.15532007835269013</v>
          </cell>
          <cell r="G26">
            <v>0.1627808795580766</v>
          </cell>
        </row>
        <row r="27">
          <cell r="A27" t="str">
            <v>TOTAL</v>
          </cell>
        </row>
        <row r="28">
          <cell r="A28" t="str">
            <v>Current $</v>
          </cell>
          <cell r="B28">
            <v>86857631.480000004</v>
          </cell>
          <cell r="C28">
            <v>657383639</v>
          </cell>
          <cell r="D28">
            <v>691385280</v>
          </cell>
          <cell r="E28">
            <v>757573578.5</v>
          </cell>
          <cell r="F28">
            <v>812980893</v>
          </cell>
          <cell r="G28">
            <v>863460754</v>
          </cell>
        </row>
        <row r="29">
          <cell r="A29" t="str">
            <v xml:space="preserve">  % Change</v>
          </cell>
          <cell r="C29">
            <v>5.0999999999999997E-2</v>
          </cell>
          <cell r="D29">
            <v>5.1722676049137266E-2</v>
          </cell>
          <cell r="E29">
            <v>9.5732871981306866E-2</v>
          </cell>
          <cell r="F29">
            <v>7.3137865512293607E-2</v>
          </cell>
          <cell r="G29">
            <v>6.2092309222327564E-2</v>
          </cell>
        </row>
        <row r="30">
          <cell r="A30" t="str">
            <v>CONSTANT $</v>
          </cell>
          <cell r="B30">
            <v>94443823.042041242</v>
          </cell>
          <cell r="C30">
            <v>706864127.95698917</v>
          </cell>
          <cell r="D30">
            <v>731624634.92063498</v>
          </cell>
          <cell r="E30">
            <v>781003689.17525768</v>
          </cell>
          <cell r="F30">
            <v>822855154.85829961</v>
          </cell>
          <cell r="G30">
            <v>863460754</v>
          </cell>
          <cell r="H30">
            <v>4.9347201511659611E-2</v>
          </cell>
          <cell r="J30">
            <v>0.22153709581445802</v>
          </cell>
        </row>
        <row r="31">
          <cell r="A31" t="str">
            <v xml:space="preserve">  % Change</v>
          </cell>
          <cell r="B31">
            <v>0.13884347384599569</v>
          </cell>
          <cell r="C31">
            <v>4.2000000000000003E-2</v>
          </cell>
          <cell r="D31">
            <v>3.5028665318198787E-2</v>
          </cell>
          <cell r="E31">
            <v>6.7492334043644159E-2</v>
          </cell>
          <cell r="F31">
            <v>5.3586770796482677E-2</v>
          </cell>
          <cell r="G31">
            <v>4.9347201511659611E-2</v>
          </cell>
        </row>
        <row r="33">
          <cell r="A33" t="str">
            <v>Note:  Keep one extra year on this spreadsheet for formula purposes, but delete the column after copying to word.</v>
          </cell>
          <cell r="B33">
            <v>625579503.84000003</v>
          </cell>
        </row>
        <row r="34">
          <cell r="B34" t="e">
            <v>#DIV/0!</v>
          </cell>
        </row>
        <row r="35">
          <cell r="B35">
            <v>680217949.2195487</v>
          </cell>
        </row>
        <row r="36">
          <cell r="B36" t="e">
            <v>#DIV/0!</v>
          </cell>
        </row>
        <row r="37">
          <cell r="A37" t="str">
            <v>columnCHART 1</v>
          </cell>
          <cell r="I37" t="str">
            <v>piechart 2</v>
          </cell>
        </row>
        <row r="38">
          <cell r="C38" t="str">
            <v>Constant</v>
          </cell>
          <cell r="D38" t="str">
            <v>Current</v>
          </cell>
          <cell r="I38" t="str">
            <v>State (excluding Operating Fees)</v>
          </cell>
          <cell r="J38">
            <v>0.58587351933542542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 by Source of Funds"/>
      <sheetName val="Exp Source of Funds"/>
      <sheetName val="Exp by Program"/>
      <sheetName val="Exp by Prog by Dist"/>
      <sheetName val="Operating Fees"/>
      <sheetName val="Exp by Object"/>
      <sheetName val="Fed &amp;Spec St"/>
      <sheetName val="Perkins "/>
      <sheetName val="Perk-Tech Prep"/>
      <sheetName val="Adult Ed Allocations"/>
      <sheetName val="Final Allocation Carla"/>
      <sheetName val="Workfirst 2 years"/>
      <sheetName val="WorkFirst by College"/>
      <sheetName val="Biennial Calculations"/>
      <sheetName val="D-INDEX "/>
      <sheetName val="D-AYRSOURC"/>
      <sheetName val="D-AYRPROG"/>
      <sheetName val="D-AYROBJECT"/>
      <sheetName val="WkfstGrntAwards"/>
      <sheetName val="By Obje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Worker Retraining"/>
      <sheetName val="Apprenticeship"/>
      <sheetName val="Excess"/>
      <sheetName val="Basic Skills"/>
      <sheetName val="Total Contract"/>
      <sheetName val="Int'l Contract"/>
      <sheetName val="RS Contract"/>
      <sheetName val="DOC Contract"/>
      <sheetName val="Other Contract"/>
      <sheetName val="Self-Support"/>
      <sheetName val="2-yr analysis"/>
      <sheetName val="Allocation"/>
      <sheetName val="Summer analysis"/>
      <sheetName val="SumEnroll"/>
      <sheetName val="FalEnroll"/>
      <sheetName val="WinEnroll"/>
      <sheetName val="SprEnro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A5" t="str">
            <v>28</v>
          </cell>
        </row>
      </sheetData>
      <sheetData sheetId="13"/>
      <sheetData sheetId="14">
        <row r="2">
          <cell r="A2" t="str">
            <v>DISTRICT</v>
          </cell>
        </row>
      </sheetData>
      <sheetData sheetId="15">
        <row r="2">
          <cell r="A2" t="str">
            <v>DISTRICT</v>
          </cell>
        </row>
      </sheetData>
      <sheetData sheetId="16">
        <row r="2">
          <cell r="A2" t="str">
            <v>DISTRICT</v>
          </cell>
        </row>
      </sheetData>
      <sheetData sheetId="17">
        <row r="2">
          <cell r="A2" t="str">
            <v>DISTRICT</v>
          </cell>
          <cell r="N2" t="str">
            <v>DISTRICT</v>
          </cell>
          <cell r="O2" t="str">
            <v>SumOfTotal_FTES</v>
          </cell>
          <cell r="P2" t="str">
            <v>SumOfWR_FTES</v>
          </cell>
          <cell r="Q2" t="str">
            <v>SumOfApprent_FTES</v>
          </cell>
          <cell r="R2" t="str">
            <v>SumOfTotal_Excess_FTES</v>
          </cell>
          <cell r="S2" t="str">
            <v>SumOfBasicSkills_FTES</v>
          </cell>
          <cell r="T2" t="str">
            <v>SumOfTotal_Contract_FTES</v>
          </cell>
          <cell r="U2" t="str">
            <v>SumOfRS_FTES</v>
          </cell>
          <cell r="V2" t="str">
            <v>SumOfIntl_FTES</v>
          </cell>
          <cell r="W2" t="str">
            <v>SumOfDOC_FTES</v>
          </cell>
          <cell r="X2" t="str">
            <v>SumOfAllOtherContrac_FTES</v>
          </cell>
          <cell r="Y2" t="str">
            <v>SumOfTotal_SelfSupport_FTES</v>
          </cell>
        </row>
        <row r="3">
          <cell r="N3" t="str">
            <v>01</v>
          </cell>
          <cell r="O3">
            <v>1513.7149999999999</v>
          </cell>
          <cell r="P3">
            <v>197.00666666666712</v>
          </cell>
          <cell r="Q3">
            <v>0</v>
          </cell>
          <cell r="R3">
            <v>0</v>
          </cell>
          <cell r="S3">
            <v>0.95333333333333325</v>
          </cell>
          <cell r="T3">
            <v>892.23500000000001</v>
          </cell>
          <cell r="U3">
            <v>255.57333333333565</v>
          </cell>
          <cell r="V3">
            <v>0</v>
          </cell>
          <cell r="W3">
            <v>340.29333333333125</v>
          </cell>
          <cell r="X3">
            <v>296.368333333333</v>
          </cell>
          <cell r="Y3">
            <v>10.065</v>
          </cell>
        </row>
        <row r="4">
          <cell r="N4" t="str">
            <v>02</v>
          </cell>
          <cell r="O4">
            <v>1543.2560000000001</v>
          </cell>
          <cell r="P4">
            <v>219.98000000000067</v>
          </cell>
          <cell r="Q4">
            <v>7.4</v>
          </cell>
          <cell r="R4">
            <v>100.06</v>
          </cell>
          <cell r="S4">
            <v>1.9</v>
          </cell>
          <cell r="T4">
            <v>474.56599999999997</v>
          </cell>
          <cell r="U4">
            <v>108.01333333333307</v>
          </cell>
          <cell r="V4">
            <v>4.2666666666666684</v>
          </cell>
          <cell r="W4">
            <v>333.979999999999</v>
          </cell>
          <cell r="X4">
            <v>28.30600000000133</v>
          </cell>
          <cell r="Y4">
            <v>5.12</v>
          </cell>
        </row>
        <row r="5">
          <cell r="N5" t="str">
            <v>03</v>
          </cell>
          <cell r="O5">
            <v>3854.5909999999999</v>
          </cell>
          <cell r="P5">
            <v>236.02666666666786</v>
          </cell>
          <cell r="Q5">
            <v>289.99999999999619</v>
          </cell>
          <cell r="R5">
            <v>0</v>
          </cell>
          <cell r="S5">
            <v>0</v>
          </cell>
          <cell r="T5">
            <v>509.71800000000002</v>
          </cell>
          <cell r="U5">
            <v>455.573333333324</v>
          </cell>
          <cell r="V5">
            <v>3.8666666666666685</v>
          </cell>
          <cell r="W5">
            <v>0</v>
          </cell>
          <cell r="X5">
            <v>50.278000000009328</v>
          </cell>
          <cell r="Y5">
            <v>18.527000000000001</v>
          </cell>
        </row>
        <row r="6">
          <cell r="N6" t="str">
            <v>04</v>
          </cell>
          <cell r="O6">
            <v>3207.3809999999999</v>
          </cell>
          <cell r="P6">
            <v>325.53333333333052</v>
          </cell>
          <cell r="Q6">
            <v>13.93333333333333</v>
          </cell>
          <cell r="R6">
            <v>0</v>
          </cell>
          <cell r="S6">
            <v>1.2666666666666666</v>
          </cell>
          <cell r="T6">
            <v>694.90499999999997</v>
          </cell>
          <cell r="U6">
            <v>410.28666666665998</v>
          </cell>
          <cell r="V6">
            <v>107.23333333333302</v>
          </cell>
          <cell r="W6">
            <v>0</v>
          </cell>
          <cell r="X6">
            <v>177.38500000000701</v>
          </cell>
          <cell r="Y6">
            <v>29.835000000000001</v>
          </cell>
        </row>
        <row r="7">
          <cell r="N7" t="str">
            <v>05</v>
          </cell>
          <cell r="O7">
            <v>3710.3</v>
          </cell>
          <cell r="P7">
            <v>268.98666666666759</v>
          </cell>
          <cell r="Q7">
            <v>116.46666666666654</v>
          </cell>
          <cell r="R7">
            <v>0</v>
          </cell>
          <cell r="S7">
            <v>0.51333333333333342</v>
          </cell>
          <cell r="T7">
            <v>930.47900000000004</v>
          </cell>
          <cell r="U7">
            <v>338.11999999999756</v>
          </cell>
          <cell r="V7">
            <v>0</v>
          </cell>
          <cell r="W7">
            <v>0</v>
          </cell>
          <cell r="X7">
            <v>592.35900000000197</v>
          </cell>
          <cell r="Y7">
            <v>523.03499999999997</v>
          </cell>
        </row>
        <row r="8">
          <cell r="N8" t="str">
            <v>06</v>
          </cell>
          <cell r="O8">
            <v>12286.81</v>
          </cell>
          <cell r="P8">
            <v>902.7533333333331</v>
          </cell>
          <cell r="Q8">
            <v>467.86666666666753</v>
          </cell>
          <cell r="R8">
            <v>520.53999999998916</v>
          </cell>
          <cell r="S8">
            <v>2.42</v>
          </cell>
          <cell r="T8">
            <v>2119.6109999999999</v>
          </cell>
          <cell r="U8">
            <v>707.64</v>
          </cell>
          <cell r="V8">
            <v>697.11333333333107</v>
          </cell>
          <cell r="W8">
            <v>0</v>
          </cell>
          <cell r="X8">
            <v>714.85766666666996</v>
          </cell>
          <cell r="Y8">
            <v>230.92599999999999</v>
          </cell>
        </row>
        <row r="9">
          <cell r="N9" t="str">
            <v>07</v>
          </cell>
          <cell r="O9">
            <v>4454.3879999999999</v>
          </cell>
          <cell r="P9">
            <v>281.45333333333326</v>
          </cell>
          <cell r="Q9">
            <v>0</v>
          </cell>
          <cell r="R9">
            <v>323.25999999999829</v>
          </cell>
          <cell r="S9">
            <v>0.42666666666666675</v>
          </cell>
          <cell r="T9">
            <v>624.93799999999999</v>
          </cell>
          <cell r="U9">
            <v>170.53333333333381</v>
          </cell>
          <cell r="V9">
            <v>348.7399999999983</v>
          </cell>
          <cell r="W9">
            <v>0</v>
          </cell>
          <cell r="X9">
            <v>105.664666666668</v>
          </cell>
          <cell r="Y9">
            <v>58.68</v>
          </cell>
        </row>
        <row r="10">
          <cell r="N10" t="str">
            <v>08</v>
          </cell>
          <cell r="O10">
            <v>7018.5649999999996</v>
          </cell>
          <cell r="P10">
            <v>351.13999999999726</v>
          </cell>
          <cell r="Q10">
            <v>0</v>
          </cell>
          <cell r="R10">
            <v>1697.0799999999219</v>
          </cell>
          <cell r="S10">
            <v>0</v>
          </cell>
          <cell r="T10">
            <v>1559.836</v>
          </cell>
          <cell r="U10">
            <v>600.02666666666391</v>
          </cell>
          <cell r="V10">
            <v>320.93333333333237</v>
          </cell>
          <cell r="W10">
            <v>0</v>
          </cell>
          <cell r="X10">
            <v>638.87600000000396</v>
          </cell>
          <cell r="Y10">
            <v>771.57799999999997</v>
          </cell>
        </row>
        <row r="11">
          <cell r="N11" t="str">
            <v>09</v>
          </cell>
          <cell r="O11">
            <v>4995.3209999999999</v>
          </cell>
          <cell r="P11">
            <v>402.26666666666017</v>
          </cell>
          <cell r="Q11">
            <v>19.059999999999999</v>
          </cell>
          <cell r="R11">
            <v>85.000000000000071</v>
          </cell>
          <cell r="S11">
            <v>52.08</v>
          </cell>
          <cell r="T11">
            <v>764.69799999999998</v>
          </cell>
          <cell r="U11">
            <v>572.6133333333288</v>
          </cell>
          <cell r="V11">
            <v>192.0866666666673</v>
          </cell>
          <cell r="W11">
            <v>0</v>
          </cell>
          <cell r="X11">
            <v>-1.9999999960000001E-3</v>
          </cell>
          <cell r="Y11">
            <v>66.731999999999999</v>
          </cell>
        </row>
        <row r="12">
          <cell r="N12" t="str">
            <v>10</v>
          </cell>
          <cell r="O12">
            <v>4584.5810000000001</v>
          </cell>
          <cell r="P12">
            <v>478.41999999999069</v>
          </cell>
          <cell r="Q12">
            <v>0</v>
          </cell>
          <cell r="R12">
            <v>525.65333333332319</v>
          </cell>
          <cell r="S12">
            <v>0.7</v>
          </cell>
          <cell r="T12">
            <v>1192.3920000000001</v>
          </cell>
          <cell r="U12">
            <v>763.25333333335061</v>
          </cell>
          <cell r="V12">
            <v>277.7333333333342</v>
          </cell>
          <cell r="W12">
            <v>0</v>
          </cell>
          <cell r="X12">
            <v>151.40533333331501</v>
          </cell>
          <cell r="Y12">
            <v>98.614000000000004</v>
          </cell>
        </row>
        <row r="13">
          <cell r="N13" t="str">
            <v>11</v>
          </cell>
          <cell r="O13">
            <v>4445.4009999999998</v>
          </cell>
          <cell r="P13">
            <v>266.96666666666636</v>
          </cell>
          <cell r="Q13">
            <v>86.333333333333087</v>
          </cell>
          <cell r="R13">
            <v>400.70000000000232</v>
          </cell>
          <cell r="S13">
            <v>0.15333333333333332</v>
          </cell>
          <cell r="T13">
            <v>1934.925</v>
          </cell>
          <cell r="U13">
            <v>483.40000000000464</v>
          </cell>
          <cell r="V13">
            <v>99.666666666666444</v>
          </cell>
          <cell r="W13">
            <v>335.25999999999669</v>
          </cell>
          <cell r="X13">
            <v>1016.5983333333326</v>
          </cell>
          <cell r="Y13">
            <v>189.733</v>
          </cell>
        </row>
        <row r="14">
          <cell r="N14" t="str">
            <v>12</v>
          </cell>
          <cell r="O14">
            <v>1906.204</v>
          </cell>
          <cell r="P14">
            <v>136.06</v>
          </cell>
          <cell r="Q14">
            <v>7.9333333333333318</v>
          </cell>
          <cell r="R14">
            <v>99.999999999999858</v>
          </cell>
          <cell r="S14">
            <v>1.1599999999999999</v>
          </cell>
          <cell r="T14">
            <v>416.88600000000002</v>
          </cell>
          <cell r="U14">
            <v>185.93333333333376</v>
          </cell>
          <cell r="V14">
            <v>24.893333333333317</v>
          </cell>
          <cell r="W14">
            <v>175.10666666666461</v>
          </cell>
          <cell r="X14">
            <v>30.9526666666677</v>
          </cell>
          <cell r="Y14">
            <v>34.301000000000002</v>
          </cell>
        </row>
        <row r="15">
          <cell r="N15" t="str">
            <v>13</v>
          </cell>
          <cell r="O15">
            <v>2003.5830000000001</v>
          </cell>
          <cell r="P15">
            <v>118.02666666666669</v>
          </cell>
          <cell r="Q15">
            <v>30.2</v>
          </cell>
          <cell r="R15">
            <v>190.36</v>
          </cell>
          <cell r="S15">
            <v>2.8866666666666667</v>
          </cell>
          <cell r="T15">
            <v>287.24400000000003</v>
          </cell>
          <cell r="U15">
            <v>153.9133333333335</v>
          </cell>
          <cell r="V15">
            <v>3.4666666666666677</v>
          </cell>
          <cell r="W15">
            <v>0</v>
          </cell>
          <cell r="X15">
            <v>129.86399999999932</v>
          </cell>
          <cell r="Y15">
            <v>15.788</v>
          </cell>
        </row>
        <row r="16">
          <cell r="N16" t="str">
            <v>14</v>
          </cell>
          <cell r="O16">
            <v>6006.2870000000003</v>
          </cell>
          <cell r="P16">
            <v>397.67999999999324</v>
          </cell>
          <cell r="Q16">
            <v>36.533333333333324</v>
          </cell>
          <cell r="R16">
            <v>740.06666666668764</v>
          </cell>
          <cell r="S16">
            <v>0</v>
          </cell>
          <cell r="T16">
            <v>644.88300000000004</v>
          </cell>
          <cell r="U16">
            <v>441.69333333332247</v>
          </cell>
          <cell r="V16">
            <v>24.266666666666637</v>
          </cell>
          <cell r="W16">
            <v>67.833333333333414</v>
          </cell>
          <cell r="X16">
            <v>111.089666666678</v>
          </cell>
          <cell r="Y16">
            <v>379.27</v>
          </cell>
        </row>
        <row r="17">
          <cell r="N17" t="str">
            <v>15</v>
          </cell>
          <cell r="O17">
            <v>2207.56</v>
          </cell>
          <cell r="P17">
            <v>146.1066666666668</v>
          </cell>
          <cell r="Q17">
            <v>2.5866666666666664</v>
          </cell>
          <cell r="R17">
            <v>317.27999999999838</v>
          </cell>
          <cell r="S17">
            <v>0</v>
          </cell>
          <cell r="T17">
            <v>328.48599999999999</v>
          </cell>
          <cell r="U17">
            <v>210.56666666666789</v>
          </cell>
          <cell r="V17">
            <v>0</v>
          </cell>
          <cell r="W17">
            <v>0</v>
          </cell>
          <cell r="X17">
            <v>117.91933333333201</v>
          </cell>
          <cell r="Y17">
            <v>79.525000000000006</v>
          </cell>
        </row>
        <row r="18">
          <cell r="N18" t="str">
            <v>16</v>
          </cell>
          <cell r="O18">
            <v>3968.6930000000002</v>
          </cell>
          <cell r="P18">
            <v>194.60000000000085</v>
          </cell>
          <cell r="Q18">
            <v>0</v>
          </cell>
          <cell r="R18">
            <v>756.54666666668106</v>
          </cell>
          <cell r="S18">
            <v>2.6133333333333337</v>
          </cell>
          <cell r="T18">
            <v>460.85700000000003</v>
          </cell>
          <cell r="U18">
            <v>227.60000000000133</v>
          </cell>
          <cell r="V18">
            <v>17.466666666666665</v>
          </cell>
          <cell r="W18">
            <v>0</v>
          </cell>
          <cell r="X18">
            <v>215.79033333333231</v>
          </cell>
          <cell r="Y18">
            <v>0</v>
          </cell>
        </row>
        <row r="19">
          <cell r="N19" t="str">
            <v>17</v>
          </cell>
          <cell r="O19">
            <v>11973.781999999999</v>
          </cell>
          <cell r="P19">
            <v>464.85999999999689</v>
          </cell>
          <cell r="Q19">
            <v>101.93333333333317</v>
          </cell>
          <cell r="R19">
            <v>670.8799999999934</v>
          </cell>
          <cell r="S19">
            <v>2.9933333333333332</v>
          </cell>
          <cell r="T19">
            <v>1561.94</v>
          </cell>
          <cell r="U19">
            <v>591.17333333333158</v>
          </cell>
          <cell r="V19">
            <v>92.42666666666679</v>
          </cell>
          <cell r="W19">
            <v>489.03999999999871</v>
          </cell>
          <cell r="X19">
            <v>389.30000000000422</v>
          </cell>
          <cell r="Y19">
            <v>162.58799999999999</v>
          </cell>
        </row>
        <row r="20">
          <cell r="N20" t="str">
            <v>18</v>
          </cell>
          <cell r="O20">
            <v>1462.867</v>
          </cell>
          <cell r="P20">
            <v>64.420000000000087</v>
          </cell>
          <cell r="Q20">
            <v>0</v>
          </cell>
          <cell r="R20">
            <v>160.5</v>
          </cell>
          <cell r="S20">
            <v>0</v>
          </cell>
          <cell r="T20">
            <v>187.249</v>
          </cell>
          <cell r="U20">
            <v>96.339999999999748</v>
          </cell>
          <cell r="V20">
            <v>1.2</v>
          </cell>
          <cell r="W20">
            <v>0</v>
          </cell>
          <cell r="X20">
            <v>89.709000000000202</v>
          </cell>
          <cell r="Y20">
            <v>18.007000000000001</v>
          </cell>
        </row>
        <row r="21">
          <cell r="N21" t="str">
            <v>19</v>
          </cell>
          <cell r="O21">
            <v>3992.482</v>
          </cell>
          <cell r="P21">
            <v>296.50666666666558</v>
          </cell>
          <cell r="Q21">
            <v>178.73333333333341</v>
          </cell>
          <cell r="R21">
            <v>200.2000000000005</v>
          </cell>
          <cell r="S21">
            <v>0</v>
          </cell>
          <cell r="T21">
            <v>776.54899999999998</v>
          </cell>
          <cell r="U21">
            <v>301.03333333333239</v>
          </cell>
          <cell r="V21">
            <v>1.3333333333333333</v>
          </cell>
          <cell r="W21">
            <v>0</v>
          </cell>
          <cell r="X21">
            <v>474.18233333333467</v>
          </cell>
          <cell r="Y21">
            <v>5.0389999999999997</v>
          </cell>
        </row>
        <row r="22">
          <cell r="N22" t="str">
            <v>20</v>
          </cell>
          <cell r="O22">
            <v>2525.8249999999998</v>
          </cell>
          <cell r="P22">
            <v>225.90666666666667</v>
          </cell>
          <cell r="Q22">
            <v>0</v>
          </cell>
          <cell r="R22">
            <v>148.03333333333327</v>
          </cell>
          <cell r="S22">
            <v>1.2666666666666666</v>
          </cell>
          <cell r="T22">
            <v>961.697</v>
          </cell>
          <cell r="U22">
            <v>104.98666666666647</v>
          </cell>
          <cell r="V22">
            <v>0</v>
          </cell>
          <cell r="W22">
            <v>667.9599999999989</v>
          </cell>
          <cell r="X22">
            <v>188.75033333333499</v>
          </cell>
          <cell r="Y22">
            <v>33.674999999999997</v>
          </cell>
        </row>
        <row r="23">
          <cell r="N23" t="str">
            <v>21</v>
          </cell>
          <cell r="O23">
            <v>2369.6080000000002</v>
          </cell>
          <cell r="P23">
            <v>56.453333333333447</v>
          </cell>
          <cell r="Q23">
            <v>0</v>
          </cell>
          <cell r="R23">
            <v>257.57333333333577</v>
          </cell>
          <cell r="S23">
            <v>1.3333333333333334E-2</v>
          </cell>
          <cell r="T23">
            <v>633.45000000000005</v>
          </cell>
          <cell r="U23">
            <v>474.01333333332343</v>
          </cell>
          <cell r="V23">
            <v>78.72</v>
          </cell>
          <cell r="W23">
            <v>0</v>
          </cell>
          <cell r="X23">
            <v>80.716666666677</v>
          </cell>
          <cell r="Y23">
            <v>156.85900000000001</v>
          </cell>
        </row>
        <row r="24">
          <cell r="N24" t="str">
            <v>22</v>
          </cell>
          <cell r="O24">
            <v>4219.8280000000004</v>
          </cell>
          <cell r="P24">
            <v>285.14</v>
          </cell>
          <cell r="Q24">
            <v>0</v>
          </cell>
          <cell r="R24">
            <v>600.13999999999783</v>
          </cell>
          <cell r="S24">
            <v>0.40666666666666668</v>
          </cell>
          <cell r="T24">
            <v>1385.117</v>
          </cell>
          <cell r="U24">
            <v>481.15999999998962</v>
          </cell>
          <cell r="V24">
            <v>219.56666666666663</v>
          </cell>
          <cell r="W24">
            <v>280.9599999999985</v>
          </cell>
          <cell r="X24">
            <v>403.430333333345</v>
          </cell>
          <cell r="Y24">
            <v>129.16900000000001</v>
          </cell>
        </row>
        <row r="25">
          <cell r="N25" t="str">
            <v>23</v>
          </cell>
          <cell r="O25">
            <v>4116.1459999999997</v>
          </cell>
          <cell r="P25">
            <v>371.62666666666178</v>
          </cell>
          <cell r="Q25">
            <v>0</v>
          </cell>
          <cell r="R25">
            <v>259.12000000000205</v>
          </cell>
          <cell r="S25">
            <v>0.28000000000000003</v>
          </cell>
          <cell r="T25">
            <v>1961.4179999999999</v>
          </cell>
          <cell r="U25">
            <v>292.91333333333313</v>
          </cell>
          <cell r="V25">
            <v>344.18666666666422</v>
          </cell>
          <cell r="W25">
            <v>436.40666666666601</v>
          </cell>
          <cell r="X25">
            <v>887.91133333333698</v>
          </cell>
          <cell r="Y25">
            <v>126.253</v>
          </cell>
        </row>
        <row r="26">
          <cell r="N26" t="str">
            <v>24</v>
          </cell>
          <cell r="O26">
            <v>2992.86</v>
          </cell>
          <cell r="P26">
            <v>129.4</v>
          </cell>
          <cell r="Q26">
            <v>2.4666666666666672</v>
          </cell>
          <cell r="R26">
            <v>500.53333333332188</v>
          </cell>
          <cell r="S26">
            <v>0</v>
          </cell>
          <cell r="T26">
            <v>570.55200000000002</v>
          </cell>
          <cell r="U26">
            <v>372.59999999999604</v>
          </cell>
          <cell r="V26">
            <v>53.500000000000099</v>
          </cell>
          <cell r="W26">
            <v>0</v>
          </cell>
          <cell r="X26">
            <v>144.45200000000389</v>
          </cell>
          <cell r="Y26">
            <v>49.917999999999999</v>
          </cell>
        </row>
        <row r="27">
          <cell r="N27" t="str">
            <v>25</v>
          </cell>
          <cell r="O27">
            <v>1489.1279999999999</v>
          </cell>
          <cell r="P27">
            <v>251.2</v>
          </cell>
          <cell r="Q27">
            <v>23.553333333333345</v>
          </cell>
          <cell r="R27">
            <v>0</v>
          </cell>
          <cell r="S27">
            <v>0.38666666666666666</v>
          </cell>
          <cell r="T27">
            <v>153.142</v>
          </cell>
          <cell r="U27">
            <v>61.48</v>
          </cell>
          <cell r="V27">
            <v>0</v>
          </cell>
          <cell r="W27">
            <v>0</v>
          </cell>
          <cell r="X27">
            <v>91.662000000000006</v>
          </cell>
          <cell r="Y27">
            <v>66.991</v>
          </cell>
        </row>
        <row r="28">
          <cell r="N28" t="str">
            <v>26</v>
          </cell>
          <cell r="O28">
            <v>2380.288</v>
          </cell>
          <cell r="P28">
            <v>339.35333333333108</v>
          </cell>
          <cell r="Q28">
            <v>36.266666666666623</v>
          </cell>
          <cell r="R28">
            <v>0</v>
          </cell>
          <cell r="S28">
            <v>0.62666666666666671</v>
          </cell>
          <cell r="T28">
            <v>447.56900000000002</v>
          </cell>
          <cell r="U28">
            <v>5.2666666666666675</v>
          </cell>
          <cell r="V28">
            <v>28.793333333333301</v>
          </cell>
          <cell r="W28">
            <v>0</v>
          </cell>
          <cell r="X28">
            <v>413.50900000000001</v>
          </cell>
          <cell r="Y28">
            <v>23.294</v>
          </cell>
        </row>
        <row r="29">
          <cell r="N29" t="str">
            <v>27</v>
          </cell>
          <cell r="O29">
            <v>2992.6390000000001</v>
          </cell>
          <cell r="P29">
            <v>351.03333333333313</v>
          </cell>
          <cell r="Q29">
            <v>167.99999999999883</v>
          </cell>
          <cell r="R29">
            <v>0</v>
          </cell>
          <cell r="S29">
            <v>47.34</v>
          </cell>
          <cell r="T29">
            <v>308.52999999999997</v>
          </cell>
          <cell r="U29">
            <v>51.646666666666668</v>
          </cell>
          <cell r="V29">
            <v>0</v>
          </cell>
          <cell r="W29">
            <v>0</v>
          </cell>
          <cell r="X29">
            <v>256.88333333333333</v>
          </cell>
          <cell r="Y29">
            <v>28.69</v>
          </cell>
        </row>
        <row r="30">
          <cell r="N30" t="str">
            <v>28</v>
          </cell>
          <cell r="O30">
            <v>3793.2959999999998</v>
          </cell>
          <cell r="P30">
            <v>521.83333333333405</v>
          </cell>
          <cell r="Q30">
            <v>150.87333333333328</v>
          </cell>
          <cell r="R30">
            <v>0</v>
          </cell>
          <cell r="S30">
            <v>0</v>
          </cell>
          <cell r="T30">
            <v>977.13400000000001</v>
          </cell>
          <cell r="U30">
            <v>74.7</v>
          </cell>
          <cell r="V30">
            <v>0</v>
          </cell>
          <cell r="W30">
            <v>0</v>
          </cell>
          <cell r="X30">
            <v>902.43399999999997</v>
          </cell>
          <cell r="Y30">
            <v>79.878</v>
          </cell>
        </row>
        <row r="31">
          <cell r="N31" t="str">
            <v>29</v>
          </cell>
          <cell r="O31">
            <v>3442.8789999999999</v>
          </cell>
          <cell r="P31">
            <v>513.46666666666692</v>
          </cell>
          <cell r="Q31">
            <v>14.12</v>
          </cell>
          <cell r="R31">
            <v>0</v>
          </cell>
          <cell r="S31">
            <v>0</v>
          </cell>
          <cell r="T31">
            <v>278.839</v>
          </cell>
          <cell r="U31">
            <v>75.339999999999947</v>
          </cell>
          <cell r="V31">
            <v>0</v>
          </cell>
          <cell r="W31">
            <v>0</v>
          </cell>
          <cell r="X31">
            <v>203.499</v>
          </cell>
          <cell r="Y31">
            <v>78.415000000000006</v>
          </cell>
        </row>
        <row r="32">
          <cell r="N32" t="str">
            <v>30</v>
          </cell>
          <cell r="O32">
            <v>1132.731</v>
          </cell>
          <cell r="P32">
            <v>52.953333333333532</v>
          </cell>
          <cell r="Q32">
            <v>0</v>
          </cell>
          <cell r="R32">
            <v>231.13333333333532</v>
          </cell>
          <cell r="S32">
            <v>0</v>
          </cell>
          <cell r="T32">
            <v>172.00700000000001</v>
          </cell>
          <cell r="U32">
            <v>156.53333333333336</v>
          </cell>
          <cell r="V32">
            <v>7.4</v>
          </cell>
          <cell r="W32">
            <v>0</v>
          </cell>
          <cell r="X32">
            <v>8.0736666666670001</v>
          </cell>
          <cell r="Y32">
            <v>33.046999999999997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cherry Sinclair" refreshedDate="42236.37021666667" createdVersion="4" refreshedVersion="4" recordCount="715">
  <cacheSource type="worksheet">
    <worksheetSource ref="A1:O716" sheet="Alloc Sched Data"/>
  </cacheSource>
  <cacheFields count="15">
    <cacheField name="excel_code" numFmtId="0">
      <sharedItems/>
    </cacheField>
    <cacheField name="Period" numFmtId="0">
      <sharedItems containsMixedTypes="1" containsNumber="1" containsInteger="1" minValue="1" maxValue="9" count="10">
        <s v="Period"/>
        <n v="1"/>
        <n v="5" u="1"/>
        <n v="2" u="1"/>
        <n v="6" u="1"/>
        <n v="7" u="1"/>
        <n v="3" u="1"/>
        <n v="8" u="1"/>
        <n v="9" u="1"/>
        <n v="4" u="1"/>
      </sharedItems>
    </cacheField>
    <cacheField name="DISTRICT" numFmtId="0">
      <sharedItems containsMixedTypes="1" containsNumber="1" containsInteger="1" minValue="1" maxValue="90" count="35">
        <n v="90"/>
        <n v="28"/>
        <n v="19"/>
        <n v="5"/>
        <s v="00"/>
        <n v="27"/>
        <s v="89"/>
        <n v="6"/>
        <n v="17"/>
        <n v="16"/>
        <n v="25"/>
        <n v="18"/>
        <n v="14"/>
        <n v="29"/>
        <n v="23"/>
        <n v="10"/>
        <n v="9"/>
        <n v="26"/>
        <n v="3"/>
        <n v="1"/>
        <n v="7"/>
        <n v="4"/>
        <n v="24"/>
        <n v="22"/>
        <n v="15"/>
        <n v="20"/>
        <n v="13"/>
        <n v="8"/>
        <n v="30"/>
        <n v="12"/>
        <n v="2"/>
        <n v="11"/>
        <n v="21"/>
        <s v="90"/>
        <n v="89" u="1"/>
      </sharedItems>
    </cacheField>
    <cacheField name="General Fund State" numFmtId="0">
      <sharedItems/>
    </cacheField>
    <cacheField name="NAME" numFmtId="0">
      <sharedItems containsBlank="1" count="37">
        <s v="SBCTC Program"/>
        <s v="Bates"/>
        <s v="Columbia Basin"/>
        <s v="Everett"/>
        <s v="Future Allocations/Reserves"/>
        <s v="Renton"/>
        <s v="SBCTC Admin"/>
        <s v="Seattle"/>
        <s v="Spokane"/>
        <s v="Yakima Valley"/>
        <s v="Bellingham"/>
        <s v="Big Bend"/>
        <s v="Clark"/>
        <s v="Clover Park"/>
        <s v="Edmonds"/>
        <s v="Green River"/>
        <s v="Highline"/>
        <s v="Lake Washington"/>
        <s v="Olympic"/>
        <s v="Peninsula"/>
        <s v="Shoreline"/>
        <s v="Skagit Valley"/>
        <s v="South Puget Sound"/>
        <s v="Tacoma"/>
        <s v="Wenatchee"/>
        <s v="Walla Walla"/>
        <s v="Lower Columbia"/>
        <s v="Bellevue"/>
        <s v="Cascadia"/>
        <s v="Centralia"/>
        <s v="Grays Harbor"/>
        <s v="Pierce"/>
        <s v="Whatcom"/>
        <m u="1"/>
        <s v="SBCTC (Olympia)" u="1"/>
        <s v="SBCTC (Admin)" u="1"/>
        <s v="SBCTC (Bellevue)" u="1"/>
      </sharedItems>
    </cacheField>
    <cacheField name="Fund" numFmtId="0">
      <sharedItems containsBlank="1" count="6">
        <s v="001"/>
        <s v="060"/>
        <s v="08A"/>
        <m u="1"/>
        <s v="17C" u="1"/>
        <s v="NA" u="1"/>
      </sharedItems>
    </cacheField>
    <cacheField name="FMS AI#" numFmtId="0">
      <sharedItems containsMixedTypes="1" containsNumber="1" containsInteger="1" minValue="101" maxValue="101"/>
    </cacheField>
    <cacheField name="Approp" numFmtId="0">
      <sharedItems/>
    </cacheField>
    <cacheField name="Fund &amp; Approp" numFmtId="0">
      <sharedItems containsBlank="1" count="47">
        <s v="001-011"/>
        <s v="001-BP1"/>
        <s v="060-BA0"/>
        <s v="08A-3E0"/>
        <s v="001-BQ1"/>
        <s v="001-BA1"/>
        <s v="001-BG1"/>
        <s v="001-BJ1"/>
        <s v="001-BR1"/>
        <s v="08A-430"/>
        <s v="001-BK1"/>
        <s v="001-BD1"/>
        <s v="001-AC1"/>
        <m u="1"/>
        <s v="001-2A0" u="1"/>
        <s v="001-BJ2" u="1"/>
        <s v="001-BL1" u="1"/>
        <s v="001-BK2" u="1"/>
        <s v="17C-BB0" u="1"/>
        <s v="17C-BC0" u="1"/>
        <s v="NA-NA" u="1"/>
        <s v="001-3L1" u="1"/>
        <s v="001-3L2" u="1"/>
        <s v="001-CA1" u="1"/>
        <s v="001-3M2" u="1"/>
        <s v="001-CA2" u="1"/>
        <s v="001-AS1" u="1"/>
        <s v="001-3N2" u="1"/>
        <s v="001-AT1" u="1"/>
        <s v="001-3P2" u="1"/>
        <s v="001-AV1" u="1"/>
        <s v="001-BB1" u="1"/>
        <s v="001-3Q2" u="1"/>
        <s v="001-BA2" u="1"/>
        <s v="001-BC1" u="1"/>
        <s v="001-AV2" u="1"/>
        <s v="001-BB2" u="1"/>
        <s v="001-AW2" u="1"/>
        <s v="001-BC2" u="1"/>
        <s v="001-012" u="1"/>
        <s v="001-BE1" u="1"/>
        <s v="001-BD2" u="1"/>
        <s v="001-BF1" u="1"/>
        <s v="001-BF2" u="1"/>
        <s v="001-AC2" u="1"/>
        <s v="001-BH1" u="1"/>
        <s v="001-BH2" u="1"/>
      </sharedItems>
    </cacheField>
    <cacheField name="Fund Appr Number" numFmtId="0">
      <sharedItems/>
    </cacheField>
    <cacheField name="Category" numFmtId="0">
      <sharedItems containsBlank="1" count="179">
        <s v="ABE Enrollments"/>
        <s v="Aerospace Apprenticeships"/>
        <s v="Aerospace Enrollments (1000 FTEs)"/>
        <s v="Aerospace Training"/>
        <s v="Allied Health Programs"/>
        <s v="Alt. Finance Project Debt Svc."/>
        <s v="Base Allocation (ELTA)"/>
        <s v="Base Allocation (GF-State)"/>
        <s v="Basic Skills Enhancement"/>
        <s v="Basic Skills Enhancement (GFS)"/>
        <s v="Basic Skills Enhancement (ELTA)"/>
        <s v="Basic Skills Enhancement "/>
        <s v="Bates Rebasing Phase One"/>
        <s v="Bellevue 4-Year Degree Prog"/>
        <s v="Centers of Excellence"/>
        <s v="COE for Aerospace"/>
        <s v="College Affordability Program (Tuition reduction)"/>
        <s v="Compensation Tuition Backfill - State Support (CS1)"/>
        <s v="Disability Accommodations"/>
        <s v="DOC Compensation"/>
        <s v="Employment Resource Center"/>
        <s v="Fabrication Wing Training Program"/>
        <s v="Facilities M&amp;O - FY 2013"/>
        <s v="Facilities M&amp;O - FY 2014"/>
        <s v="Facilities M&amp;O - FY 2015"/>
        <s v="Facilities M&amp;O - FY 2016"/>
        <s v="Feasibility Study"/>
        <s v="General Wage Increase (GL9)"/>
        <s v="Health Rate Changes"/>
        <s v="Hospital Employee Education &amp; Training"/>
        <s v="Job Skills Program"/>
        <s v="Labor Education &amp; Research Center (ELTA)"/>
        <s v="Labor Education &amp; Research Center (GFS)"/>
        <s v="LEAN Reduction"/>
        <s v="Leases and Assessments"/>
        <s v="Maritime Industries"/>
        <s v="MESA Community College Programs - MCCP"/>
        <s v="Nonrep Job Class Specific Increases"/>
        <s v="Ongoing Reserves"/>
        <s v="Opportunity Grants (ELTA)"/>
        <s v="Opportunity Grants (GFS)"/>
        <s v="PERS/TRS Pension Rate Changes"/>
        <s v="Revolving Funds - Central Service Agency Charges"/>
        <s v="Revolving Funds - Self Insurance Premium"/>
        <s v="Student Achievement Initiative"/>
        <s v="Student Achievement Initiative (P)"/>
        <s v="Student Achievement Initiative (permanent)"/>
        <s v="Student Achievement Initiative (variable)"/>
        <s v="Students of Color"/>
        <s v="Supplemental Retirement Payments"/>
        <s v="Technology Transformation"/>
        <s v="UCNPS Transfer"/>
        <s v="University Contracts (ELTA)"/>
        <s v="University Contracts (GFS)"/>
        <s v="WFSE Agreement (001)"/>
        <s v="Worker Retraining - Base (101)"/>
        <s v="Worker Retraining - Base (AC1)"/>
        <s v="Worker Retraining - Variable (AC1)"/>
        <s v="Worker Retraining Emergency Fund "/>
        <s v="Workers Compensation Changes"/>
        <s v="Workforce Development Projects"/>
        <s v="Workforce Training/Aerospace"/>
        <s v="WPEA Agreement  (001)"/>
        <s v="WPEA Agreement- Highline"/>
        <s v="WPEA Agreement- Yakima (001)"/>
        <s v="Aerospace Training Center" u="1"/>
        <s v="Health Insurance Rate Changes" u="1"/>
        <m u="1"/>
        <s v="Institutional Funding" u="1"/>
        <s v="New Opportunity Grants (OEA)" u="1"/>
        <s v="FY2011 General Budget Reduction" u="1"/>
        <s v="FY2012 General Budget Reduction" u="1"/>
        <s v="FY2013 General Budget Reduction" u="1"/>
        <s v="Workforce Development Projects - Parent Educ" u="1"/>
        <s v="2011 Early Action Supplemental Budget Reduction" u="1"/>
        <s v="General Wage Increase (GL9)- (001)" u="1"/>
        <s v="Facilities M&amp;O - FY 2010" u="1"/>
        <s v="Applied Baccalaureates" u="1"/>
        <s v="BS in Nursing/University Center" u="1"/>
        <s v="Remove Worker Retraining - Base (101)" u="1"/>
        <s v="ERP Advanced Planning" u="1"/>
        <s v="Worker Retraining - Variable" u="1"/>
        <s v="Jefferson Education Center" u="1"/>
        <s v="UCNPS (ELTA)" u="1"/>
        <s v="Base Allocation (GF-Federal)" u="1"/>
        <s v="PEBB Funding Rate Reduction (08A)" u="1"/>
        <s v="Workforce Development Projects - AWB" u="1"/>
        <s v="FY2010 Budget Reduction" u="1"/>
        <s v="IT Reduction - Section 715" u="1"/>
        <s v="First Year Reserves" u="1"/>
        <s v="Temporary 3% Salary Reduction" u="1"/>
        <s v="Workplace-Based Instructional Programs" u="1"/>
        <s v="PEBB Funding Rate Reduction (001)" u="1"/>
        <s v="FY2011 Compensation Reductions (ELTA)" u="1"/>
        <s v="Cap State Funding for TIAA-CREF Plans @ 6%" u="1"/>
        <s v="Health Insurance Rate Increase" u="1"/>
        <s v="Workforce Development Projects - OPEP Online Modules" u="1"/>
        <s v="Opportunity Center IT Project" u="1"/>
        <s v="Maintenance Fund Shift From Capital" u="1"/>
        <s v="WFSE Agreement (08A)" u="1"/>
        <s v="WPEA Agreement  (08A)" u="1"/>
        <s v="Compensation State Support (CSI)" u="1"/>
        <s v="Centers of Excellence Performance Funding" u="1"/>
        <s v="Efficiency Study" u="1"/>
        <s v="Health Rate Changes (ELTA)" u="1"/>
        <s v="Worker Retraining - Variable (101)" u="1"/>
        <s v="Worker Retraining - Variable (AS1)" u="1"/>
        <s v="Workforce Development Projects - OPEP Conference" u="1"/>
        <s v="University Center" u="1"/>
        <s v="WACTC Compensation Study" u="1"/>
        <s v="Student Achievement Initiative (variable) " u="1"/>
        <s v="FY16 Correction " u="1"/>
        <s v="Increase STEM Enrollments" u="1"/>
        <s v="Step M for Classified Staff" u="1"/>
        <s v="BAS-STEM Program" u="1"/>
        <s v="Paraeducator Development" u="1"/>
        <s v="Financial Aid Management System" u="1"/>
        <s v="New Worker Retraining - Variable" u="1"/>
        <s v="2011 Supplemental Budget Reduction" u="1"/>
        <s v="MESA - STEM" u="1"/>
        <s v="Gateway Center" u="1"/>
        <s v="Basic Skills Enhancement (08A)" u="1"/>
        <s v="Worker Retraining - Variable (AV1)" u="1"/>
        <s v="PERS Rate Adjustment" u="1"/>
        <s v="WPEA Agreement- Yakima (08A)" u="1"/>
        <s v="Facilities M&amp;O - FY 2016 Correction" u="1"/>
        <s v="Workforce Development Projects - Early Learning" u="1"/>
        <s v="Workers Comp Changes" u="1"/>
        <s v="Year-Up Community College Pilot Project" u="1"/>
        <s v="Worker Retraining Emergency Fund- Variable (101)" u="1"/>
        <s v="STEM or Career &amp; Tech Ed" u="1"/>
        <s v="Suspend PERS/TRS Plan 1 COLA" u="1"/>
        <s v="Basic Skills Enhancement (001)" u="1"/>
        <s v="One-Time Reduction for Customized Training Program" u="1"/>
        <s v="Worker Retraining - Base (123)" u="1"/>
        <s v="Revolving Funds Reduction" u="1"/>
        <s v="STEM Enrollment Expansion" u="1"/>
        <s v="Workers Comp Rate Changes" u="1"/>
        <s v="Workforce Development Projects - PNW Apprenticeship Education Conference" u="1"/>
        <s v="Facilities M&amp;O" u="1"/>
        <s v="WATR Center Aerospace Funding" u="1"/>
        <s v="Facilities Maintenance and Operations (2015)" u="1"/>
        <s v="AATF Consultant" u="1"/>
        <s v="FY2011 Compensation Reductions (GFS)" u="1"/>
        <s v="High Demand Aerospace Enrollments" u="1"/>
        <s v="Workforce Development 2" u="1"/>
        <s v="Customized Training Program" u="1"/>
        <s v="Remove Worker Retraining - Base (AC1)" u="1"/>
        <s v="Reallocate Worker Retraining - Base (101)" u="1"/>
        <s v="Supplemental Retirement Benefit Reduction" u="1"/>
        <s v="FY2011 Compensation Reductions" u="1"/>
        <s v="Workforce Development Projects - Skills Standard Library" u="1"/>
        <s v="Facilities M&amp;O - FY 2012" u="1"/>
        <s v="Health Rate Changes (GF-S)" u="1"/>
        <s v="Reduction for Supplemental Retirement Payments" u="1"/>
        <s v="Pension Rate Changes" u="1"/>
        <s v="University Contracts" u="1"/>
        <s v="General Wage Increase (GL9)- (08A)" u="1"/>
        <s v="Procurement Rate Reduction" u="1"/>
        <s v="Workforce Development Projects - Labor Liaisons" u="1"/>
        <s v="One-Time Reduction" u="1"/>
        <s v="Childcare Matching Grants" u="1"/>
        <s v="Supplemental Retirement Benefit" u="1"/>
        <s v="PERS/TRS Pension Rate Changes (08A)" u="1"/>
        <s v="Facilities M&amp;O - Delays" u="1"/>
        <s v="Student Achievement Initiative Pool" u="1"/>
        <s v="PERS/TRS Pension Rate Changes (001)" u="1"/>
        <s v="Transformation Fund" u="1"/>
        <s v="High Demand Equipment" u="1"/>
        <s v="Facilities M&amp;O - FY 2011" u="1"/>
        <s v="Labor Education &amp; Research Center" u="1"/>
        <s v="Redistribution of Institutional Funding Pool" u="1"/>
        <s v="Reduce Base Allocation for STEM Enrollment Pool" u="1"/>
        <s v="Revolving Funds" u="1"/>
        <s v="Life Transitions Program" u="1"/>
        <s v="PEBB Funding Rate Reduction" u="1"/>
        <s v="High Demand Workforce Development" u="1"/>
        <s v="UCNPS (GFS)" u="1"/>
        <s v="Reallocate Worker Retraining - Base (AC1)" u="1"/>
      </sharedItems>
    </cacheField>
    <cacheField name="Prior" numFmtId="178">
      <sharedItems containsString="0" containsBlank="1" containsNumber="1" containsInteger="1" minValue="-656328" maxValue="52015138"/>
    </cacheField>
    <cacheField name="Current" numFmtId="178">
      <sharedItems containsString="0" containsBlank="1" containsNumber="1" containsInteger="1" minValue="-2262000" maxValue="16672000"/>
    </cacheField>
    <cacheField name="FMS Approp Index" numFmtId="0">
      <sharedItems containsMixedTypes="1" containsNumber="1" containsInteger="1" minValue="101" maxValue="123"/>
    </cacheField>
    <cacheField name="total" numFmtId="41">
      <sharedItems containsSemiMixedTypes="0" containsString="0" containsNumber="1" containsInteger="1" minValue="-656328" maxValue="5196090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Scherry Sinclair" refreshedDate="42236.37021724537" createdVersion="4" refreshedVersion="4" recordCount="378">
  <cacheSource type="worksheet">
    <worksheetSource ref="A1:J379" sheet="Other Resources Data"/>
  </cacheSource>
  <cacheFields count="10">
    <cacheField name="Code" numFmtId="0">
      <sharedItems/>
    </cacheField>
    <cacheField name="District" numFmtId="0">
      <sharedItems/>
    </cacheField>
    <cacheField name="OrgName" numFmtId="0">
      <sharedItems count="41">
        <s v="Bates Technical College"/>
        <s v="Bellevue College"/>
        <s v="Bellingham Technical College"/>
        <s v="Big Bend Community College"/>
        <s v="Cascadia Community College"/>
        <s v="Centralia College"/>
        <s v="Clark College"/>
        <s v="Clover Park Technical College"/>
        <s v="Columbia Basin College"/>
        <s v="Edmonds Community College"/>
        <s v="Everett Community College"/>
        <s v="Grays Harbor College"/>
        <s v="Green River Community College"/>
        <s v="Highline Community College"/>
        <s v="Lake Washington Institute of Technology"/>
        <s v="Lower Columbia College"/>
        <s v="North Seattle Community College"/>
        <s v="Olympic College"/>
        <s v="Peninsula College"/>
        <s v="Pierce College District"/>
        <s v="Pierce College, Ft. Steilacoom"/>
        <s v="Pierce College, Puyallup"/>
        <s v="Renton Technical College"/>
        <s v="Seattle Central Community College"/>
        <s v="Seattle College District"/>
        <s v="Seattle Vocational Institute"/>
        <s v="Shoreline Community College"/>
        <s v="Skagit Valley College"/>
        <s v="South Puget Sound Community College"/>
        <s v="South Seattle Community College"/>
        <s v="Spokane Community College"/>
        <s v="Spokane District Office"/>
        <s v="Spokane Falls Community College"/>
        <s v="Spokane IEL"/>
        <s v="Tacoma Community College"/>
        <s v="Walla Walla Community College"/>
        <s v="Wenatchee Valley College"/>
        <s v="Whatcom Community College"/>
        <s v="Yakima Valley Community College"/>
        <s v="Pierce College Fort Steilacoom" u="1"/>
        <s v="Seattle Community College District" u="1"/>
      </sharedItems>
    </cacheField>
    <cacheField name="ProgramName" numFmtId="0">
      <sharedItems containsBlank="1" count="37">
        <s v="Basic Food Employment and Training Grant"/>
        <s v="BEdA Leadership Block Grant"/>
        <s v="BEdA Master Grant"/>
        <s v="BEdA State Plan Innovations Grant"/>
        <s v="Early Achievers Opportunity Grant Application"/>
        <s v="Perkins Leadership Block Grant"/>
        <s v="Perkins Plan"/>
        <s v="WorkFirst Delivery Agreement"/>
        <m/>
        <s v="BEdA Program – EL Civics Grant Budget"/>
        <s v="Phase III I-DEA Grant"/>
        <s v="Transcript Grid for Placement Project"/>
        <s v="I-DEA Grant"/>
        <s v="Job Skills Program Grant"/>
        <s v="Misc. General Grant"/>
        <s v="Correctional Education Grant"/>
        <s v="Perkins Innovation Project"/>
        <s v="Faculty Learning Communities Initiative Grant"/>
        <s v="Misc. Detailed Grant"/>
        <s v="Perkins Non-Traditional Employment &amp; Training Gran"/>
        <s v="Perkins Special Project"/>
        <s v="ABE Special Projects Grant"/>
        <s v="Core to College Grant" u="1"/>
        <s v="Core to College" u="1"/>
        <s v="ABE Master Grant Budget" u="1"/>
        <s v="BFET Startup Grant" u="1"/>
        <s v="Perkins Special Projects" u="1"/>
        <s v="ABE Program - EL Civics Application" u="1"/>
        <s v="Perkins Non-Traditional Employment &amp; Training" u="1"/>
        <s v="ABE Master Extension Application" u="1"/>
        <s v="Perkins Non-Traditional Employment &amp; Training Grant" u="1"/>
        <s v="ABE Leadership Block Grant" u="1"/>
        <s v="ABE Contextualization Project Carryover Grant" u="1"/>
        <s v="I-BEST at Work Application" u="1"/>
        <s v=" Basic Food Employment and Training Grant" u="1"/>
        <s v="Achieving the Dream Leadership Grant" u="1"/>
        <s v="ABE Program – EL Civics Grant Budget" u="1"/>
      </sharedItems>
    </cacheField>
    <cacheField name="GrantNumber" numFmtId="0">
      <sharedItems containsBlank="1" count="706">
        <s v="128-BFET-15"/>
        <s v="128-BLBG-16"/>
        <s v="128-BEDA-16"/>
        <s v="128-BSPI-15"/>
        <s v="128-EAOG-16"/>
        <s v="128-PLB-16"/>
        <s v="128-PRK-16"/>
        <s v="128-WFDA-16"/>
        <m/>
        <s v="108-BFET-15"/>
        <s v="108-BLBG-16"/>
        <s v="108-BEDA-16"/>
        <s v="108-ELC-16"/>
        <s v="108-EAOG-16"/>
        <s v="108-PLB-16"/>
        <s v="108-PRK-16"/>
        <s v="108-IDEA-16"/>
        <s v="108-TG-15"/>
        <s v="108-WFDA-16"/>
        <s v="125-BFET-15"/>
        <s v="125-BLBG-16"/>
        <s v="125-BEDA-16"/>
        <s v="125-ELC-16"/>
        <s v="125-IDEA-15"/>
        <s v="125-PLB-16"/>
        <s v="125-PRK-16"/>
        <s v="125-WFDA-16"/>
        <s v="118-BFET-15"/>
        <s v="118-BLBG-16"/>
        <s v="118-BEDA-16"/>
        <s v="118-ELC-16"/>
        <s v="118-BSPI-15"/>
        <s v="118-IDEA-13"/>
        <s v="118-JSP-16SH"/>
        <s v="118-PRK-16"/>
        <s v="118-TG-15"/>
        <s v="118-WFDA-16"/>
        <s v="130-BFET-15"/>
        <s v="130-BLBG-16"/>
        <s v="130-BEDA-16"/>
        <s v="130-ELC-16"/>
        <s v="130-B2C-15"/>
        <s v="130-ELRN-16"/>
        <s v="130-PLB-16"/>
        <s v="130-IDEA-16"/>
        <s v="112-BFET-15"/>
        <s v="112-BLBG-16"/>
        <s v="112-BEDA-16"/>
        <s v="112-ELC-16"/>
        <s v="112-CE-16"/>
        <s v="112-EAOG-16"/>
        <s v="112-PIP-16"/>
        <s v="112-PLB-16"/>
        <s v="112-PRK-16"/>
        <s v="112-IDEA-16"/>
        <s v="112-WFDA-16"/>
        <s v="114-BFET-15"/>
        <s v="114-BLBG-16"/>
        <s v="114-BEDA-16"/>
        <s v="114-ELC-16"/>
        <s v="114-CE-16"/>
        <s v="114-EAOG-16"/>
        <s v="114-FLCA-16IL"/>
        <s v="114-IDEA-15"/>
        <s v="114-PLB-16"/>
        <s v="114-PRK-16"/>
        <s v="114-WFDA-16"/>
        <s v="129-BFET-15"/>
        <s v="129-BLBG-16"/>
        <s v="129-BEDA-16"/>
        <s v="129-ELC-16"/>
        <s v="129-BSPI-15"/>
        <s v="129-PRK-16"/>
        <s v="129-IDEA-16"/>
        <s v="129-WFDA-16"/>
        <s v="119-BFET-15"/>
        <s v="119-BLBG-16"/>
        <s v="119-BEDA-16"/>
        <s v="119-ELC-16"/>
        <s v="119-PRK-16"/>
        <s v="119-IDEA-16"/>
        <s v="119-WFDA-16"/>
        <s v="123-BFET-15"/>
        <s v="123-BLBG-16"/>
        <s v="123-BEDA-16"/>
        <s v="123-ELC-16"/>
        <s v="123-CE-16"/>
        <s v="123-EAOG-16"/>
        <s v="123-IDEA-15"/>
        <s v="123-B2C-15"/>
        <s v="123-PLB-16"/>
        <s v="123-PRK-16"/>
        <s v="123-WFDA-16"/>
        <s v="105-BFET-15"/>
        <s v="105-BLBG-16"/>
        <s v="105-BEDA-16"/>
        <s v="105-ELC-16"/>
        <s v="105-EAOG-16"/>
        <s v="105-NGCC-15"/>
        <s v="105-NGST-15"/>
        <s v="105-PLB-16"/>
        <s v="105-PNT-16"/>
        <s v="105-PRK-16"/>
        <s v="105-IDEA-16"/>
        <s v="105-WFDA-16"/>
        <s v="102-BFET-15"/>
        <s v="102-BEDA-16"/>
        <s v="102-ELC-16"/>
        <s v="102-BPSI-15"/>
        <s v="102-CE-16"/>
        <s v="102-IDEA-15"/>
        <s v="102-IDRV4-15"/>
        <s v="102-PLB-16"/>
        <s v="102-PRK-16"/>
        <s v="102-WFDA-16"/>
        <s v="110-BFET-15"/>
        <s v="110-BLBG-16"/>
        <s v="110-BEDA-16"/>
        <s v="110-ELC-16"/>
        <s v="110-BSPI-15"/>
        <s v="110-EAOG-16"/>
        <s v="110-IDEA-15"/>
        <s v="110-JSP-16BC"/>
        <s v="110-JSP-16CG"/>
        <s v="110-JSP-16EK"/>
        <s v="110-JSP-16HC"/>
        <s v="110-JSP-16TAS"/>
        <s v="110-PRK-16"/>
        <s v="110-PSP-16"/>
        <s v="110-TG-15"/>
        <s v="110-WFDA-16"/>
        <s v="109-BFET-15"/>
        <s v="109-BLBG-16"/>
        <s v="109-BEDA-16"/>
        <s v="109-ELC-16"/>
        <s v="109-BSPI-15"/>
        <s v="109-EAOG-16"/>
        <s v="109-FLCA-16CRE"/>
        <s v="109-FLCE-16OER"/>
        <s v="109-PLB-16"/>
        <s v="109-PRK-16"/>
        <s v="109-WFDA-16"/>
        <s v="126-BFET-15"/>
        <s v="126-BLBG-16"/>
        <s v="126-BEDA-16"/>
        <s v="126-ELC-16"/>
        <s v="126-BSPI-15"/>
        <s v="126-EAOG-16"/>
        <s v="126-FLCA-16"/>
        <s v="126-IDEA-13"/>
        <s v="126-PRK-16"/>
        <s v="126-WFDA-16"/>
        <s v="113-BFET-15"/>
        <s v="113-BLBG-16"/>
        <s v="113-BEDA-16"/>
        <s v="113-ELC-16"/>
        <s v="113-EAOG-16"/>
        <s v="113-IDEA-15"/>
        <s v="113-PNT-16"/>
        <s v="113-PRK-16"/>
        <s v="113-WFDA-16"/>
        <s v="132-BFET-15"/>
        <s v="132-BLBG-16"/>
        <s v="132-BEDA-16"/>
        <s v="132-ELC-16"/>
        <s v="132-EAOG-16"/>
        <s v="132-IDEA-13"/>
        <s v="132-IDRV-15"/>
        <s v="132-PRK-16"/>
        <s v="132-WFDA-16"/>
        <s v="103-BFET-15"/>
        <s v="103-BLBG-16"/>
        <s v="103-BEDA-16"/>
        <s v="103-ELC-16"/>
        <s v="103-EAOG-16"/>
        <s v="103-IDEA-15"/>
        <s v="103-D2L-15"/>
        <s v="103-PLB-16"/>
        <s v="103-PNT-16"/>
        <s v="103-PRK-16"/>
        <s v="103-PSP-16"/>
        <s v="103-WFDA-16"/>
        <s v="101-BFET-15"/>
        <s v="101-BLBG-16"/>
        <s v="101-BEDA-16"/>
        <s v="101-ELC-16"/>
        <s v="101-BSPI-15"/>
        <s v="101-CE-16"/>
        <s v="101-EAOG-16"/>
        <s v="101-FLCA-16"/>
        <s v="101-IDEA-15"/>
        <s v="101-PLB-16"/>
        <s v="101-PRK-16"/>
        <s v="101-TG-15"/>
        <s v="101-WFDA-16"/>
        <s v="111-BFET-15"/>
        <s v="111-BLBG-16"/>
        <s v="111-BEDA-16"/>
        <s v="111-ELC-16"/>
        <s v="111-BSPI-15"/>
        <s v="111-EAOG-16"/>
        <s v="111-FLCA-16"/>
        <s v="111-ELRN-16"/>
        <s v="111-PLB-16"/>
        <s v="111-PNT-16"/>
        <s v="111-PRK-16"/>
        <s v="111-PSP-16"/>
        <s v="111-WFDA-16"/>
        <s v="135-IDEA-13"/>
        <s v="136-IDEA-15"/>
        <s v="127-ASP-15RA"/>
        <s v="127-BFET-15"/>
        <s v="127-BLBG-16"/>
        <s v="127-BEDA-16"/>
        <s v="127-ELC-16"/>
        <s v="127-EAOG-16"/>
        <s v="127-FLCE-16"/>
        <s v="127-IDEA-13"/>
        <s v="127-PLB-16"/>
        <s v="127-PRK-16"/>
        <s v="127-WFDA-16"/>
        <s v="131-BFET-15"/>
        <s v="131-BLBG-16"/>
        <s v="131-BEDA-16"/>
        <s v="131-ELC-16"/>
        <s v="131-IDEA-13"/>
        <s v="131-PRK-16"/>
        <s v="131-WFDA-16"/>
        <s v="134-BFET-15"/>
        <s v="134-BLBG-16"/>
        <s v="134-BEDA-16"/>
        <s v="134-PRK-16"/>
        <s v="134-WFDA-16"/>
        <s v="107-BFET-15"/>
        <s v="107-BLBG-16"/>
        <s v="107-BEDA-16"/>
        <s v="107-ELC-16"/>
        <s v="107-B2C-15"/>
        <s v="107-PRK-16"/>
        <s v="107-IDEA-16"/>
        <s v="107-WFDA-16"/>
        <s v="104-BFET-15"/>
        <s v="104-BLBG-16"/>
        <s v="104-BEDA-16"/>
        <s v="104-ELC-16"/>
        <s v="104-BSPI-15"/>
        <s v="104-EAOG-16"/>
        <s v="104-PIP-16"/>
        <s v="104-PLB-16"/>
        <s v="104-PRK-16"/>
        <s v="104-IDEA-16"/>
        <s v="104-WFDA-16"/>
        <s v="124-BFET-15"/>
        <s v="124-BLBG-16"/>
        <s v="124-BEDA-16"/>
        <s v="124-EAOG-16"/>
        <s v="124-PRK-16"/>
        <s v="124-IDEA-16"/>
        <s v="124-WFDA-16"/>
        <s v="133-BFET-15"/>
        <s v="133-BLBG-16"/>
        <s v="133-BEDA-16"/>
        <s v="133-ELC-16"/>
        <s v="133-JSP-16BP"/>
        <s v="133-JSP-16NWH"/>
        <s v="133-PRK-16"/>
        <s v="133-IDEA-16"/>
        <s v="133-WFDA-16"/>
        <s v="117-BFET-15"/>
        <s v="117-BLBG-16"/>
        <s v="117-BEDA-16"/>
        <s v="117-ELC-16"/>
        <s v="117-CE-16"/>
        <s v="117-IDEA-13"/>
        <s v="117-NGCC-15"/>
        <s v="117-NGST-15"/>
        <s v="117-WAOL-16"/>
        <s v="117-PNT-16"/>
        <s v="117-PRK-16"/>
        <s v="117-WFDA-16"/>
        <s v="138-PLB-16"/>
        <s v="122-BFET-15"/>
        <s v="122-BEDA-16"/>
        <s v="122-ELC-16"/>
        <s v="122-BSPI-15"/>
        <s v="122-CE-16"/>
        <s v="122-FLCE-16"/>
        <s v="122-IDEA-13"/>
        <s v="122-PLB-16"/>
        <s v="122-PRK-16"/>
        <s v="122-TG-15"/>
        <s v="122-WFDA-16"/>
        <s v="120-BFET-15"/>
        <s v="120-BLBG-16"/>
        <s v="120-BEDA-16"/>
        <s v="120-ELC-16"/>
        <s v="120-CE-16"/>
        <s v="120-IDEA-13"/>
        <s v="120-WFAD-16"/>
        <s v="120-PLB-16"/>
        <s v="120-PRK-16"/>
        <s v="120-WFDA-16"/>
        <s v="115-BFET-15"/>
        <s v="115-BLBG-16"/>
        <s v="115-BEDA-16"/>
        <s v="115-ELC-16"/>
        <s v="115-IDEA-15"/>
        <s v="115-PNT-16"/>
        <s v="115-PRK-16"/>
        <s v="115-WFDA-16"/>
        <s v="121-BFET-15"/>
        <s v="121-BLBG-16"/>
        <s v="121-BEDA-16"/>
        <s v="121-ELC-16"/>
        <s v="121-EAOG-16"/>
        <s v="121-FLCA-16FF"/>
        <s v="121-FLCA-16SUS"/>
        <s v="121-DEL-16"/>
        <s v="121-PIP-16"/>
        <s v="121-PLB-16"/>
        <s v="121-PNT-16"/>
        <s v="121-PRK-16"/>
        <s v="121-IDEA-16"/>
        <s v="121-WFDA-16"/>
        <s v="116-BFET-15"/>
        <s v="116-BLBG-16"/>
        <s v="116-BEDA-16"/>
        <s v="116-ELC-16"/>
        <s v="116-BSPI-15"/>
        <s v="116-EAOG-16"/>
        <s v="116-PRK-16"/>
        <s v="116-IDEA-16"/>
        <s v="116-WFDA-16"/>
        <s v="119-CBE2-15" u="1"/>
        <s v="130-JSP-15TX" u="1"/>
        <s v="122-ASP-15CT" u="1"/>
        <s v="118-JSP-14SGL" u="1"/>
        <s v="103-FLCA-15VET" u="1"/>
        <s v="131-PRK-15" u="1"/>
        <s v="132-PRK-15" u="1"/>
        <s v="133-PRK-15" u="1"/>
        <s v="110-BFET-14" u="1"/>
        <s v="134-PRK-15" u="1"/>
        <s v="102-JSP-14LG" u="1"/>
        <s v="111-BFET-14" u="1"/>
        <s v="112-BFET-14" u="1"/>
        <s v="113-BFET-14" u="1"/>
        <s v="114-BFET-14" u="1"/>
        <s v="115-BFET-14" u="1"/>
        <s v="116-BFET-14" u="1"/>
        <s v="117-BFET-14" u="1"/>
        <s v="118-BFET-14" u="1"/>
        <s v="119-BFET-14" u="1"/>
        <s v="130-PLB-15" u="1"/>
        <s v="131-PLB-15" u="1"/>
        <s v="120-EAOG-15" u="1"/>
        <s v="121-EAOG-15" u="1"/>
        <s v="112-PSP-15CE" u="1"/>
        <s v="120-PSP-15WPAS" u="1"/>
        <s v="123-EAOG-15" u="1"/>
        <s v="124-EAOG-15" u="1"/>
        <s v="102-IDRV-15" u="1"/>
        <s v="126-EAOG-15" u="1"/>
        <s v="127-EAOG-15" u="1"/>
        <s v="128-EAOG-15" u="1"/>
        <s v="113-ASP-14RDV" u="1"/>
        <s v="121-ACTX-15" u="1"/>
        <s v="123-ACTX-15" u="1"/>
        <s v="130-PNT-15" u="1"/>
        <s v="137-PLB-14" u="1"/>
        <s v="122-JSP-15BD" u="1"/>
        <s v="126-FLCA-15" u="1"/>
        <s v="130-C2C-14" u="1"/>
        <s v="101-ALB-15" u="1"/>
        <s v="102-ALB-15" u="1"/>
        <s v="103-ALB-15" u="1"/>
        <s v="104-ALB-15" u="1"/>
        <s v="105-ALB-15" u="1"/>
        <s v="114-FLCE-15" u="1"/>
        <s v="107-ALB-15" u="1"/>
        <s v="138-C2C-14" u="1"/>
        <s v="108-ALB-15" u="1"/>
        <s v="109-ALB-15" u="1"/>
        <s v="137-PNT-14" u="1"/>
        <s v="110-JSP-14BMC" u="1"/>
        <s v="111-PIP-15" u="1"/>
        <s v="112-CE-15" u="1"/>
        <s v="112-JSP-15CV" u="1"/>
        <s v="114-CE-15" u="1"/>
        <s v="117-CE-15" u="1"/>
        <s v="124-JSP-14DT" u="1"/>
        <s v="110-WFDA-15" u="1"/>
        <s v="111-WFDA-15" u="1"/>
        <s v="112-WFDA-15" u="1"/>
        <s v="110-JSP-14MF" u="1"/>
        <s v="113-WFDA-15" u="1"/>
        <s v="114-WFDA-15" u="1"/>
        <s v="101-ELC-15" u="1"/>
        <s v="115-WFDA-15" u="1"/>
        <s v="102-ELC-15" u="1"/>
        <s v="116-WFDA-15" u="1"/>
        <s v="110-JSP-14NF" u="1"/>
        <s v="103-ELC-15" u="1"/>
        <s v="117-WFDA-15" u="1"/>
        <s v="104-ELC-15" u="1"/>
        <s v="118-WFDA-15" u="1"/>
        <s v="105-ELC-15" u="1"/>
        <s v="119-WFDA-15" u="1"/>
        <s v="107-ELC-15" u="1"/>
        <s v="108-ELC-15" u="1"/>
        <s v="109-ELC-15" u="1"/>
        <s v="130-ELRN-15" u="1"/>
        <s v="110-JSP-15WF" u="1"/>
        <s v="107-FLC-15" u="1"/>
        <s v="101-ABE-15" u="1"/>
        <s v="102-ABE-15" u="1"/>
        <s v="103-ABE-15" u="1"/>
        <s v="104-ABE-15" u="1"/>
        <s v="105-ABE-15" u="1"/>
        <s v="107-ABE-15" u="1"/>
        <s v="122-JSP-14SL" u="1"/>
        <s v="108-ABE-15" u="1"/>
        <s v="109-ABE-15" u="1"/>
        <s v="121-DEL-15" u="1"/>
        <s v="132-ASP-14ID" u="1"/>
        <s v="110-FLCA-15RA" u="1"/>
        <s v="110-JSP-15AW" u="1"/>
        <s v="110-JSP-14AW" u="1"/>
        <s v="124-MATH-15" u="1"/>
        <s v="119-PSP-15SUS" u="1"/>
        <s v="132-JSP-14FS" u="1"/>
        <s v="122-JSP-15RDC" u="1"/>
        <s v="120-BFET-14" u="1"/>
        <s v="121-BFET-14" u="1"/>
        <s v="122-BFET-14" u="1"/>
        <s v="123-BFET-14" u="1"/>
        <s v="121-PSP-15TT" u="1"/>
        <s v="124-BFET-14" u="1"/>
        <s v="125-BFET-14" u="1"/>
        <s v="126-BFET-14" u="1"/>
        <s v="127-BFET-14" u="1"/>
        <s v="128-BFET-14" u="1"/>
        <s v="129-BFET-14" u="1"/>
        <s v="101-PRK-15" u="1"/>
        <s v="102-PRK-15" u="1"/>
        <s v="103-PRK-15" u="1"/>
        <s v="104-PRK-15" u="1"/>
        <s v="105-PRK-15" u="1"/>
        <s v="107-PRK-15" u="1"/>
        <s v="108-PRK-15" u="1"/>
        <s v="109-PRK-15" u="1"/>
        <s v="121-PNT2-15" u="1"/>
        <s v="112-JSP 15CV" u="1"/>
        <s v="122-JSP-14RM" u="1"/>
        <s v="131-EAOG-15" u="1"/>
        <s v="122-PSP-15CE" u="1"/>
        <s v="132-EAOG-15" u="1"/>
        <s v="123-ASP-14RDV" u="1"/>
        <s v="102-PLB-15" u="1"/>
        <s v="103-PLB-15" u="1"/>
        <s v="104-PLB-15" u="1"/>
        <s v="105-PLB-15" u="1"/>
        <s v="108-PLB-15" u="1"/>
        <s v="109-PLB-15" u="1"/>
        <s v="131-FLCA-15" u="1"/>
        <s v="135-FLCA-15" u="1"/>
        <s v="110-ALB-15" u="1"/>
        <s v="111-ALB-15" u="1"/>
        <s v="112-ALB-15" u="1"/>
        <s v="113-ALB-15" u="1"/>
        <s v="122-FLCE-15" u="1"/>
        <s v="114-ALB-15" u="1"/>
        <s v="115-ALB-15" u="1"/>
        <s v="116-ALB-15" u="1"/>
        <s v="125-FLCE-15" u="1"/>
        <s v="103-PNT-15" u="1"/>
        <s v="117-ALB-15" u="1"/>
        <s v="105-PNT-15" u="1"/>
        <s v="119-ALB-15" u="1"/>
        <s v="109-PNT-15" u="1"/>
        <s v="103-C2C-14" u="1"/>
        <s v="107-C2C-14" u="1"/>
        <s v="121-PIP-15" u="1"/>
        <s v="125-PIP-15" u="1"/>
        <s v="120-CE-15" u="1"/>
        <s v="122-CE-15" u="1"/>
        <s v="123-CE-15" u="1"/>
        <s v="110-JSP-14CP" u="1"/>
        <s v="110-JSP-14BX" u="1"/>
        <s v="118-JSP-15MLI" u="1"/>
        <s v="120-WFDA-15" u="1"/>
        <s v="121-WFDA-15" u="1"/>
        <s v="122-WFDA-15" u="1"/>
        <s v="123-WFDA-15" u="1"/>
        <s v="110-ELC-15" u="1"/>
        <s v="124-WFDA-15" u="1"/>
        <s v="110-JSP-15HEX" u="1"/>
        <s v="111-ELC-15" u="1"/>
        <s v="125-WFDA-15" u="1"/>
        <s v="112-ELC-15" u="1"/>
        <s v="126-WFDA-15" u="1"/>
        <s v="113-ELC-15" u="1"/>
        <s v="127-WFDA-15" u="1"/>
        <s v="114-ELC-15" u="1"/>
        <s v="128-WFDA-15" u="1"/>
        <s v="115-ELC-15" u="1"/>
        <s v="129-WFDA-15" u="1"/>
        <s v="116-ELC-15" u="1"/>
        <s v="117-ELC-15" u="1"/>
        <s v="118-ELC-15" u="1"/>
        <s v="119-ELC-15" u="1"/>
        <s v="117-WAOL-15" u="1"/>
        <s v="110-JSP-14CPR" u="1"/>
        <s v="110-ABE-15" u="1"/>
        <s v="111-ABE-15" u="1"/>
        <s v="112-ABE-15" u="1"/>
        <s v="113-ABE-15" u="1"/>
        <s v="114-ABE-15" u="1"/>
        <s v="115-ABE-15" u="1"/>
        <s v="119-PNT-15SC" u="1"/>
        <s v="116-ABE-15" u="1"/>
        <s v="117-ABE-15" u="1"/>
        <s v="118-ABE-15" u="1"/>
        <s v="119-ABE-15" u="1"/>
        <s v="111-PSP-15CP" u="1"/>
        <s v="119-CBE-15" u="1"/>
        <s v="130-JSP-14ZT" u="1"/>
        <s v="110-JSP-15SSL" u="1"/>
        <s v="102-ASP-14ID" u="1"/>
        <s v="112-JSP-15MA" u="1"/>
        <s v="110-JSP-14JA" u="1"/>
        <s v="121-PSP-15SN" u="1"/>
        <s v="130-BFET-14" u="1"/>
        <s v="131-BFET-14" u="1"/>
        <s v="119-PNT-15GL" u="1"/>
        <s v="132-BFET-14" u="1"/>
        <s v="133-BFET-14" u="1"/>
        <s v="137-BFET-13" u="1"/>
        <s v="134-BFET-14" u="1"/>
        <s v="108-JSP-14MC" u="1"/>
        <s v="132-JSP-15QM" u="1"/>
        <s v="110-PRK-15" u="1"/>
        <s v="111-PRK-15" u="1"/>
        <s v="112-PRK-15" u="1"/>
        <s v="113-PRK-15" u="1"/>
        <s v="114-PRK-15" u="1"/>
        <s v="115-PRK-15" u="1"/>
        <s v="116-PRK-15" u="1"/>
        <s v="110-JSP-14SA" u="1"/>
        <s v="106-JSP-15TPW" u="1"/>
        <s v="117-PRK-15" u="1"/>
        <s v="118-PRK-15" u="1"/>
        <s v="119-PRK-15" u="1"/>
        <s v="133-JSP-14PM" u="1"/>
        <s v="120-IDRV-15" u="1"/>
        <s v="103-PSP-15BC" u="1"/>
        <s v="110-PLB-15" u="1"/>
        <s v="111-PLB-15" u="1"/>
        <s v="112-PLB-15" u="1"/>
        <s v="115-PLB-15" u="1"/>
        <s v="101-EAOG-15" u="1"/>
        <s v="103-EAOG-15" u="1"/>
        <s v="118-PLB-15" u="1"/>
        <s v="104-EAOG-15" u="1"/>
        <s v="105-EAOG-15" u="1"/>
        <s v="108-EAOG-15" u="1"/>
        <s v="109-EAOG-15" u="1"/>
        <s v="120-ALB-15" u="1"/>
        <s v="121-ALB-15" u="1"/>
        <s v="122-ALB-15" u="1"/>
        <s v="123-ALB-15" u="1"/>
        <s v="124-ALB-15" u="1"/>
        <s v="133-FLCE-15" u="1"/>
        <s v="111-PNT-15" u="1"/>
        <s v="125-ALB-15" u="1"/>
        <s v="126-ALB-15" u="1"/>
        <s v="127-ALB-15" u="1"/>
        <s v="128-ALB-15" u="1"/>
        <s v="129-ALB-15" u="1"/>
        <s v="105-FLCA-15" u="1"/>
        <s v="118-ASP-15FC" u="1"/>
        <s v="108-FLCA-15" u="1"/>
        <s v="109-FLCA-15" u="1"/>
        <s v="114-C2C-14" u="1"/>
        <s v="115-C2C-14" u="1"/>
        <s v="117-JSP-15FB" u="1"/>
        <s v="138-PIP-15" u="1"/>
        <s v="110-JSP-15ISO" u="1"/>
        <s v="103-FLCA-15SUS" u="1"/>
        <s v="131-WFDA-15" u="1"/>
        <s v="132-WFDA-15" u="1"/>
        <s v="133-WFDA-15" u="1"/>
        <s v="120-ELC-15" u="1"/>
        <s v="134-WFDA-15" u="1"/>
        <s v="121-ELC-15" u="1"/>
        <s v="122-ELC-15" u="1"/>
        <s v="123-ELC-15" u="1"/>
        <s v="125-ELC-15" u="1"/>
        <s v="120-PSP-15PBL" u="1"/>
        <s v="126-ELC-15" u="1"/>
        <s v="127-ELC-15" u="1"/>
        <s v="129-ELC-15" u="1"/>
        <s v="110-PBL-15" u="1"/>
        <s v="120-ABE-15" u="1"/>
        <s v="121-ABE-15" u="1"/>
        <s v="122-ABE-15" u="1"/>
        <s v="123-ABE-15" u="1"/>
        <s v="122-JSP-15RP" u="1"/>
        <s v="124-ABE-15" u="1"/>
        <s v="125-ABE-15" u="1"/>
        <s v="126-ABE-15" u="1"/>
        <s v="127-ABE-15" u="1"/>
        <s v="128-ABE-15" u="1"/>
        <s v="111-ELRN-15" u="1"/>
        <s v="129-ABE-15" u="1"/>
        <s v="130-JSP-14VF" u="1"/>
        <s v="113-JSP-15PCP" u="1"/>
        <s v="110-JSP-14BC" u="1"/>
        <s v="110-JSP-14CC" u="1"/>
        <s v="118-JSP-15SVZ" u="1"/>
        <s v="113-ASP-15CT" u="1"/>
        <s v="116-JSP-14CC" u="1"/>
        <s v="110-JSP-14FC" u="1"/>
        <s v="110-JSP-14SSP" u="1"/>
        <s v="110-JSP-15SNBL" u="1"/>
        <s v="110-JSP-14HC" u="1"/>
        <s v="110-JSP-15HS" u="1"/>
        <s v="120-PRK-15" u="1"/>
        <s v="121-PRK-15" u="1"/>
        <s v="122-PRK-15" u="1"/>
        <s v="123-PRK-15" u="1"/>
        <s v="124-PRK-15" u="1"/>
        <s v="101-BFET-14" u="1"/>
        <s v="125-PRK-15" u="1"/>
        <s v="102-BFET-14" u="1"/>
        <s v="126-PRK-15" u="1"/>
        <s v="103-BFET-14" u="1"/>
        <s v="127-PRK-15" u="1"/>
        <s v="104-BFET-14" u="1"/>
        <s v="128-PRK-15" u="1"/>
        <s v="105-BFET-14" u="1"/>
        <s v="129-PRK-15" u="1"/>
        <s v="107-BFET-14" u="1"/>
        <s v="108-BFET-14" u="1"/>
        <s v="109-BFET-14" u="1"/>
        <s v="110-JSP-14UC" u="1"/>
        <s v="110-JSP-15SS" u="1"/>
        <s v="120-PLB-15" u="1"/>
        <s v="121-PLB-15" u="1"/>
        <s v="110-JSP-15TS" u="1"/>
        <s v="122-PLB-15" u="1"/>
        <s v="110-EAOG-15" u="1"/>
        <s v="125-PLB-15" u="1"/>
        <s v="111-EAOG-15" u="1"/>
        <s v="126-PLB-15" u="1"/>
        <s v="112-EAOG-15" u="1"/>
        <s v="127-PLB-15" u="1"/>
        <s v="113-EAOG-15" u="1"/>
        <s v="128-PLB-15" u="1"/>
        <s v="114-EAOG-15" u="1"/>
        <s v="129-PLB-15" u="1"/>
        <s v="115-EAOG-15" u="1"/>
        <s v="116-EAOG-15" u="1"/>
        <s v="110-JSP-14SS" u="1"/>
        <s v="110-ACTX-15" u="1"/>
        <s v="130-ALB-15" u="1"/>
        <s v="131-ALB-15" u="1"/>
        <s v="132-ALB-15" u="1"/>
        <s v="113-ACTX-15" u="1"/>
        <s v="109-ASP-14RDV" u="1"/>
        <s v="133-ALB-15" u="1"/>
        <s v="134-ALB-15" u="1"/>
        <s v="121-PNT-15" u="1"/>
        <s v="125-PNT-15" u="1"/>
        <s v="126-PNT-15" u="1"/>
        <s v="114-FLCA-15" u="1"/>
        <s v="128-ASP-15FC" u="1"/>
        <s v="123-C2C-14" u="1"/>
        <s v="107-FLCE-15" u="1"/>
        <s v="109-FLCE-15" u="1"/>
        <s v="118-JSP-15GD" u="1"/>
        <s v="132-JSP-14BP" u="1"/>
        <s v="114-JSP-15FL" u="1"/>
        <s v="101-CE-15" u="1"/>
        <s v="102-CE-15" u="1"/>
        <s v="109-PIP-15" u="1"/>
        <s v="122-JSP-15OB" u="1"/>
        <s v="110-JSP-15SS2" u="1"/>
        <s v="130-ELC-15" u="1"/>
        <s v="131-ELC-15" u="1"/>
        <s v="132-ELC-15" u="1"/>
        <s v="133-ELC-15" u="1"/>
        <s v="110-JSP-14LSS" u="1"/>
        <s v="101-WFDA-15" u="1"/>
        <s v="102-WFDA-15" u="1"/>
        <s v="103-WFDA-15" u="1"/>
        <s v="104-WFDA-15" u="1"/>
        <s v="105-WFDA-15" u="1"/>
        <s v="107-WFDA-15" u="1"/>
        <s v="108-WFDA-15" u="1"/>
        <s v="109-WFDA-15" u="1"/>
        <s v="130-ABE-15" u="1"/>
        <s v="131-ABE-15" u="1"/>
        <s v="132-ABE-15" u="1"/>
        <s v="133-ABE-15" u="1"/>
        <s v="134-ABE-15" u="1"/>
      </sharedItems>
    </cacheField>
    <cacheField name="Prior" numFmtId="0">
      <sharedItems containsString="0" containsBlank="1" containsNumber="1" containsInteger="1" minValue="0" maxValue="0"/>
    </cacheField>
    <cacheField name="Adjustments" numFmtId="0">
      <sharedItems containsString="0" containsBlank="1" containsNumber="1" containsInteger="1" minValue="1000" maxValue="6202351"/>
    </cacheField>
    <cacheField name="Amount" numFmtId="0">
      <sharedItems containsString="0" containsBlank="1" containsNumber="1" containsInteger="1" minValue="1000" maxValue="6202351"/>
    </cacheField>
    <cacheField name="Starts" numFmtId="0">
      <sharedItems containsNonDate="0" containsDate="1" containsString="0" containsBlank="1" minDate="2013-01-01T00:00:00" maxDate="2015-09-02T00:00:00"/>
    </cacheField>
    <cacheField name="Expires" numFmtId="0">
      <sharedItems containsNonDate="0" containsDate="1" containsString="0" containsBlank="1" minDate="2015-08-31T00:00:00" maxDate="2017-07-0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Scherry Sinclair" refreshedDate="42236.370217592594" createdVersion="4" refreshedVersion="4" minRefreshableVersion="3" recordCount="439">
  <cacheSource type="worksheet">
    <worksheetSource ref="A1:H500" sheet="CurrentGrantData"/>
  </cacheSource>
  <cacheFields count="8">
    <cacheField name="OrgName" numFmtId="0">
      <sharedItems containsBlank="1" count="40">
        <s v=" "/>
        <s v="Bates Technical College"/>
        <s v="Bellevue College"/>
        <s v="Bellingham Technical College"/>
        <s v="Big Bend Community College"/>
        <s v="Cascadia  College"/>
        <s v="Centralia College"/>
        <s v="Clark College"/>
        <s v="Clover Park Technical College"/>
        <s v="Columbia Basin College"/>
        <s v="Edmonds Community College"/>
        <s v="Everett Community College"/>
        <s v="Grays Harbor College"/>
        <s v="Green River College"/>
        <s v="Highline College"/>
        <s v="Lake Washington Institute of Technology"/>
        <s v="Lower Columbia College"/>
        <s v="North Seattle College"/>
        <s v="Olympic College"/>
        <s v="Peninsula College"/>
        <s v="Pierce College District"/>
        <s v="Pierce College Fort Steilacoom"/>
        <s v="Pierce College Puyallup"/>
        <s v="Renton Technical College"/>
        <s v="Seattle Central College"/>
        <s v="Seattle Vocational Institute"/>
        <s v="Shoreline Community College"/>
        <s v="Skagit Valley College"/>
        <s v="South Puget Sound Community College"/>
        <s v="South Seattle College"/>
        <s v="Spokane District Office"/>
        <s v="Spokane Falls Community College"/>
        <s v="Tacoma Community College"/>
        <s v="Walla Walla Community College"/>
        <s v="Wenatchee Valley College"/>
        <s v="Whatcom Community College"/>
        <s v="Yakima Valley Community College"/>
        <m/>
        <s v="Green River Community College" u="1"/>
        <s v="Seattle College District" u="1"/>
      </sharedItems>
    </cacheField>
    <cacheField name="ProgramName" numFmtId="0">
      <sharedItems containsBlank="1" count="28">
        <s v="Basic Food Employment and Training Grant"/>
        <s v="BEdA Leadership Block Grant"/>
        <s v="BEdA Master Grant"/>
        <s v="BEdA State Plan Innovations Grant"/>
        <s v="Early Achievers Opportunity Grant Application"/>
        <s v="Perkins Leadership Block Grant"/>
        <s v="Perkins Plan"/>
        <s v="WorkFirst Delivery Agreement"/>
        <s v="BEdA Program – EL Civics Grant Budget"/>
        <s v="Phase III I-DEA Grant"/>
        <s v="Transcript Grid for Placement Project"/>
        <s v="I-DEA Grant"/>
        <s v="Job Skills Program Grant"/>
        <s v="Misc. General Grant"/>
        <s v="Correctional Education Grant"/>
        <s v="Perkins Innovation Project"/>
        <s v="Faculty Learning Communities Initiative Grant"/>
        <s v="Misc. Detailed Grant"/>
        <s v="Perkins Non-Traditional Employment &amp; Training Gran"/>
        <s v="Perkins Special Project"/>
        <s v="ABE Special Projects Grant"/>
        <m/>
        <s v="Core to College Grant" u="1"/>
        <s v="ABE Master Grant Budget" u="1"/>
        <s v="ABE Leadership Block Grant" u="1"/>
        <s v="ABE Contextualization Project Carryover Grant" u="1"/>
        <s v=" Basic Food Employment and Training Grant" u="1"/>
        <s v="ABE Program – EL Civics Grant Budget" u="1"/>
      </sharedItems>
    </cacheField>
    <cacheField name="GrantNumber" numFmtId="0">
      <sharedItems containsBlank="1" count="701">
        <s v="128-BFET-15"/>
        <s v="128-BLBG-16"/>
        <s v="128-BEDA-16"/>
        <s v="128-BSPI-15"/>
        <s v="128-EAOG-16"/>
        <s v="128-PLB-16"/>
        <s v="128-PRK-16"/>
        <s v="128-WFDA-16"/>
        <s v="108-BFET-15"/>
        <s v="108-BLBG-16"/>
        <s v="108-BEDA-16"/>
        <s v="108-ELC-16"/>
        <s v="108-EAOG-16"/>
        <s v="108-PLB-16"/>
        <s v="108-PRK-16"/>
        <s v="108-IDEA-16"/>
        <s v="108-TG-15"/>
        <s v="108-WFDA-16"/>
        <s v="125-BFET-15"/>
        <s v="125-BLBG-16"/>
        <s v="125-BEDA-16"/>
        <s v="125-ELC-16"/>
        <s v="125-IDEA-15"/>
        <s v="125-PLB-16"/>
        <s v="125-PRK-16"/>
        <s v="125-WFDA-16"/>
        <s v="118-BFET-15"/>
        <s v="118-BLBG-16"/>
        <s v="118-BEDA-16"/>
        <s v="118-ELC-16"/>
        <s v="118-BSPI-15"/>
        <s v="118-IDEA-13"/>
        <s v="118-JSP-16SH"/>
        <s v="118-PRK-16"/>
        <s v="118-TG-15"/>
        <s v="118-WFDA-16"/>
        <s v="130-BFET-15"/>
        <s v="130-BLBG-16"/>
        <s v="130-BEDA-16"/>
        <s v="130-ELC-16"/>
        <s v="130-B2C-15"/>
        <s v="130-ELRN-16"/>
        <s v="130-PLB-16"/>
        <s v="130-IDEA-16"/>
        <s v="112-BFET-15"/>
        <s v="112-BLBG-16"/>
        <s v="112-BEDA-16"/>
        <s v="112-ELC-16"/>
        <s v="112-CE-16"/>
        <s v="112-EAOG-16"/>
        <s v="112-PIP-16"/>
        <s v="112-PLB-16"/>
        <s v="112-PRK-16"/>
        <s v="112-IDEA-16"/>
        <s v="112-WFDA-16"/>
        <s v="114-BFET-15"/>
        <s v="114-BLBG-16"/>
        <s v="114-BEDA-16"/>
        <s v="114-ELC-16"/>
        <s v="114-CE-16"/>
        <s v="114-EAOG-16"/>
        <s v="114-FLCA-16IL"/>
        <s v="114-IDEA-15"/>
        <s v="114-PLB-16"/>
        <s v="114-PRK-16"/>
        <s v="114-WFDA-16"/>
        <s v="129-BFET-15"/>
        <s v="129-BLBG-16"/>
        <s v="129-BEDA-16"/>
        <s v="129-ELC-16"/>
        <s v="129-BSPI-15"/>
        <s v="129-PRK-16"/>
        <s v="129-IDEA-16"/>
        <s v="129-WFDA-16"/>
        <s v="119-BFET-15"/>
        <s v="119-BLBG-16"/>
        <s v="119-BEDA-16"/>
        <s v="119-ELC-16"/>
        <s v="119-PRK-16"/>
        <s v="119-IDEA-16"/>
        <s v="119-WFDA-16"/>
        <s v="123-BFET-15"/>
        <s v="123-BLBG-16"/>
        <s v="123-BEDA-16"/>
        <s v="123-ELC-16"/>
        <s v="123-CE-16"/>
        <s v="123-EAOG-16"/>
        <s v="123-IDEA-15"/>
        <s v="123-B2C-15"/>
        <s v="123-PLB-16"/>
        <s v="123-PRK-16"/>
        <s v="123-WFDA-16"/>
        <s v="105-BFET-15"/>
        <s v="105-BLBG-16"/>
        <s v="105-BEDA-16"/>
        <s v="105-ELC-16"/>
        <s v="105-EAOG-16"/>
        <s v="105-NGCC-15"/>
        <s v="105-NGST-15"/>
        <s v="105-PLB-16"/>
        <s v="105-PNT-16"/>
        <s v="105-PRK-16"/>
        <s v="105-IDEA-16"/>
        <s v="105-WFDA-16"/>
        <s v="102-BFET-15"/>
        <s v="102-BEDA-16"/>
        <s v="102-ELC-16"/>
        <s v="102-BPSI-15"/>
        <s v="102-CE-16"/>
        <s v="102-IDEA-15"/>
        <s v="102-IDRV4-15"/>
        <s v="102-PLB-16"/>
        <s v="102-PRK-16"/>
        <s v="102-WFDA-16"/>
        <s v="110-BFET-15"/>
        <s v="110-BLBG-16"/>
        <s v="110-BEDA-16"/>
        <s v="110-ELC-16"/>
        <s v="110-BSPI-15"/>
        <s v="110-EAOG-16"/>
        <s v="110-IDEA-15"/>
        <s v="110-JSP-16BC"/>
        <s v="110-JSP-16CG"/>
        <s v="110-JSP-16EK"/>
        <s v="110-JSP-16HC"/>
        <s v="110-JSP-16TAS"/>
        <s v="110-PRK-16"/>
        <s v="110-PSP-16"/>
        <s v="110-TG-15"/>
        <s v="110-WFDA-16"/>
        <s v="109-BFET-15"/>
        <s v="109-BLBG-16"/>
        <s v="109-BEDA-16"/>
        <s v="109-ELC-16"/>
        <s v="109-BSPI-15"/>
        <s v="109-EAOG-16"/>
        <s v="109-FLCA-16CRE"/>
        <s v="109-FLCE-16OER"/>
        <s v="109-PLB-16"/>
        <s v="109-PRK-16"/>
        <s v="109-WFDA-16"/>
        <s v="126-BFET-15"/>
        <s v="126-BLBG-16"/>
        <s v="126-BEDA-16"/>
        <s v="126-ELC-16"/>
        <s v="126-BSPI-15"/>
        <s v="126-EAOG-16"/>
        <s v="126-FLCA-16"/>
        <s v="126-IDEA-13"/>
        <s v="126-PRK-16"/>
        <s v="126-WFDA-16"/>
        <s v="113-BFET-15"/>
        <s v="113-BLBG-16"/>
        <s v="113-BEDA-16"/>
        <s v="113-ELC-16"/>
        <s v="113-EAOG-16"/>
        <s v="113-IDEA-15"/>
        <s v="113-PNT-16"/>
        <s v="113-PRK-16"/>
        <s v="113-WFDA-16"/>
        <s v="132-BFET-15"/>
        <s v="132-BLBG-16"/>
        <s v="132-BEDA-16"/>
        <s v="132-ELC-16"/>
        <s v="132-EAOG-16"/>
        <s v="132-IDEA-13"/>
        <s v="132-IDRV-15"/>
        <s v="132-PRK-16"/>
        <s v="132-WFDA-16"/>
        <s v="103-BFET-15"/>
        <s v="103-BLBG-16"/>
        <s v="103-BEDA-16"/>
        <s v="103-ELC-16"/>
        <s v="103-EAOG-16"/>
        <s v="103-IDEA-15"/>
        <s v="103-D2L-15"/>
        <s v="103-PLB-16"/>
        <s v="103-PNT-16"/>
        <s v="103-PRK-16"/>
        <s v="103-PSP-16"/>
        <s v="103-WFDA-16"/>
        <s v="101-BFET-15"/>
        <s v="101-BLBG-16"/>
        <s v="101-BEDA-16"/>
        <s v="101-ELC-16"/>
        <s v="101-BSPI-15"/>
        <s v="101-CE-16"/>
        <s v="101-EAOG-16"/>
        <s v="101-FLCA-16"/>
        <s v="101-IDEA-15"/>
        <s v="101-PLB-16"/>
        <s v="101-PRK-16"/>
        <s v="101-TG-15"/>
        <s v="101-WFDA-16"/>
        <s v="111-BFET-15"/>
        <s v="111-BLBG-16"/>
        <s v="111-BEDA-16"/>
        <s v="111-ELC-16"/>
        <s v="111-BSPI-15"/>
        <s v="111-EAOG-16"/>
        <s v="111-FLCA-16"/>
        <s v="111-ELRN-16"/>
        <s v="111-PLB-16"/>
        <s v="111-PNT-16"/>
        <s v="111-PRK-16"/>
        <s v="111-PSP-16"/>
        <s v="111-WFDA-16"/>
        <s v="135-IDEA-13"/>
        <s v="136-IDEA-15"/>
        <s v="127-ASP-15RA"/>
        <s v="127-BFET-15"/>
        <s v="127-BLBG-16"/>
        <s v="127-BEDA-16"/>
        <s v="127-ELC-16"/>
        <s v="127-EAOG-16"/>
        <s v="127-FLCE-16"/>
        <s v="127-IDEA-13"/>
        <s v="127-PLB-16"/>
        <s v="127-PRK-16"/>
        <s v="127-WFDA-16"/>
        <s v="131-BFET-15"/>
        <s v="131-BLBG-16"/>
        <s v="131-BEDA-16"/>
        <s v="131-ELC-16"/>
        <s v="131-IDEA-13"/>
        <s v="131-PRK-16"/>
        <s v="131-WFDA-16"/>
        <s v="134-BFET-15"/>
        <s v="134-BLBG-16"/>
        <s v="134-BEDA-16"/>
        <s v="134-PRK-16"/>
        <s v="134-WFDA-16"/>
        <s v="107-BFET-15"/>
        <s v="107-BLBG-16"/>
        <s v="107-BEDA-16"/>
        <s v="107-ELC-16"/>
        <s v="107-B2C-15"/>
        <s v="107-PRK-16"/>
        <s v="107-IDEA-16"/>
        <s v="107-WFDA-16"/>
        <s v="104-BFET-15"/>
        <s v="104-BLBG-16"/>
        <s v="104-BEDA-16"/>
        <s v="104-ELC-16"/>
        <s v="104-BSPI-15"/>
        <s v="104-EAOG-16"/>
        <s v="104-PIP-16"/>
        <s v="104-PLB-16"/>
        <s v="104-PRK-16"/>
        <s v="104-IDEA-16"/>
        <s v="104-WFDA-16"/>
        <s v="124-BFET-15"/>
        <s v="124-BLBG-16"/>
        <s v="124-BEDA-16"/>
        <s v="124-EAOG-16"/>
        <s v="124-PRK-16"/>
        <s v="124-IDEA-16"/>
        <s v="124-WFDA-16"/>
        <s v="133-BFET-15"/>
        <s v="133-BLBG-16"/>
        <s v="133-BEDA-16"/>
        <s v="133-ELC-16"/>
        <s v="133-JSP-16BP"/>
        <s v="133-JSP-16NWH"/>
        <s v="133-PRK-16"/>
        <s v="133-IDEA-16"/>
        <s v="133-WFDA-16"/>
        <s v="117-BFET-15"/>
        <s v="117-BLBG-16"/>
        <s v="117-BEDA-16"/>
        <s v="117-ELC-16"/>
        <s v="117-CE-16"/>
        <s v="117-IDEA-13"/>
        <s v="117-NGCC-15"/>
        <s v="117-NGST-15"/>
        <s v="117-WAOL-16"/>
        <s v="117-PNT-16"/>
        <s v="117-PRK-16"/>
        <s v="117-WFDA-16"/>
        <s v="138-PLB-16"/>
        <s v="122-BFET-15"/>
        <s v="122-BEDA-16"/>
        <s v="122-ELC-16"/>
        <s v="122-BSPI-15"/>
        <s v="122-CE-16"/>
        <s v="122-FLCE-16"/>
        <s v="122-IDEA-13"/>
        <s v="122-PLB-16"/>
        <s v="122-PRK-16"/>
        <s v="122-TG-15"/>
        <s v="122-WFDA-16"/>
        <s v="120-BFET-15"/>
        <s v="120-BLBG-16"/>
        <s v="120-BEDA-16"/>
        <s v="120-ELC-16"/>
        <s v="120-CE-16"/>
        <s v="120-IDEA-13"/>
        <s v="120-WFAD-16"/>
        <s v="120-PLB-16"/>
        <s v="120-PRK-16"/>
        <s v="120-WFDA-16"/>
        <s v="115-BFET-15"/>
        <s v="115-BLBG-16"/>
        <s v="115-BEDA-16"/>
        <s v="115-ELC-16"/>
        <s v="115-IDEA-15"/>
        <s v="115-PNT-16"/>
        <s v="115-PRK-16"/>
        <s v="115-WFDA-16"/>
        <s v="121-BFET-15"/>
        <s v="121-BLBG-16"/>
        <s v="121-BEDA-16"/>
        <s v="121-ELC-16"/>
        <s v="121-EAOG-16"/>
        <s v="121-FLCA-16FF"/>
        <s v="121-FLCA-16SUS"/>
        <s v="121-DEL-16"/>
        <s v="121-PIP-16"/>
        <s v="121-PLB-16"/>
        <s v="121-PNT-16"/>
        <s v="121-PRK-16"/>
        <s v="121-IDEA-16"/>
        <s v="121-WFDA-16"/>
        <s v="116-BFET-15"/>
        <s v="116-BLBG-16"/>
        <s v="116-BEDA-16"/>
        <s v="116-ELC-16"/>
        <s v="116-BSPI-15"/>
        <s v="116-EAOG-16"/>
        <s v="116-PRK-16"/>
        <s v="116-IDEA-16"/>
        <s v="116-WFDA-16"/>
        <m/>
        <s v="119-CBE2-15" u="1"/>
        <s v="130-JSP-15TX" u="1"/>
        <s v="122-ASP-15CT" u="1"/>
        <s v="118-JSP-14SGL" u="1"/>
        <s v="103-FLCA-15VET" u="1"/>
        <s v="131-PRK-15" u="1"/>
        <s v="132-PRK-15" u="1"/>
        <s v="133-PRK-15" u="1"/>
        <s v="110-BFET-14" u="1"/>
        <s v="134-PRK-15" u="1"/>
        <s v="102-JSP-14LG" u="1"/>
        <s v="111-BFET-14" u="1"/>
        <s v="112-BFET-14" u="1"/>
        <s v="113-BFET-14" u="1"/>
        <s v="114-BFET-14" u="1"/>
        <s v="115-BFET-14" u="1"/>
        <s v="116-BFET-14" u="1"/>
        <s v="117-BFET-14" u="1"/>
        <s v="118-BFET-14" u="1"/>
        <s v="119-BFET-14" u="1"/>
        <s v="130-PLB-15" u="1"/>
        <s v="131-PLB-15" u="1"/>
        <s v="120-EAOG-15" u="1"/>
        <s v="121-EAOG-15" u="1"/>
        <s v="112-PSP-15CE" u="1"/>
        <s v="120-PSP-15WPAS" u="1"/>
        <s v="123-EAOG-15" u="1"/>
        <s v="124-EAOG-15" u="1"/>
        <s v="102-IDRV-15" u="1"/>
        <s v="126-EAOG-15" u="1"/>
        <s v="127-EAOG-15" u="1"/>
        <s v="128-EAOG-15" u="1"/>
        <s v="113-ASP-14RDV" u="1"/>
        <s v="121-ACTX-15" u="1"/>
        <s v="123-ACTX-15" u="1"/>
        <s v="130-PNT-15" u="1"/>
        <s v="122-JSP-15BD" u="1"/>
        <s v="126-FLCA-15" u="1"/>
        <s v="130-C2C-14" u="1"/>
        <s v="101-ALB-15" u="1"/>
        <s v="102-ALB-15" u="1"/>
        <s v="103-ALB-15" u="1"/>
        <s v="104-ALB-15" u="1"/>
        <s v="105-ALB-15" u="1"/>
        <s v="114-FLCE-15" u="1"/>
        <s v="107-ALB-15" u="1"/>
        <s v="138-C2C-14" u="1"/>
        <s v="108-ALB-15" u="1"/>
        <s v="109-ALB-15" u="1"/>
        <s v="110-JSP-14BMC" u="1"/>
        <s v="111-PIP-15" u="1"/>
        <s v="112-CE-15" u="1"/>
        <s v="112-JSP-15CV" u="1"/>
        <s v="114-CE-15" u="1"/>
        <s v="117-CE-15" u="1"/>
        <s v="124-JSP-14DT" u="1"/>
        <s v="110-WFDA-15" u="1"/>
        <s v="111-WFDA-15" u="1"/>
        <s v="112-WFDA-15" u="1"/>
        <s v="110-JSP-14MF" u="1"/>
        <s v="113-WFDA-15" u="1"/>
        <s v="114-WFDA-15" u="1"/>
        <s v="101-ELC-15" u="1"/>
        <s v="115-WFDA-15" u="1"/>
        <s v="102-ELC-15" u="1"/>
        <s v="116-WFDA-15" u="1"/>
        <s v="110-JSP-14NF" u="1"/>
        <s v="103-ELC-15" u="1"/>
        <s v="117-WFDA-15" u="1"/>
        <s v="104-ELC-15" u="1"/>
        <s v="118-WFDA-15" u="1"/>
        <s v="105-ELC-15" u="1"/>
        <s v="119-WFDA-15" u="1"/>
        <s v="107-ELC-15" u="1"/>
        <s v="108-ELC-15" u="1"/>
        <s v="109-ELC-15" u="1"/>
        <s v="130-ELRN-15" u="1"/>
        <s v="110-JSP-15WF" u="1"/>
        <s v="107-FLC-15" u="1"/>
        <s v="101-ABE-15" u="1"/>
        <s v="102-ABE-15" u="1"/>
        <s v="103-ABE-15" u="1"/>
        <s v="104-ABE-15" u="1"/>
        <s v="105-ABE-15" u="1"/>
        <s v="107-ABE-15" u="1"/>
        <s v="122-JSP-14SL" u="1"/>
        <s v="108-ABE-15" u="1"/>
        <s v="109-ABE-15" u="1"/>
        <s v="121-DEL-15" u="1"/>
        <s v="132-ASP-14ID" u="1"/>
        <s v="110-FLCA-15RA" u="1"/>
        <s v="110-JSP-15AW" u="1"/>
        <s v="110-JSP-14AW" u="1"/>
        <s v="124-MATH-15" u="1"/>
        <s v="119-PSP-15SUS" u="1"/>
        <s v="132-JSP-14FS" u="1"/>
        <s v="122-JSP-15RDC" u="1"/>
        <s v="120-BFET-14" u="1"/>
        <s v="121-BFET-14" u="1"/>
        <s v="122-BFET-14" u="1"/>
        <s v="123-BFET-14" u="1"/>
        <s v="121-PSP-15TT" u="1"/>
        <s v="124-BFET-14" u="1"/>
        <s v="125-BFET-14" u="1"/>
        <s v="126-BFET-14" u="1"/>
        <s v="127-BFET-14" u="1"/>
        <s v="128-BFET-14" u="1"/>
        <s v="129-BFET-14" u="1"/>
        <s v="101-PRK-15" u="1"/>
        <s v="102-PRK-15" u="1"/>
        <s v="103-PRK-15" u="1"/>
        <s v="104-PRK-15" u="1"/>
        <s v="105-PRK-15" u="1"/>
        <s v="107-PRK-15" u="1"/>
        <s v="108-PRK-15" u="1"/>
        <s v="109-PRK-15" u="1"/>
        <s v="121-PNT2-15" u="1"/>
        <s v="122-JSP-14RM" u="1"/>
        <s v="131-EAOG-15" u="1"/>
        <s v="122-PSP-15CE" u="1"/>
        <s v="132-EAOG-15" u="1"/>
        <s v="123-ASP-14RDV" u="1"/>
        <s v="102-PLB-15" u="1"/>
        <s v="103-PLB-15" u="1"/>
        <s v="104-PLB-15" u="1"/>
        <s v="105-PLB-15" u="1"/>
        <s v="108-PLB-15" u="1"/>
        <s v="109-PLB-15" u="1"/>
        <s v="131-FLCA-15" u="1"/>
        <s v="135-FLCA-15" u="1"/>
        <s v="110-ALB-15" u="1"/>
        <s v="111-ALB-15" u="1"/>
        <s v="112-ALB-15" u="1"/>
        <s v="113-ALB-15" u="1"/>
        <s v="122-FLCE-15" u="1"/>
        <s v="114-ALB-15" u="1"/>
        <s v="115-ALB-15" u="1"/>
        <s v="116-ALB-15" u="1"/>
        <s v="125-FLCE-15" u="1"/>
        <s v="103-PNT-15" u="1"/>
        <s v="117-ALB-15" u="1"/>
        <s v="105-PNT-15" u="1"/>
        <s v="119-ALB-15" u="1"/>
        <s v="109-PNT-15" u="1"/>
        <s v="103-C2C-14" u="1"/>
        <s v="107-C2C-14" u="1"/>
        <s v="121-PIP-15" u="1"/>
        <s v="125-PIP-15" u="1"/>
        <s v="120-CE-15" u="1"/>
        <s v="122-CE-15" u="1"/>
        <s v="123-CE-15" u="1"/>
        <s v="110-JSP-14CP" u="1"/>
        <s v="110-JSP-14BX" u="1"/>
        <s v="118-JSP-15MLI" u="1"/>
        <s v="120-WFDA-15" u="1"/>
        <s v="121-WFDA-15" u="1"/>
        <s v="122-WFDA-15" u="1"/>
        <s v="123-WFDA-15" u="1"/>
        <s v="110-ELC-15" u="1"/>
        <s v="124-WFDA-15" u="1"/>
        <s v="110-JSP-15HEX" u="1"/>
        <s v="111-ELC-15" u="1"/>
        <s v="125-WFDA-15" u="1"/>
        <s v="112-ELC-15" u="1"/>
        <s v="126-WFDA-15" u="1"/>
        <s v="113-ELC-15" u="1"/>
        <s v="127-WFDA-15" u="1"/>
        <s v="114-ELC-15" u="1"/>
        <s v="128-WFDA-15" u="1"/>
        <s v="115-ELC-15" u="1"/>
        <s v="129-WFDA-15" u="1"/>
        <s v="116-ELC-15" u="1"/>
        <s v="117-ELC-15" u="1"/>
        <s v="118-ELC-15" u="1"/>
        <s v="119-ELC-15" u="1"/>
        <s v="117-WAOL-15" u="1"/>
        <s v="110-JSP-14CPR" u="1"/>
        <s v="110-ABE-15" u="1"/>
        <s v="111-ABE-15" u="1"/>
        <s v="112-ABE-15" u="1"/>
        <s v="113-ABE-15" u="1"/>
        <s v="114-ABE-15" u="1"/>
        <s v="115-ABE-15" u="1"/>
        <s v="119-PNT-15SC" u="1"/>
        <s v="116-ABE-15" u="1"/>
        <s v="117-ABE-15" u="1"/>
        <s v="118-ABE-15" u="1"/>
        <s v="119-ABE-15" u="1"/>
        <s v="111-PSP-15CP" u="1"/>
        <s v="119-CBE-15" u="1"/>
        <s v="130-JSP-14ZT" u="1"/>
        <s v="110-JSP-15SSL" u="1"/>
        <s v="102-ASP-14ID" u="1"/>
        <s v="112-JSP-15MA" u="1"/>
        <s v="110-JSP-14JA" u="1"/>
        <s v="121-PSP-15SN" u="1"/>
        <s v="130-BFET-14" u="1"/>
        <s v="131-BFET-14" u="1"/>
        <s v="119-PNT-15GL" u="1"/>
        <s v="132-BFET-14" u="1"/>
        <s v="133-BFET-14" u="1"/>
        <s v="134-BFET-14" u="1"/>
        <s v="108-JSP-14MC" u="1"/>
        <s v="132-JSP-15QM" u="1"/>
        <s v="110-PRK-15" u="1"/>
        <s v="111-PRK-15" u="1"/>
        <s v="112-PRK-15" u="1"/>
        <s v="113-PRK-15" u="1"/>
        <s v="114-PRK-15" u="1"/>
        <s v="115-PRK-15" u="1"/>
        <s v="116-PRK-15" u="1"/>
        <s v="110-JSP-14SA" u="1"/>
        <s v="106-JSP-15TPW" u="1"/>
        <s v="117-PRK-15" u="1"/>
        <s v="118-PRK-15" u="1"/>
        <s v="119-PRK-15" u="1"/>
        <s v="133-JSP-14PM" u="1"/>
        <s v="120-IDRV-15" u="1"/>
        <s v="103-PSP-15BC" u="1"/>
        <s v="110-PLB-15" u="1"/>
        <s v="111-PLB-15" u="1"/>
        <s v="112-PLB-15" u="1"/>
        <s v="115-PLB-15" u="1"/>
        <s v="101-EAOG-15" u="1"/>
        <s v="103-EAOG-15" u="1"/>
        <s v="118-PLB-15" u="1"/>
        <s v="104-EAOG-15" u="1"/>
        <s v="105-EAOG-15" u="1"/>
        <s v="108-EAOG-15" u="1"/>
        <s v="109-EAOG-15" u="1"/>
        <s v="120-ALB-15" u="1"/>
        <s v="121-ALB-15" u="1"/>
        <s v="122-ALB-15" u="1"/>
        <s v="123-ALB-15" u="1"/>
        <s v="124-ALB-15" u="1"/>
        <s v="133-FLCE-15" u="1"/>
        <s v="111-PNT-15" u="1"/>
        <s v="125-ALB-15" u="1"/>
        <s v="126-ALB-15" u="1"/>
        <s v="127-ALB-15" u="1"/>
        <s v="128-ALB-15" u="1"/>
        <s v="129-ALB-15" u="1"/>
        <s v="105-FLCA-15" u="1"/>
        <s v="118-ASP-15FC" u="1"/>
        <s v="108-FLCA-15" u="1"/>
        <s v="109-FLCA-15" u="1"/>
        <s v="114-C2C-14" u="1"/>
        <s v="115-C2C-14" u="1"/>
        <s v="117-JSP-15FB" u="1"/>
        <s v="138-PIP-15" u="1"/>
        <s v="110-JSP-15ISO" u="1"/>
        <s v="103-FLCA-15SUS" u="1"/>
        <s v="131-WFDA-15" u="1"/>
        <s v="132-WFDA-15" u="1"/>
        <s v="133-WFDA-15" u="1"/>
        <s v="120-ELC-15" u="1"/>
        <s v="134-WFDA-15" u="1"/>
        <s v="121-ELC-15" u="1"/>
        <s v="122-ELC-15" u="1"/>
        <s v="123-ELC-15" u="1"/>
        <s v="125-ELC-15" u="1"/>
        <s v="120-PSP-15PBL" u="1"/>
        <s v="126-ELC-15" u="1"/>
        <s v="127-ELC-15" u="1"/>
        <s v="129-ELC-15" u="1"/>
        <s v="120-ABE-15" u="1"/>
        <s v="121-ABE-15" u="1"/>
        <s v="122-ABE-15" u="1"/>
        <s v="123-ABE-15" u="1"/>
        <s v="122-JSP-15RP" u="1"/>
        <s v="124-ABE-15" u="1"/>
        <s v="125-ABE-15" u="1"/>
        <s v="126-ABE-15" u="1"/>
        <s v="127-ABE-15" u="1"/>
        <s v="128-ABE-15" u="1"/>
        <s v="111-ELRN-15" u="1"/>
        <s v="129-ABE-15" u="1"/>
        <s v="130-JSP-14VF" u="1"/>
        <s v="113-JSP-15PCP" u="1"/>
        <s v="110-JSP-14BC" u="1"/>
        <s v="110-JSP-14CC" u="1"/>
        <s v="118-JSP-15SVZ" u="1"/>
        <s v="113-ASP-15CT" u="1"/>
        <s v="116-JSP-14CC" u="1"/>
        <s v="110-JSP-14FC" u="1"/>
        <s v="110-JSP-14SSP" u="1"/>
        <s v="110-JSP-15SNBL" u="1"/>
        <s v="110-JSP-14HC" u="1"/>
        <s v="110-JSP-15HS" u="1"/>
        <s v="120-PRK-15" u="1"/>
        <s v="121-PRK-15" u="1"/>
        <s v="122-PRK-15" u="1"/>
        <s v="123-PRK-15" u="1"/>
        <s v="124-PRK-15" u="1"/>
        <s v="101-BFET-14" u="1"/>
        <s v="125-PRK-15" u="1"/>
        <s v="102-BFET-14" u="1"/>
        <s v="126-PRK-15" u="1"/>
        <s v="103-BFET-14" u="1"/>
        <s v="127-PRK-15" u="1"/>
        <s v="104-BFET-14" u="1"/>
        <s v="128-PRK-15" u="1"/>
        <s v="105-BFET-14" u="1"/>
        <s v="129-PRK-15" u="1"/>
        <s v="107-BFET-14" u="1"/>
        <s v="108-BFET-14" u="1"/>
        <s v="109-BFET-14" u="1"/>
        <s v="110-JSP-14UC" u="1"/>
        <s v="110-JSP-15SS" u="1"/>
        <s v="120-PLB-15" u="1"/>
        <s v="121-PLB-15" u="1"/>
        <s v="110-JSP-15TS" u="1"/>
        <s v="122-PLB-15" u="1"/>
        <s v="110-EAOG-15" u="1"/>
        <s v="125-PLB-15" u="1"/>
        <s v="111-EAOG-15" u="1"/>
        <s v="126-PLB-15" u="1"/>
        <s v="112-EAOG-15" u="1"/>
        <s v="127-PLB-15" u="1"/>
        <s v="113-EAOG-15" u="1"/>
        <s v="128-PLB-15" u="1"/>
        <s v="114-EAOG-15" u="1"/>
        <s v="129-PLB-15" u="1"/>
        <s v="115-EAOG-15" u="1"/>
        <s v="116-EAOG-15" u="1"/>
        <s v="110-JSP-14SS" u="1"/>
        <s v="110-ACTX-15" u="1"/>
        <s v="130-ALB-15" u="1"/>
        <s v="131-ALB-15" u="1"/>
        <s v="132-ALB-15" u="1"/>
        <s v="113-ACTX-15" u="1"/>
        <s v="109-ASP-14RDV" u="1"/>
        <s v="133-ALB-15" u="1"/>
        <s v="134-ALB-15" u="1"/>
        <s v="121-PNT-15" u="1"/>
        <s v="125-PNT-15" u="1"/>
        <s v="126-PNT-15" u="1"/>
        <s v="114-FLCA-15" u="1"/>
        <s v="128-ASP-15FC" u="1"/>
        <s v="123-C2C-14" u="1"/>
        <s v="107-FLCE-15" u="1"/>
        <s v="109-FLCE-15" u="1"/>
        <s v="118-JSP-15GD" u="1"/>
        <s v="132-JSP-14BP" u="1"/>
        <s v="114-JSP-15FL" u="1"/>
        <s v="101-CE-15" u="1"/>
        <s v="102-CE-15" u="1"/>
        <s v="109-PIP-15" u="1"/>
        <s v="122-JSP-15OB" u="1"/>
        <s v="110-JSP-15SS2" u="1"/>
        <s v="130-ELC-15" u="1"/>
        <s v="131-ELC-15" u="1"/>
        <s v="132-ELC-15" u="1"/>
        <s v="133-ELC-15" u="1"/>
        <s v="110-JSP-14LSS" u="1"/>
        <s v="101-WFDA-15" u="1"/>
        <s v="102-WFDA-15" u="1"/>
        <s v="103-WFDA-15" u="1"/>
        <s v="104-WFDA-15" u="1"/>
        <s v="105-WFDA-15" u="1"/>
        <s v="107-WFDA-15" u="1"/>
        <s v="108-WFDA-15" u="1"/>
        <s v="109-WFDA-15" u="1"/>
        <s v="130-ABE-15" u="1"/>
        <s v="131-ABE-15" u="1"/>
        <s v="132-ABE-15" u="1"/>
        <s v="133-ABE-15" u="1"/>
        <s v="134-ABE-15" u="1"/>
      </sharedItems>
    </cacheField>
    <cacheField name="Adjustments" numFmtId="0">
      <sharedItems containsString="0" containsBlank="1" containsNumber="1" containsInteger="1" minValue="0" maxValue="0"/>
    </cacheField>
    <cacheField name="Amount" numFmtId="0">
      <sharedItems containsString="0" containsBlank="1" containsNumber="1" containsInteger="1" minValue="1000" maxValue="66069089"/>
    </cacheField>
    <cacheField name="Starts" numFmtId="0">
      <sharedItems containsNonDate="0" containsDate="1" containsString="0" containsBlank="1" minDate="2013-01-01T00:00:00" maxDate="2015-09-02T00:00:00"/>
    </cacheField>
    <cacheField name="Expires" numFmtId="0">
      <sharedItems containsNonDate="0" containsDate="1" containsString="0" containsBlank="1" minDate="2015-08-31T00:00:00" maxDate="2017-07-01T00:00:00"/>
    </cacheField>
    <cacheField name="FinalBillingDate" numFmtId="0">
      <sharedItems containsNonDate="0" containsDate="1" containsString="0" containsBlank="1" minDate="2015-10-31T00:00:00" maxDate="2017-07-16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5">
  <r>
    <s v="90ABE Enrollments"/>
    <x v="0"/>
    <x v="0"/>
    <b v="1"/>
    <x v="0"/>
    <x v="0"/>
    <s v="011"/>
    <s v="011"/>
    <x v="0"/>
    <s v="001011"/>
    <x v="0"/>
    <n v="153770"/>
    <m/>
    <n v="101"/>
    <n v="153770"/>
  </r>
  <r>
    <s v="28Aerospace Apprenticeships"/>
    <x v="0"/>
    <x v="1"/>
    <b v="1"/>
    <x v="1"/>
    <x v="0"/>
    <n v="101"/>
    <s v="011"/>
    <x v="0"/>
    <s v="001011"/>
    <x v="1"/>
    <n v="207271"/>
    <n v="-90330"/>
    <n v="101"/>
    <n v="116941"/>
  </r>
  <r>
    <s v="19Aerospace Apprenticeships"/>
    <x v="0"/>
    <x v="2"/>
    <b v="1"/>
    <x v="2"/>
    <x v="0"/>
    <n v="101"/>
    <s v="011"/>
    <x v="0"/>
    <s v="001011"/>
    <x v="1"/>
    <n v="29237"/>
    <m/>
    <n v="101"/>
    <n v="29237"/>
  </r>
  <r>
    <s v="5Aerospace Apprenticeships"/>
    <x v="0"/>
    <x v="3"/>
    <b v="1"/>
    <x v="3"/>
    <x v="0"/>
    <n v="101"/>
    <s v="011"/>
    <x v="0"/>
    <s v="001011"/>
    <x v="1"/>
    <n v="208497"/>
    <n v="-132484"/>
    <n v="101"/>
    <n v="76013"/>
  </r>
  <r>
    <s v="00Aerospace Apprenticeships"/>
    <x v="1"/>
    <x v="4"/>
    <b v="1"/>
    <x v="4"/>
    <x v="0"/>
    <n v="101"/>
    <s v="011"/>
    <x v="0"/>
    <s v="001011"/>
    <x v="1"/>
    <n v="54190"/>
    <n v="2344624"/>
    <n v="101"/>
    <n v="2398814"/>
  </r>
  <r>
    <s v="27Aerospace Apprenticeships"/>
    <x v="1"/>
    <x v="5"/>
    <b v="1"/>
    <x v="5"/>
    <x v="0"/>
    <n v="101"/>
    <s v="011"/>
    <x v="0"/>
    <s v="001011"/>
    <x v="1"/>
    <n v="77238"/>
    <n v="-42154"/>
    <n v="101"/>
    <n v="35084"/>
  </r>
  <r>
    <s v="89Aerospace Apprenticeships"/>
    <x v="1"/>
    <x v="6"/>
    <b v="1"/>
    <x v="6"/>
    <x v="0"/>
    <s v="011"/>
    <s v="011"/>
    <x v="0"/>
    <s v="001011"/>
    <x v="1"/>
    <n v="25411"/>
    <n v="-25411"/>
    <n v="101"/>
    <n v="0"/>
  </r>
  <r>
    <s v="90Aerospace Apprenticeships"/>
    <x v="1"/>
    <x v="0"/>
    <b v="1"/>
    <x v="0"/>
    <x v="0"/>
    <s v="011"/>
    <s v="011"/>
    <x v="0"/>
    <s v="001011"/>
    <x v="1"/>
    <n v="1921761"/>
    <n v="-1921761"/>
    <n v="101"/>
    <n v="0"/>
  </r>
  <r>
    <s v="6Aerospace Apprenticeships"/>
    <x v="1"/>
    <x v="7"/>
    <b v="1"/>
    <x v="7"/>
    <x v="0"/>
    <n v="101"/>
    <s v="011"/>
    <x v="0"/>
    <s v="001011"/>
    <x v="1"/>
    <n v="137456"/>
    <n v="-102374"/>
    <n v="101"/>
    <n v="35082"/>
  </r>
  <r>
    <s v="17Aerospace Apprenticeships"/>
    <x v="1"/>
    <x v="8"/>
    <b v="1"/>
    <x v="8"/>
    <x v="0"/>
    <n v="101"/>
    <s v="011"/>
    <x v="0"/>
    <s v="001011"/>
    <x v="1"/>
    <n v="29236"/>
    <m/>
    <n v="101"/>
    <n v="29236"/>
  </r>
  <r>
    <s v="16Aerospace Apprenticeships"/>
    <x v="1"/>
    <x v="9"/>
    <b v="1"/>
    <x v="9"/>
    <x v="0"/>
    <n v="101"/>
    <s v="011"/>
    <x v="0"/>
    <s v="001011"/>
    <x v="1"/>
    <n v="30110"/>
    <n v="-30110"/>
    <n v="101"/>
    <n v="0"/>
  </r>
  <r>
    <s v="28Aerospace Enrollments (1000 FTEs)"/>
    <x v="1"/>
    <x v="1"/>
    <b v="1"/>
    <x v="1"/>
    <x v="0"/>
    <n v="101"/>
    <s v="011"/>
    <x v="0"/>
    <s v="001011"/>
    <x v="2"/>
    <n v="411771"/>
    <m/>
    <n v="101"/>
    <n v="411771"/>
  </r>
  <r>
    <s v="25Aerospace Enrollments (1000 FTEs)"/>
    <x v="1"/>
    <x v="10"/>
    <b v="1"/>
    <x v="10"/>
    <x v="0"/>
    <n v="101"/>
    <s v="011"/>
    <x v="0"/>
    <s v="001011"/>
    <x v="2"/>
    <n v="607376"/>
    <m/>
    <n v="101"/>
    <n v="607376"/>
  </r>
  <r>
    <s v="18Aerospace Enrollments (1000 FTEs)"/>
    <x v="1"/>
    <x v="11"/>
    <b v="1"/>
    <x v="11"/>
    <x v="0"/>
    <n v="101"/>
    <s v="011"/>
    <x v="0"/>
    <s v="001011"/>
    <x v="2"/>
    <n v="162026"/>
    <m/>
    <n v="101"/>
    <n v="162026"/>
  </r>
  <r>
    <s v="14Aerospace Enrollments (1000 FTEs)"/>
    <x v="1"/>
    <x v="12"/>
    <b v="1"/>
    <x v="12"/>
    <x v="0"/>
    <n v="101"/>
    <s v="011"/>
    <x v="0"/>
    <s v="001011"/>
    <x v="2"/>
    <n v="315501"/>
    <m/>
    <n v="101"/>
    <n v="315501"/>
  </r>
  <r>
    <s v="29Aerospace Enrollments (1000 FTEs)"/>
    <x v="1"/>
    <x v="13"/>
    <b v="1"/>
    <x v="13"/>
    <x v="0"/>
    <n v="101"/>
    <s v="011"/>
    <x v="0"/>
    <s v="001011"/>
    <x v="2"/>
    <n v="603161"/>
    <m/>
    <n v="101"/>
    <n v="603161"/>
  </r>
  <r>
    <s v="23Aerospace Enrollments (1000 FTEs)"/>
    <x v="1"/>
    <x v="14"/>
    <b v="1"/>
    <x v="14"/>
    <x v="0"/>
    <n v="101"/>
    <s v="011"/>
    <x v="0"/>
    <s v="001011"/>
    <x v="2"/>
    <n v="512720"/>
    <m/>
    <n v="101"/>
    <n v="512720"/>
  </r>
  <r>
    <s v="5Aerospace Enrollments (1000 FTEs)"/>
    <x v="1"/>
    <x v="3"/>
    <b v="1"/>
    <x v="3"/>
    <x v="0"/>
    <n v="101"/>
    <s v="011"/>
    <x v="0"/>
    <s v="001011"/>
    <x v="2"/>
    <n v="1127984"/>
    <m/>
    <n v="101"/>
    <n v="1127984"/>
  </r>
  <r>
    <s v="00Aerospace Enrollments (1000 FTEs)"/>
    <x v="1"/>
    <x v="4"/>
    <b v="1"/>
    <x v="4"/>
    <x v="0"/>
    <n v="101"/>
    <s v="011"/>
    <x v="0"/>
    <s v="001011"/>
    <x v="2"/>
    <n v="0"/>
    <n v="0"/>
    <n v="101"/>
    <n v="0"/>
  </r>
  <r>
    <s v="10Aerospace Enrollments (1000 FTEs)"/>
    <x v="1"/>
    <x v="15"/>
    <b v="1"/>
    <x v="15"/>
    <x v="0"/>
    <n v="101"/>
    <s v="011"/>
    <x v="0"/>
    <s v="001011"/>
    <x v="2"/>
    <n v="296172"/>
    <m/>
    <n v="101"/>
    <n v="296172"/>
  </r>
  <r>
    <s v="9Aerospace Enrollments (1000 FTEs)"/>
    <x v="1"/>
    <x v="16"/>
    <b v="1"/>
    <x v="16"/>
    <x v="0"/>
    <n v="101"/>
    <s v="011"/>
    <x v="0"/>
    <s v="001011"/>
    <x v="2"/>
    <n v="157760"/>
    <m/>
    <n v="101"/>
    <n v="157760"/>
  </r>
  <r>
    <s v="26Aerospace Enrollments (1000 FTEs)"/>
    <x v="1"/>
    <x v="17"/>
    <b v="1"/>
    <x v="17"/>
    <x v="0"/>
    <n v="101"/>
    <s v="011"/>
    <x v="0"/>
    <s v="001011"/>
    <x v="2"/>
    <n v="354960"/>
    <m/>
    <n v="101"/>
    <n v="354960"/>
  </r>
  <r>
    <s v="3Aerospace Enrollments (1000 FTEs)"/>
    <x v="1"/>
    <x v="18"/>
    <b v="1"/>
    <x v="18"/>
    <x v="0"/>
    <n v="101"/>
    <s v="011"/>
    <x v="0"/>
    <s v="001011"/>
    <x v="2"/>
    <n v="481168"/>
    <m/>
    <n v="101"/>
    <n v="481168"/>
  </r>
  <r>
    <s v="1Aerospace Enrollments (1000 FTEs)"/>
    <x v="1"/>
    <x v="19"/>
    <b v="1"/>
    <x v="19"/>
    <x v="0"/>
    <n v="101"/>
    <s v="011"/>
    <x v="0"/>
    <s v="001011"/>
    <x v="2"/>
    <n v="299744"/>
    <m/>
    <n v="101"/>
    <n v="299744"/>
  </r>
  <r>
    <s v="27Aerospace Enrollments (1000 FTEs)"/>
    <x v="1"/>
    <x v="5"/>
    <b v="1"/>
    <x v="5"/>
    <x v="0"/>
    <n v="101"/>
    <s v="011"/>
    <x v="0"/>
    <s v="001011"/>
    <x v="2"/>
    <n v="235338"/>
    <m/>
    <n v="101"/>
    <n v="235338"/>
  </r>
  <r>
    <s v="6Aerospace Enrollments (1000 FTEs)"/>
    <x v="1"/>
    <x v="7"/>
    <b v="1"/>
    <x v="7"/>
    <x v="0"/>
    <n v="101"/>
    <s v="011"/>
    <x v="0"/>
    <s v="001011"/>
    <x v="2"/>
    <n v="1280881"/>
    <m/>
    <n v="101"/>
    <n v="1280881"/>
  </r>
  <r>
    <s v="7Aerospace Enrollments (1000 FTEs)"/>
    <x v="1"/>
    <x v="20"/>
    <b v="1"/>
    <x v="20"/>
    <x v="0"/>
    <n v="101"/>
    <s v="011"/>
    <x v="0"/>
    <s v="001011"/>
    <x v="2"/>
    <n v="152614"/>
    <m/>
    <n v="101"/>
    <n v="152614"/>
  </r>
  <r>
    <s v="4Aerospace Enrollments (1000 FTEs)"/>
    <x v="1"/>
    <x v="21"/>
    <b v="1"/>
    <x v="21"/>
    <x v="0"/>
    <n v="101"/>
    <s v="011"/>
    <x v="0"/>
    <s v="001011"/>
    <x v="2"/>
    <n v="212976"/>
    <m/>
    <n v="101"/>
    <n v="212976"/>
  </r>
  <r>
    <s v="24Aerospace Enrollments (1000 FTEs)"/>
    <x v="1"/>
    <x v="22"/>
    <b v="1"/>
    <x v="22"/>
    <x v="0"/>
    <n v="101"/>
    <s v="011"/>
    <x v="0"/>
    <s v="001011"/>
    <x v="2"/>
    <n v="118320"/>
    <m/>
    <n v="101"/>
    <n v="118320"/>
  </r>
  <r>
    <s v="17Aerospace Enrollments (1000 FTEs)"/>
    <x v="1"/>
    <x v="8"/>
    <b v="1"/>
    <x v="8"/>
    <x v="0"/>
    <n v="101"/>
    <s v="011"/>
    <x v="0"/>
    <s v="001011"/>
    <x v="2"/>
    <n v="314568"/>
    <m/>
    <n v="101"/>
    <n v="314568"/>
  </r>
  <r>
    <s v="22Aerospace Enrollments (1000 FTEs)"/>
    <x v="1"/>
    <x v="23"/>
    <b v="1"/>
    <x v="23"/>
    <x v="0"/>
    <n v="101"/>
    <s v="011"/>
    <x v="0"/>
    <s v="001011"/>
    <x v="2"/>
    <n v="197200"/>
    <m/>
    <n v="101"/>
    <n v="197200"/>
  </r>
  <r>
    <s v="15Aerospace Enrollments (1000 FTEs)"/>
    <x v="1"/>
    <x v="24"/>
    <b v="1"/>
    <x v="24"/>
    <x v="0"/>
    <n v="101"/>
    <s v="011"/>
    <x v="0"/>
    <s v="001011"/>
    <x v="2"/>
    <n v="157760"/>
    <m/>
    <n v="101"/>
    <n v="157760"/>
  </r>
  <r>
    <s v="25Aerospace Training"/>
    <x v="1"/>
    <x v="10"/>
    <b v="1"/>
    <x v="10"/>
    <x v="0"/>
    <n v="101"/>
    <s v="011"/>
    <x v="0"/>
    <s v="001011"/>
    <x v="3"/>
    <n v="251525"/>
    <n v="-251525"/>
    <n v="101"/>
    <n v="0"/>
  </r>
  <r>
    <s v="29Aerospace Training"/>
    <x v="1"/>
    <x v="13"/>
    <b v="1"/>
    <x v="13"/>
    <x v="0"/>
    <n v="101"/>
    <s v="011"/>
    <x v="0"/>
    <s v="001011"/>
    <x v="3"/>
    <n v="169713"/>
    <n v="-169713"/>
    <n v="101"/>
    <n v="0"/>
  </r>
  <r>
    <s v="5Aerospace Training"/>
    <x v="1"/>
    <x v="3"/>
    <b v="1"/>
    <x v="3"/>
    <x v="0"/>
    <n v="101"/>
    <s v="011"/>
    <x v="0"/>
    <s v="001011"/>
    <x v="3"/>
    <n v="457599"/>
    <n v="-457599"/>
    <n v="101"/>
    <n v="0"/>
  </r>
  <r>
    <s v="00Aerospace Training"/>
    <x v="1"/>
    <x v="4"/>
    <b v="1"/>
    <x v="4"/>
    <x v="0"/>
    <n v="101"/>
    <s v="011"/>
    <x v="0"/>
    <s v="001011"/>
    <x v="3"/>
    <n v="0"/>
    <n v="0"/>
    <n v="101"/>
    <n v="0"/>
  </r>
  <r>
    <s v="26Aerospace Training"/>
    <x v="1"/>
    <x v="17"/>
    <b v="1"/>
    <x v="17"/>
    <x v="0"/>
    <n v="101"/>
    <s v="011"/>
    <x v="0"/>
    <s v="001011"/>
    <x v="3"/>
    <n v="246809"/>
    <n v="-246809"/>
    <n v="101"/>
    <n v="0"/>
  </r>
  <r>
    <s v="1Aerospace Training"/>
    <x v="1"/>
    <x v="19"/>
    <b v="1"/>
    <x v="19"/>
    <x v="0"/>
    <n v="101"/>
    <s v="011"/>
    <x v="0"/>
    <s v="001011"/>
    <x v="3"/>
    <n v="61015"/>
    <n v="-61015"/>
    <n v="101"/>
    <n v="0"/>
  </r>
  <r>
    <s v="27Aerospace Training"/>
    <x v="1"/>
    <x v="5"/>
    <b v="1"/>
    <x v="5"/>
    <x v="0"/>
    <n v="101"/>
    <s v="011"/>
    <x v="0"/>
    <s v="001011"/>
    <x v="3"/>
    <n v="73939"/>
    <n v="-73939"/>
    <n v="101"/>
    <n v="0"/>
  </r>
  <r>
    <s v="20Aerospace Training"/>
    <x v="1"/>
    <x v="25"/>
    <b v="1"/>
    <x v="25"/>
    <x v="0"/>
    <n v="101"/>
    <s v="011"/>
    <x v="0"/>
    <s v="001011"/>
    <x v="3"/>
    <n v="177015"/>
    <n v="-177015"/>
    <n v="101"/>
    <n v="0"/>
  </r>
  <r>
    <s v="16Aerospace Training"/>
    <x v="1"/>
    <x v="9"/>
    <b v="1"/>
    <x v="9"/>
    <x v="0"/>
    <n v="101"/>
    <s v="011"/>
    <x v="0"/>
    <s v="001011"/>
    <x v="3"/>
    <n v="77785"/>
    <n v="-77785"/>
    <n v="101"/>
    <n v="0"/>
  </r>
  <r>
    <s v="6Allied Health Programs"/>
    <x v="1"/>
    <x v="7"/>
    <b v="1"/>
    <x v="7"/>
    <x v="0"/>
    <s v="BP1"/>
    <s v="BP1"/>
    <x v="1"/>
    <s v="001BP1"/>
    <x v="4"/>
    <n v="0"/>
    <n v="425000"/>
    <s v="BP1"/>
    <n v="425000"/>
  </r>
  <r>
    <s v="25Alt. Finance Project Debt Svc."/>
    <x v="1"/>
    <x v="10"/>
    <b v="1"/>
    <x v="10"/>
    <x v="1"/>
    <s v="BA0"/>
    <s v="BA0"/>
    <x v="2"/>
    <s v="060BA0"/>
    <x v="5"/>
    <n v="1999596"/>
    <n v="-3300"/>
    <s v="BA0"/>
    <n v="1996296"/>
  </r>
  <r>
    <s v="00Alt. Finance Project Debt Svc."/>
    <x v="1"/>
    <x v="4"/>
    <b v="1"/>
    <x v="4"/>
    <x v="1"/>
    <s v="BA0"/>
    <s v="BA0"/>
    <x v="2"/>
    <s v="060BA0"/>
    <x v="5"/>
    <n v="383824"/>
    <n v="3800"/>
    <s v="BA0"/>
    <n v="387624"/>
  </r>
  <r>
    <s v="10Alt. Finance Project Debt Svc."/>
    <x v="1"/>
    <x v="15"/>
    <b v="1"/>
    <x v="15"/>
    <x v="1"/>
    <s v="BA0"/>
    <s v="BA0"/>
    <x v="2"/>
    <s v="060BA0"/>
    <x v="5"/>
    <n v="2023280"/>
    <n v="-2700"/>
    <s v="BA0"/>
    <n v="2020580"/>
  </r>
  <r>
    <s v="13Alt. Finance Project Debt Svc."/>
    <x v="1"/>
    <x v="26"/>
    <b v="1"/>
    <x v="26"/>
    <x v="1"/>
    <s v="BA0"/>
    <s v="BA0"/>
    <x v="2"/>
    <s v="060BA0"/>
    <x v="5"/>
    <n v="2403975"/>
    <n v="2200"/>
    <s v="BA0"/>
    <n v="2406175"/>
  </r>
  <r>
    <s v="4Alt. Finance Project Debt Svc."/>
    <x v="1"/>
    <x v="21"/>
    <b v="1"/>
    <x v="21"/>
    <x v="1"/>
    <s v="BA0"/>
    <s v="BA0"/>
    <x v="2"/>
    <s v="060BA0"/>
    <x v="5"/>
    <n v="1963325"/>
    <n v="0"/>
    <s v="BA0"/>
    <n v="1963325"/>
  </r>
  <r>
    <s v="28Base Allocation (ELTA)"/>
    <x v="1"/>
    <x v="1"/>
    <b v="1"/>
    <x v="1"/>
    <x v="2"/>
    <s v="3E0"/>
    <s v="3E0"/>
    <x v="3"/>
    <s v="08A3E0"/>
    <x v="6"/>
    <n v="1243584"/>
    <n v="8976"/>
    <s v="3E0"/>
    <n v="1252560"/>
  </r>
  <r>
    <s v="8Base Allocation (ELTA)"/>
    <x v="1"/>
    <x v="27"/>
    <b v="1"/>
    <x v="27"/>
    <x v="2"/>
    <s v="3E0"/>
    <s v="3E0"/>
    <x v="3"/>
    <s v="08A3E0"/>
    <x v="6"/>
    <n v="1776543"/>
    <n v="24348"/>
    <s v="3E0"/>
    <n v="1800891"/>
  </r>
  <r>
    <s v="25Base Allocation (ELTA)"/>
    <x v="1"/>
    <x v="10"/>
    <b v="1"/>
    <x v="10"/>
    <x v="2"/>
    <s v="3E0"/>
    <s v="3E0"/>
    <x v="3"/>
    <s v="08A3E0"/>
    <x v="6"/>
    <n v="871393"/>
    <n v="7251"/>
    <s v="3E0"/>
    <n v="878644"/>
  </r>
  <r>
    <s v="18Base Allocation (ELTA)"/>
    <x v="1"/>
    <x v="11"/>
    <b v="1"/>
    <x v="11"/>
    <x v="2"/>
    <s v="3E0"/>
    <s v="3E0"/>
    <x v="3"/>
    <s v="08A3E0"/>
    <x v="6"/>
    <n v="814529"/>
    <n v="6579"/>
    <s v="3E0"/>
    <n v="821108"/>
  </r>
  <r>
    <s v="30Base Allocation (ELTA)"/>
    <x v="1"/>
    <x v="28"/>
    <b v="1"/>
    <x v="28"/>
    <x v="2"/>
    <s v="3E0"/>
    <s v="3E0"/>
    <x v="3"/>
    <s v="08A3E0"/>
    <x v="6"/>
    <n v="1144733"/>
    <n v="8249"/>
    <s v="3E0"/>
    <n v="1152982"/>
  </r>
  <r>
    <s v="12Base Allocation (ELTA)"/>
    <x v="1"/>
    <x v="29"/>
    <b v="1"/>
    <x v="29"/>
    <x v="2"/>
    <s v="3E0"/>
    <s v="3E0"/>
    <x v="3"/>
    <s v="08A3E0"/>
    <x v="6"/>
    <n v="804793"/>
    <n v="8692"/>
    <s v="3E0"/>
    <n v="813485"/>
  </r>
  <r>
    <s v="14Base Allocation (ELTA)"/>
    <x v="1"/>
    <x v="12"/>
    <b v="1"/>
    <x v="12"/>
    <x v="2"/>
    <s v="3E0"/>
    <s v="3E0"/>
    <x v="3"/>
    <s v="08A3E0"/>
    <x v="6"/>
    <n v="1757000"/>
    <n v="26124"/>
    <s v="3E0"/>
    <n v="1783124"/>
  </r>
  <r>
    <s v="29Base Allocation (ELTA)"/>
    <x v="1"/>
    <x v="13"/>
    <b v="1"/>
    <x v="13"/>
    <x v="2"/>
    <s v="3E0"/>
    <s v="3E0"/>
    <x v="3"/>
    <s v="08A3E0"/>
    <x v="6"/>
    <n v="1206184"/>
    <n v="10606"/>
    <s v="3E0"/>
    <n v="1216790"/>
  </r>
  <r>
    <s v="19Base Allocation (ELTA)"/>
    <x v="1"/>
    <x v="2"/>
    <b v="1"/>
    <x v="2"/>
    <x v="2"/>
    <s v="3E0"/>
    <s v="3E0"/>
    <x v="3"/>
    <s v="08A3E0"/>
    <x v="6"/>
    <n v="1327003"/>
    <n v="11667"/>
    <s v="3E0"/>
    <n v="1338670"/>
  </r>
  <r>
    <s v="23Base Allocation (ELTA)"/>
    <x v="1"/>
    <x v="14"/>
    <b v="1"/>
    <x v="14"/>
    <x v="2"/>
    <s v="3E0"/>
    <s v="3E0"/>
    <x v="3"/>
    <s v="08A3E0"/>
    <x v="6"/>
    <n v="799873"/>
    <n v="19568"/>
    <s v="3E0"/>
    <n v="819441"/>
  </r>
  <r>
    <s v="5Base Allocation (ELTA)"/>
    <x v="1"/>
    <x v="3"/>
    <b v="1"/>
    <x v="3"/>
    <x v="2"/>
    <s v="3E0"/>
    <s v="3E0"/>
    <x v="3"/>
    <s v="08A3E0"/>
    <x v="6"/>
    <n v="2501977"/>
    <n v="20406"/>
    <s v="3E0"/>
    <n v="2522383"/>
  </r>
  <r>
    <s v="2Base Allocation (ELTA)"/>
    <x v="1"/>
    <x v="30"/>
    <b v="1"/>
    <x v="30"/>
    <x v="2"/>
    <s v="3E0"/>
    <s v="3E0"/>
    <x v="3"/>
    <s v="08A3E0"/>
    <x v="6"/>
    <n v="434801"/>
    <n v="5685"/>
    <s v="3E0"/>
    <n v="440486"/>
  </r>
  <r>
    <s v="10Base Allocation (ELTA)"/>
    <x v="1"/>
    <x v="15"/>
    <b v="1"/>
    <x v="15"/>
    <x v="2"/>
    <s v="3E0"/>
    <s v="3E0"/>
    <x v="3"/>
    <s v="08A3E0"/>
    <x v="6"/>
    <n v="955276"/>
    <n v="23070"/>
    <s v="3E0"/>
    <n v="978346"/>
  </r>
  <r>
    <s v="9Base Allocation (ELTA)"/>
    <x v="1"/>
    <x v="16"/>
    <b v="1"/>
    <x v="16"/>
    <x v="2"/>
    <s v="3E0"/>
    <s v="3E0"/>
    <x v="3"/>
    <s v="08A3E0"/>
    <x v="6"/>
    <n v="1152175"/>
    <n v="16242"/>
    <s v="3E0"/>
    <n v="1168417"/>
  </r>
  <r>
    <s v="26Base Allocation (ELTA)"/>
    <x v="1"/>
    <x v="17"/>
    <b v="1"/>
    <x v="17"/>
    <x v="2"/>
    <s v="3E0"/>
    <s v="3E0"/>
    <x v="3"/>
    <s v="08A3E0"/>
    <x v="6"/>
    <n v="1212989"/>
    <n v="9298"/>
    <s v="3E0"/>
    <n v="1222287"/>
  </r>
  <r>
    <s v="13Base Allocation (ELTA)"/>
    <x v="1"/>
    <x v="26"/>
    <b v="1"/>
    <x v="26"/>
    <x v="2"/>
    <s v="3E0"/>
    <s v="3E0"/>
    <x v="3"/>
    <s v="08A3E0"/>
    <x v="6"/>
    <n v="779637"/>
    <n v="8481"/>
    <s v="3E0"/>
    <n v="788118"/>
  </r>
  <r>
    <s v="3Base Allocation (ELTA)"/>
    <x v="1"/>
    <x v="18"/>
    <b v="1"/>
    <x v="18"/>
    <x v="2"/>
    <s v="3E0"/>
    <s v="3E0"/>
    <x v="3"/>
    <s v="08A3E0"/>
    <x v="6"/>
    <n v="1621383"/>
    <n v="15201"/>
    <s v="3E0"/>
    <n v="1636584"/>
  </r>
  <r>
    <s v="1Base Allocation (ELTA)"/>
    <x v="1"/>
    <x v="19"/>
    <b v="1"/>
    <x v="19"/>
    <x v="2"/>
    <s v="3E0"/>
    <s v="3E0"/>
    <x v="3"/>
    <s v="08A3E0"/>
    <x v="6"/>
    <n v="470295"/>
    <n v="7524"/>
    <s v="3E0"/>
    <n v="477819"/>
  </r>
  <r>
    <s v="11Base Allocation (ELTA)"/>
    <x v="1"/>
    <x v="31"/>
    <b v="1"/>
    <x v="31"/>
    <x v="2"/>
    <s v="3E0"/>
    <s v="3E0"/>
    <x v="3"/>
    <s v="08A3E0"/>
    <x v="6"/>
    <n v="1506570"/>
    <n v="18569"/>
    <s v="3E0"/>
    <n v="1525139"/>
  </r>
  <r>
    <s v="27Base Allocation (ELTA)"/>
    <x v="1"/>
    <x v="5"/>
    <b v="1"/>
    <x v="5"/>
    <x v="2"/>
    <s v="3E0"/>
    <s v="3E0"/>
    <x v="3"/>
    <s v="08A3E0"/>
    <x v="6"/>
    <n v="1248218"/>
    <n v="9228"/>
    <s v="3E0"/>
    <n v="1257446"/>
  </r>
  <r>
    <s v="6Base Allocation (ELTA)"/>
    <x v="1"/>
    <x v="7"/>
    <b v="1"/>
    <x v="7"/>
    <x v="2"/>
    <s v="3E0"/>
    <s v="3E0"/>
    <x v="3"/>
    <s v="08A3E0"/>
    <x v="6"/>
    <n v="51781"/>
    <n v="54231"/>
    <s v="3E0"/>
    <n v="106012"/>
  </r>
  <r>
    <s v="7Base Allocation (ELTA)"/>
    <x v="1"/>
    <x v="20"/>
    <b v="1"/>
    <x v="20"/>
    <x v="2"/>
    <s v="3E0"/>
    <s v="3E0"/>
    <x v="3"/>
    <s v="08A3E0"/>
    <x v="6"/>
    <n v="442887"/>
    <n v="16601"/>
    <s v="3E0"/>
    <n v="459488"/>
  </r>
  <r>
    <s v="4Base Allocation (ELTA)"/>
    <x v="1"/>
    <x v="21"/>
    <b v="1"/>
    <x v="21"/>
    <x v="2"/>
    <s v="3E0"/>
    <s v="3E0"/>
    <x v="3"/>
    <s v="08A3E0"/>
    <x v="6"/>
    <n v="1359591"/>
    <n v="11964"/>
    <s v="3E0"/>
    <n v="1371555"/>
  </r>
  <r>
    <s v="24Base Allocation (ELTA)"/>
    <x v="1"/>
    <x v="22"/>
    <b v="1"/>
    <x v="22"/>
    <x v="2"/>
    <s v="3E0"/>
    <s v="3E0"/>
    <x v="3"/>
    <s v="08A3E0"/>
    <x v="6"/>
    <n v="875901"/>
    <n v="14293"/>
    <s v="3E0"/>
    <n v="890194"/>
  </r>
  <r>
    <s v="17Base Allocation (ELTA)"/>
    <x v="1"/>
    <x v="8"/>
    <b v="1"/>
    <x v="8"/>
    <x v="2"/>
    <s v="3E0"/>
    <s v="3E0"/>
    <x v="3"/>
    <s v="08A3E0"/>
    <x v="6"/>
    <n v="2658895"/>
    <n v="43975"/>
    <s v="3E0"/>
    <n v="2702870"/>
  </r>
  <r>
    <s v="22Base Allocation (ELTA)"/>
    <x v="1"/>
    <x v="23"/>
    <b v="1"/>
    <x v="23"/>
    <x v="2"/>
    <s v="3E0"/>
    <s v="3E0"/>
    <x v="3"/>
    <s v="08A3E0"/>
    <x v="6"/>
    <n v="1371602"/>
    <n v="18976"/>
    <s v="3E0"/>
    <n v="1390578"/>
  </r>
  <r>
    <s v="20Base Allocation (ELTA)"/>
    <x v="1"/>
    <x v="25"/>
    <b v="1"/>
    <x v="25"/>
    <x v="2"/>
    <s v="3E0"/>
    <s v="3E0"/>
    <x v="3"/>
    <s v="08A3E0"/>
    <x v="6"/>
    <n v="688156"/>
    <n v="11202"/>
    <s v="3E0"/>
    <n v="699358"/>
  </r>
  <r>
    <s v="15Base Allocation (ELTA)"/>
    <x v="1"/>
    <x v="24"/>
    <b v="1"/>
    <x v="24"/>
    <x v="2"/>
    <s v="3E0"/>
    <s v="3E0"/>
    <x v="3"/>
    <s v="08A3E0"/>
    <x v="6"/>
    <n v="1063632"/>
    <n v="8881"/>
    <s v="3E0"/>
    <n v="1072513"/>
  </r>
  <r>
    <s v="21Base Allocation (ELTA)"/>
    <x v="1"/>
    <x v="32"/>
    <b v="1"/>
    <x v="32"/>
    <x v="2"/>
    <s v="3E0"/>
    <s v="3E0"/>
    <x v="3"/>
    <s v="08A3E0"/>
    <x v="6"/>
    <n v="1047225"/>
    <n v="10051"/>
    <s v="3E0"/>
    <n v="1057276"/>
  </r>
  <r>
    <s v="16Base Allocation (ELTA)"/>
    <x v="1"/>
    <x v="9"/>
    <b v="1"/>
    <x v="9"/>
    <x v="2"/>
    <s v="3E0"/>
    <s v="3E0"/>
    <x v="3"/>
    <s v="08A3E0"/>
    <x v="6"/>
    <n v="1190840"/>
    <n v="12062"/>
    <s v="3E0"/>
    <n v="1202902"/>
  </r>
  <r>
    <s v="28Base Allocation (GF-State)"/>
    <x v="1"/>
    <x v="1"/>
    <b v="1"/>
    <x v="1"/>
    <x v="0"/>
    <n v="101"/>
    <s v="011"/>
    <x v="0"/>
    <s v="001011"/>
    <x v="7"/>
    <n v="14773798"/>
    <n v="-8976"/>
    <n v="101"/>
    <n v="14764822"/>
  </r>
  <r>
    <s v="8Base Allocation (GF-State)"/>
    <x v="1"/>
    <x v="27"/>
    <b v="1"/>
    <x v="27"/>
    <x v="0"/>
    <n v="101"/>
    <s v="011"/>
    <x v="0"/>
    <s v="001011"/>
    <x v="7"/>
    <n v="22373058"/>
    <n v="-24348"/>
    <n v="101"/>
    <n v="22348710"/>
  </r>
  <r>
    <s v="25Base Allocation (GF-State)"/>
    <x v="1"/>
    <x v="10"/>
    <b v="1"/>
    <x v="10"/>
    <x v="0"/>
    <n v="101"/>
    <s v="011"/>
    <x v="0"/>
    <s v="001011"/>
    <x v="7"/>
    <n v="7365559"/>
    <n v="-7251"/>
    <n v="101"/>
    <n v="7358308"/>
  </r>
  <r>
    <s v="18Base Allocation (GF-State)"/>
    <x v="1"/>
    <x v="11"/>
    <b v="1"/>
    <x v="11"/>
    <x v="0"/>
    <n v="101"/>
    <s v="011"/>
    <x v="0"/>
    <s v="001011"/>
    <x v="7"/>
    <n v="7064504"/>
    <n v="-6579"/>
    <n v="101"/>
    <n v="7057925"/>
  </r>
  <r>
    <s v="30Base Allocation (GF-State)"/>
    <x v="1"/>
    <x v="28"/>
    <b v="1"/>
    <x v="28"/>
    <x v="0"/>
    <n v="101"/>
    <s v="011"/>
    <x v="0"/>
    <s v="001011"/>
    <x v="7"/>
    <n v="6766723"/>
    <n v="-8249"/>
    <n v="101"/>
    <n v="6758474"/>
  </r>
  <r>
    <s v="12Base Allocation (GF-State)"/>
    <x v="1"/>
    <x v="29"/>
    <b v="1"/>
    <x v="29"/>
    <x v="0"/>
    <n v="101"/>
    <s v="011"/>
    <x v="0"/>
    <s v="001011"/>
    <x v="7"/>
    <n v="8108264"/>
    <n v="-8692"/>
    <n v="101"/>
    <n v="8099572"/>
  </r>
  <r>
    <s v="14Base Allocation (GF-State)"/>
    <x v="1"/>
    <x v="12"/>
    <b v="1"/>
    <x v="12"/>
    <x v="0"/>
    <n v="101"/>
    <s v="011"/>
    <x v="0"/>
    <s v="001011"/>
    <x v="7"/>
    <n v="21756183"/>
    <n v="-26124"/>
    <n v="101"/>
    <n v="21730059"/>
  </r>
  <r>
    <s v="29Base Allocation (GF-State)"/>
    <x v="1"/>
    <x v="13"/>
    <b v="1"/>
    <x v="13"/>
    <x v="0"/>
    <n v="101"/>
    <s v="011"/>
    <x v="0"/>
    <s v="001011"/>
    <x v="7"/>
    <n v="13517424"/>
    <n v="-10606"/>
    <n v="101"/>
    <n v="13506818"/>
  </r>
  <r>
    <s v="19Base Allocation (GF-State)"/>
    <x v="1"/>
    <x v="2"/>
    <b v="1"/>
    <x v="2"/>
    <x v="0"/>
    <n v="101"/>
    <s v="011"/>
    <x v="0"/>
    <s v="001011"/>
    <x v="7"/>
    <n v="15074670"/>
    <n v="-11667"/>
    <n v="101"/>
    <n v="15063003"/>
  </r>
  <r>
    <s v="23Base Allocation (GF-State)"/>
    <x v="1"/>
    <x v="14"/>
    <b v="1"/>
    <x v="14"/>
    <x v="0"/>
    <n v="101"/>
    <s v="011"/>
    <x v="0"/>
    <s v="001011"/>
    <x v="7"/>
    <n v="17957602"/>
    <n v="-19568"/>
    <n v="101"/>
    <n v="17938034"/>
  </r>
  <r>
    <s v="5Base Allocation (GF-State)"/>
    <x v="1"/>
    <x v="3"/>
    <b v="1"/>
    <x v="3"/>
    <x v="0"/>
    <n v="101"/>
    <s v="011"/>
    <x v="0"/>
    <s v="001011"/>
    <x v="7"/>
    <n v="15570945"/>
    <n v="-20406"/>
    <n v="101"/>
    <n v="15550539"/>
  </r>
  <r>
    <s v="2Base Allocation (GF-State)"/>
    <x v="1"/>
    <x v="30"/>
    <b v="1"/>
    <x v="30"/>
    <x v="0"/>
    <n v="101"/>
    <s v="011"/>
    <x v="0"/>
    <s v="001011"/>
    <x v="7"/>
    <n v="6710290"/>
    <n v="-5685"/>
    <n v="101"/>
    <n v="6704605"/>
  </r>
  <r>
    <s v="10Base Allocation (GF-State)"/>
    <x v="1"/>
    <x v="15"/>
    <b v="1"/>
    <x v="15"/>
    <x v="0"/>
    <n v="101"/>
    <s v="011"/>
    <x v="0"/>
    <s v="001011"/>
    <x v="7"/>
    <n v="18208105"/>
    <n v="-23070"/>
    <n v="101"/>
    <n v="18185035"/>
  </r>
  <r>
    <s v="9Base Allocation (GF-State)"/>
    <x v="1"/>
    <x v="16"/>
    <b v="1"/>
    <x v="16"/>
    <x v="0"/>
    <n v="101"/>
    <s v="011"/>
    <x v="0"/>
    <s v="001011"/>
    <x v="7"/>
    <n v="17568490"/>
    <n v="-16242"/>
    <n v="101"/>
    <n v="17552248"/>
  </r>
  <r>
    <s v="26Base Allocation (GF-State)"/>
    <x v="1"/>
    <x v="17"/>
    <b v="1"/>
    <x v="17"/>
    <x v="0"/>
    <n v="101"/>
    <s v="011"/>
    <x v="0"/>
    <s v="001011"/>
    <x v="7"/>
    <n v="9976689"/>
    <n v="-9298"/>
    <n v="101"/>
    <n v="9967391"/>
  </r>
  <r>
    <s v="13Base Allocation (GF-State)"/>
    <x v="1"/>
    <x v="26"/>
    <b v="1"/>
    <x v="26"/>
    <x v="0"/>
    <n v="101"/>
    <s v="011"/>
    <x v="0"/>
    <s v="001011"/>
    <x v="7"/>
    <n v="9816534"/>
    <n v="-8481"/>
    <n v="101"/>
    <n v="9808053"/>
  </r>
  <r>
    <s v="3Base Allocation (GF-State)"/>
    <x v="1"/>
    <x v="18"/>
    <b v="1"/>
    <x v="18"/>
    <x v="0"/>
    <n v="101"/>
    <s v="011"/>
    <x v="0"/>
    <s v="001011"/>
    <x v="7"/>
    <n v="14397274"/>
    <n v="-15201"/>
    <n v="101"/>
    <n v="14382073"/>
  </r>
  <r>
    <s v="1Base Allocation (GF-State)"/>
    <x v="1"/>
    <x v="19"/>
    <b v="1"/>
    <x v="19"/>
    <x v="0"/>
    <n v="101"/>
    <s v="011"/>
    <x v="0"/>
    <s v="001011"/>
    <x v="7"/>
    <n v="7676952"/>
    <n v="-7524"/>
    <n v="101"/>
    <n v="7669428"/>
  </r>
  <r>
    <s v="11Base Allocation (GF-State)"/>
    <x v="1"/>
    <x v="31"/>
    <b v="1"/>
    <x v="31"/>
    <x v="0"/>
    <n v="101"/>
    <s v="011"/>
    <x v="0"/>
    <s v="001011"/>
    <x v="7"/>
    <n v="18291036"/>
    <n v="-18569"/>
    <n v="101"/>
    <n v="18272467"/>
  </r>
  <r>
    <s v="27Base Allocation (GF-State)"/>
    <x v="1"/>
    <x v="5"/>
    <b v="1"/>
    <x v="5"/>
    <x v="0"/>
    <n v="101"/>
    <s v="011"/>
    <x v="0"/>
    <s v="001011"/>
    <x v="7"/>
    <n v="11733212"/>
    <n v="-9228"/>
    <n v="101"/>
    <n v="11723984"/>
  </r>
  <r>
    <s v="89Base Allocation (GF-State)"/>
    <x v="1"/>
    <x v="6"/>
    <b v="1"/>
    <x v="6"/>
    <x v="0"/>
    <s v="011"/>
    <s v="011"/>
    <x v="0"/>
    <s v="001011"/>
    <x v="7"/>
    <n v="14365953"/>
    <n v="1141270"/>
    <n v="101"/>
    <n v="15507223"/>
  </r>
  <r>
    <s v="6Base Allocation (GF-State)"/>
    <x v="1"/>
    <x v="7"/>
    <b v="1"/>
    <x v="7"/>
    <x v="0"/>
    <n v="101"/>
    <s v="011"/>
    <x v="0"/>
    <s v="001011"/>
    <x v="7"/>
    <n v="52015138"/>
    <n v="-54231"/>
    <n v="101"/>
    <n v="51960907"/>
  </r>
  <r>
    <s v="7Base Allocation (GF-State)"/>
    <x v="1"/>
    <x v="20"/>
    <b v="1"/>
    <x v="20"/>
    <x v="0"/>
    <n v="101"/>
    <s v="011"/>
    <x v="0"/>
    <s v="001011"/>
    <x v="7"/>
    <n v="16531435"/>
    <n v="-16601"/>
    <n v="101"/>
    <n v="16514834"/>
  </r>
  <r>
    <s v="4Base Allocation (GF-State)"/>
    <x v="1"/>
    <x v="21"/>
    <b v="1"/>
    <x v="21"/>
    <x v="0"/>
    <n v="101"/>
    <s v="011"/>
    <x v="0"/>
    <s v="001011"/>
    <x v="7"/>
    <n v="13141325"/>
    <n v="-11964"/>
    <n v="101"/>
    <n v="13129361"/>
  </r>
  <r>
    <s v="24Base Allocation (GF-State)"/>
    <x v="1"/>
    <x v="22"/>
    <b v="1"/>
    <x v="22"/>
    <x v="0"/>
    <n v="101"/>
    <s v="011"/>
    <x v="0"/>
    <s v="001011"/>
    <x v="7"/>
    <n v="12370431"/>
    <n v="-14293"/>
    <n v="101"/>
    <n v="12356138"/>
  </r>
  <r>
    <s v="17Base Allocation (GF-State)"/>
    <x v="1"/>
    <x v="8"/>
    <b v="1"/>
    <x v="8"/>
    <x v="0"/>
    <n v="101"/>
    <s v="011"/>
    <x v="0"/>
    <s v="001011"/>
    <x v="7"/>
    <n v="43877804"/>
    <n v="-43975"/>
    <n v="101"/>
    <n v="43833829"/>
  </r>
  <r>
    <s v="22Base Allocation (GF-State)"/>
    <x v="1"/>
    <x v="23"/>
    <b v="1"/>
    <x v="23"/>
    <x v="0"/>
    <n v="101"/>
    <s v="011"/>
    <x v="0"/>
    <s v="001011"/>
    <x v="7"/>
    <n v="14904264"/>
    <n v="-18976"/>
    <n v="101"/>
    <n v="14885288"/>
  </r>
  <r>
    <s v="20Base Allocation (GF-State)"/>
    <x v="1"/>
    <x v="25"/>
    <b v="1"/>
    <x v="25"/>
    <x v="0"/>
    <n v="101"/>
    <s v="011"/>
    <x v="0"/>
    <s v="001011"/>
    <x v="7"/>
    <n v="11263377"/>
    <n v="-11202"/>
    <n v="101"/>
    <n v="11252175"/>
  </r>
  <r>
    <s v="15Base Allocation (GF-State)"/>
    <x v="1"/>
    <x v="24"/>
    <b v="1"/>
    <x v="24"/>
    <x v="0"/>
    <n v="101"/>
    <s v="011"/>
    <x v="0"/>
    <s v="001011"/>
    <x v="7"/>
    <n v="8858595"/>
    <n v="-8881"/>
    <n v="101"/>
    <n v="8849714"/>
  </r>
  <r>
    <s v="21Base Allocation (GF-State)"/>
    <x v="1"/>
    <x v="32"/>
    <b v="1"/>
    <x v="32"/>
    <x v="0"/>
    <n v="101"/>
    <s v="011"/>
    <x v="0"/>
    <s v="001011"/>
    <x v="7"/>
    <n v="8662236"/>
    <n v="-10051"/>
    <n v="101"/>
    <n v="8652185"/>
  </r>
  <r>
    <s v="16Base Allocation (GF-State)"/>
    <x v="1"/>
    <x v="9"/>
    <b v="1"/>
    <x v="9"/>
    <x v="0"/>
    <n v="101"/>
    <s v="011"/>
    <x v="0"/>
    <s v="001011"/>
    <x v="7"/>
    <n v="13841466"/>
    <n v="-12062"/>
    <n v="101"/>
    <n v="13829404"/>
  </r>
  <r>
    <s v="28Basic Skills Enhancement"/>
    <x v="1"/>
    <x v="1"/>
    <b v="1"/>
    <x v="1"/>
    <x v="2"/>
    <s v="3E0"/>
    <s v="3E0"/>
    <x v="3"/>
    <s v="08A3E0"/>
    <x v="8"/>
    <n v="52134"/>
    <n v="-52134"/>
    <s v="3E0"/>
    <n v="0"/>
  </r>
  <r>
    <s v="8Basic Skills Enhancement"/>
    <x v="1"/>
    <x v="27"/>
    <b v="1"/>
    <x v="27"/>
    <x v="2"/>
    <s v="3E0"/>
    <s v="3E0"/>
    <x v="3"/>
    <s v="08A3E0"/>
    <x v="8"/>
    <n v="86890"/>
    <n v="-86890"/>
    <s v="3E0"/>
    <n v="0"/>
  </r>
  <r>
    <s v="25Basic Skills Enhancement"/>
    <x v="1"/>
    <x v="10"/>
    <b v="1"/>
    <x v="10"/>
    <x v="2"/>
    <s v="3E0"/>
    <s v="3E0"/>
    <x v="3"/>
    <s v="08A3E0"/>
    <x v="8"/>
    <n v="15225"/>
    <n v="-15225"/>
    <s v="3E0"/>
    <n v="0"/>
  </r>
  <r>
    <s v="18Basic Skills Enhancement"/>
    <x v="1"/>
    <x v="11"/>
    <b v="1"/>
    <x v="11"/>
    <x v="2"/>
    <s v="3E0"/>
    <s v="3E0"/>
    <x v="3"/>
    <s v="08A3E0"/>
    <x v="8"/>
    <n v="26671"/>
    <n v="-26671"/>
    <s v="3E0"/>
    <n v="0"/>
  </r>
  <r>
    <s v="30Basic Skills Enhancement"/>
    <x v="1"/>
    <x v="28"/>
    <b v="1"/>
    <x v="28"/>
    <x v="2"/>
    <s v="3E0"/>
    <s v="3E0"/>
    <x v="3"/>
    <s v="08A3E0"/>
    <x v="8"/>
    <n v="30451"/>
    <n v="-30451"/>
    <s v="3E0"/>
    <n v="0"/>
  </r>
  <r>
    <s v="12Basic Skills Enhancement"/>
    <x v="1"/>
    <x v="29"/>
    <b v="1"/>
    <x v="29"/>
    <x v="2"/>
    <s v="3E0"/>
    <s v="3E0"/>
    <x v="3"/>
    <s v="08A3E0"/>
    <x v="8"/>
    <n v="56544"/>
    <n v="-56544"/>
    <s v="3E0"/>
    <n v="0"/>
  </r>
  <r>
    <s v="14Basic Skills Enhancement"/>
    <x v="1"/>
    <x v="12"/>
    <b v="1"/>
    <x v="12"/>
    <x v="2"/>
    <s v="3E0"/>
    <s v="3E0"/>
    <x v="3"/>
    <s v="08A3E0"/>
    <x v="8"/>
    <n v="130256"/>
    <n v="-130256"/>
    <s v="3E0"/>
    <n v="0"/>
  </r>
  <r>
    <s v="29Basic Skills Enhancement"/>
    <x v="1"/>
    <x v="13"/>
    <b v="1"/>
    <x v="13"/>
    <x v="2"/>
    <s v="3E0"/>
    <s v="3E0"/>
    <x v="3"/>
    <s v="08A3E0"/>
    <x v="8"/>
    <n v="46936"/>
    <n v="-46936"/>
    <s v="3E0"/>
    <n v="0"/>
  </r>
  <r>
    <s v="19Basic Skills Enhancement"/>
    <x v="1"/>
    <x v="2"/>
    <b v="1"/>
    <x v="2"/>
    <x v="2"/>
    <s v="3E0"/>
    <s v="3E0"/>
    <x v="3"/>
    <s v="08A3E0"/>
    <x v="8"/>
    <n v="107050"/>
    <n v="-107050"/>
    <s v="3E0"/>
    <n v="0"/>
  </r>
  <r>
    <s v="23Basic Skills Enhancement"/>
    <x v="1"/>
    <x v="14"/>
    <b v="1"/>
    <x v="14"/>
    <x v="2"/>
    <s v="3E0"/>
    <s v="3E0"/>
    <x v="3"/>
    <s v="08A3E0"/>
    <x v="8"/>
    <n v="132776"/>
    <n v="-132776"/>
    <s v="3E0"/>
    <n v="0"/>
  </r>
  <r>
    <s v="5Basic Skills Enhancement"/>
    <x v="1"/>
    <x v="3"/>
    <b v="1"/>
    <x v="3"/>
    <x v="2"/>
    <s v="3E0"/>
    <s v="3E0"/>
    <x v="3"/>
    <s v="08A3E0"/>
    <x v="8"/>
    <n v="104320"/>
    <n v="-104320"/>
    <s v="3E0"/>
    <n v="0"/>
  </r>
  <r>
    <s v="2Basic Skills Enhancement"/>
    <x v="1"/>
    <x v="30"/>
    <b v="1"/>
    <x v="30"/>
    <x v="2"/>
    <s v="3E0"/>
    <s v="3E0"/>
    <x v="3"/>
    <s v="08A3E0"/>
    <x v="8"/>
    <n v="50086"/>
    <n v="-50086"/>
    <s v="3E0"/>
    <n v="0"/>
  </r>
  <r>
    <s v="10Basic Skills Enhancement"/>
    <x v="1"/>
    <x v="15"/>
    <b v="1"/>
    <x v="15"/>
    <x v="2"/>
    <s v="3E0"/>
    <s v="3E0"/>
    <x v="3"/>
    <s v="08A3E0"/>
    <x v="8"/>
    <n v="130676"/>
    <n v="-130676"/>
    <s v="3E0"/>
    <n v="0"/>
  </r>
  <r>
    <s v="9Basic Skills Enhancement"/>
    <x v="1"/>
    <x v="16"/>
    <b v="1"/>
    <x v="16"/>
    <x v="2"/>
    <s v="3E0"/>
    <s v="3E0"/>
    <x v="3"/>
    <s v="08A3E0"/>
    <x v="8"/>
    <n v="321833"/>
    <n v="-321833"/>
    <s v="3E0"/>
    <n v="0"/>
  </r>
  <r>
    <s v="26Basic Skills Enhancement"/>
    <x v="1"/>
    <x v="17"/>
    <b v="1"/>
    <x v="17"/>
    <x v="2"/>
    <s v="3E0"/>
    <s v="3E0"/>
    <x v="3"/>
    <s v="08A3E0"/>
    <x v="8"/>
    <n v="85262"/>
    <n v="-85262"/>
    <s v="3E0"/>
    <n v="0"/>
  </r>
  <r>
    <s v="3Basic Skills Enhancement"/>
    <x v="1"/>
    <x v="18"/>
    <b v="1"/>
    <x v="18"/>
    <x v="2"/>
    <s v="3E0"/>
    <s v="3E0"/>
    <x v="3"/>
    <s v="08A3E0"/>
    <x v="8"/>
    <n v="36856"/>
    <n v="-36856"/>
    <s v="3E0"/>
    <n v="0"/>
  </r>
  <r>
    <s v="1Basic Skills Enhancement"/>
    <x v="1"/>
    <x v="19"/>
    <b v="1"/>
    <x v="19"/>
    <x v="2"/>
    <s v="3E0"/>
    <s v="3E0"/>
    <x v="3"/>
    <s v="08A3E0"/>
    <x v="8"/>
    <n v="37591"/>
    <n v="-37591"/>
    <s v="3E0"/>
    <n v="0"/>
  </r>
  <r>
    <s v="11Basic Skills Enhancement"/>
    <x v="1"/>
    <x v="31"/>
    <b v="1"/>
    <x v="31"/>
    <x v="2"/>
    <s v="3E0"/>
    <s v="3E0"/>
    <x v="3"/>
    <s v="08A3E0"/>
    <x v="8"/>
    <n v="114033"/>
    <n v="-114033"/>
    <s v="3E0"/>
    <n v="0"/>
  </r>
  <r>
    <s v="27Basic Skills Enhancement"/>
    <x v="1"/>
    <x v="5"/>
    <b v="1"/>
    <x v="5"/>
    <x v="2"/>
    <s v="3E0"/>
    <s v="3E0"/>
    <x v="3"/>
    <s v="08A3E0"/>
    <x v="8"/>
    <n v="202970"/>
    <n v="-202970"/>
    <s v="3E0"/>
    <n v="0"/>
  </r>
  <r>
    <s v="6Basic Skills Enhancement"/>
    <x v="1"/>
    <x v="7"/>
    <b v="1"/>
    <x v="7"/>
    <x v="0"/>
    <n v="101"/>
    <s v="011"/>
    <x v="0"/>
    <s v="001011"/>
    <x v="8"/>
    <n v="375632"/>
    <n v="-375632"/>
    <n v="101"/>
    <n v="0"/>
  </r>
  <r>
    <s v="4Basic Skills Enhancement"/>
    <x v="1"/>
    <x v="21"/>
    <b v="1"/>
    <x v="21"/>
    <x v="2"/>
    <s v="3E0"/>
    <s v="3E0"/>
    <x v="3"/>
    <s v="08A3E0"/>
    <x v="8"/>
    <n v="67622"/>
    <n v="-67622"/>
    <s v="3E0"/>
    <n v="0"/>
  </r>
  <r>
    <s v="24Basic Skills Enhancement"/>
    <x v="1"/>
    <x v="22"/>
    <b v="1"/>
    <x v="22"/>
    <x v="2"/>
    <s v="3E0"/>
    <s v="3E0"/>
    <x v="3"/>
    <s v="08A3E0"/>
    <x v="8"/>
    <n v="34703"/>
    <n v="-34703"/>
    <s v="3E0"/>
    <n v="0"/>
  </r>
  <r>
    <s v="00Basic Skills Enhancement (GFS)"/>
    <x v="1"/>
    <x v="4"/>
    <b v="1"/>
    <x v="4"/>
    <x v="0"/>
    <s v="011"/>
    <s v="011"/>
    <x v="0"/>
    <s v="001011"/>
    <x v="9"/>
    <n v="0"/>
    <n v="1469574"/>
    <n v="101"/>
    <n v="1469574"/>
  </r>
  <r>
    <s v="00Basic Skills Enhancement (ELTA)"/>
    <x v="1"/>
    <x v="4"/>
    <b v="1"/>
    <x v="4"/>
    <x v="2"/>
    <s v="3E0"/>
    <s v="3E0"/>
    <x v="3"/>
    <s v="08A3E0"/>
    <x v="10"/>
    <n v="0"/>
    <n v="2000000"/>
    <s v="3E0"/>
    <n v="2000000"/>
  </r>
  <r>
    <s v="13Basic Skills Enhancement "/>
    <x v="1"/>
    <x v="26"/>
    <b v="1"/>
    <x v="26"/>
    <x v="2"/>
    <s v="3E0"/>
    <s v="3E0"/>
    <x v="3"/>
    <s v="08A3E0"/>
    <x v="11"/>
    <n v="110200"/>
    <n v="-110200"/>
    <s v="3E0"/>
    <n v="0"/>
  </r>
  <r>
    <s v="90Basic Skills Enhancement "/>
    <x v="1"/>
    <x v="0"/>
    <b v="1"/>
    <x v="0"/>
    <x v="0"/>
    <s v="011"/>
    <s v="011"/>
    <x v="0"/>
    <s v="001011"/>
    <x v="11"/>
    <n v="396777"/>
    <n v="-396777"/>
    <n v="101"/>
    <n v="0"/>
  </r>
  <r>
    <s v="6Basic Skills Enhancement "/>
    <x v="1"/>
    <x v="7"/>
    <b v="1"/>
    <x v="7"/>
    <x v="2"/>
    <s v="3E0"/>
    <s v="3E0"/>
    <x v="3"/>
    <s v="08A3E0"/>
    <x v="11"/>
    <n v="18915"/>
    <n v="-18915"/>
    <s v="3E0"/>
    <n v="0"/>
  </r>
  <r>
    <s v="7Basic Skills Enhancement "/>
    <x v="1"/>
    <x v="20"/>
    <b v="1"/>
    <x v="20"/>
    <x v="0"/>
    <n v="101"/>
    <s v="011"/>
    <x v="0"/>
    <s v="001011"/>
    <x v="11"/>
    <n v="85367"/>
    <n v="-85367"/>
    <n v="101"/>
    <n v="0"/>
  </r>
  <r>
    <s v="17Basic Skills Enhancement "/>
    <x v="1"/>
    <x v="8"/>
    <b v="1"/>
    <x v="8"/>
    <x v="0"/>
    <n v="101"/>
    <s v="011"/>
    <x v="0"/>
    <s v="001011"/>
    <x v="11"/>
    <n v="290700"/>
    <n v="-290700"/>
    <n v="101"/>
    <n v="0"/>
  </r>
  <r>
    <s v="22Basic Skills Enhancement "/>
    <x v="1"/>
    <x v="23"/>
    <b v="1"/>
    <x v="23"/>
    <x v="0"/>
    <n v="101"/>
    <s v="011"/>
    <x v="0"/>
    <s v="001011"/>
    <x v="11"/>
    <n v="61374"/>
    <n v="-61374"/>
    <n v="101"/>
    <n v="0"/>
  </r>
  <r>
    <s v="20Basic Skills Enhancement "/>
    <x v="1"/>
    <x v="25"/>
    <b v="1"/>
    <x v="25"/>
    <x v="0"/>
    <n v="101"/>
    <s v="011"/>
    <x v="0"/>
    <s v="001011"/>
    <x v="11"/>
    <n v="60219"/>
    <n v="-60219"/>
    <n v="101"/>
    <n v="0"/>
  </r>
  <r>
    <s v="15Basic Skills Enhancement "/>
    <x v="1"/>
    <x v="24"/>
    <b v="1"/>
    <x v="24"/>
    <x v="0"/>
    <n v="101"/>
    <s v="011"/>
    <x v="0"/>
    <s v="001011"/>
    <x v="11"/>
    <n v="41214"/>
    <n v="-41214"/>
    <n v="101"/>
    <n v="0"/>
  </r>
  <r>
    <s v="21Basic Skills Enhancement "/>
    <x v="1"/>
    <x v="32"/>
    <b v="1"/>
    <x v="32"/>
    <x v="0"/>
    <n v="101"/>
    <s v="011"/>
    <x v="0"/>
    <s v="001011"/>
    <x v="11"/>
    <n v="32603"/>
    <n v="-32603"/>
    <n v="101"/>
    <n v="0"/>
  </r>
  <r>
    <s v="16Basic Skills Enhancement "/>
    <x v="1"/>
    <x v="9"/>
    <b v="1"/>
    <x v="9"/>
    <x v="0"/>
    <n v="101"/>
    <s v="011"/>
    <x v="0"/>
    <s v="001011"/>
    <x v="11"/>
    <n v="125688"/>
    <n v="-125688"/>
    <n v="101"/>
    <n v="0"/>
  </r>
  <r>
    <s v="28Bates Rebasing Phase One"/>
    <x v="1"/>
    <x v="1"/>
    <b v="1"/>
    <x v="1"/>
    <x v="0"/>
    <n v="101"/>
    <s v="011"/>
    <x v="0"/>
    <s v="001011"/>
    <x v="12"/>
    <n v="-656328"/>
    <n v="0"/>
    <n v="101"/>
    <n v="-656328"/>
  </r>
  <r>
    <s v="00Bates Rebasing Phase One"/>
    <x v="1"/>
    <x v="4"/>
    <b v="1"/>
    <x v="4"/>
    <x v="0"/>
    <n v="101"/>
    <s v="011"/>
    <x v="0"/>
    <s v="001011"/>
    <x v="12"/>
    <n v="656328"/>
    <n v="0"/>
    <n v="101"/>
    <n v="656328"/>
  </r>
  <r>
    <s v="8Bellevue 4-Year Degree Prog"/>
    <x v="1"/>
    <x v="27"/>
    <b v="1"/>
    <x v="27"/>
    <x v="0"/>
    <s v="BQ1"/>
    <s v="BQ1"/>
    <x v="4"/>
    <s v="001BQ1"/>
    <x v="13"/>
    <n v="0"/>
    <n v="750000"/>
    <s v="BQ1"/>
    <n v="750000"/>
  </r>
  <r>
    <s v="8Centers of Excellence"/>
    <x v="1"/>
    <x v="27"/>
    <b v="1"/>
    <x v="27"/>
    <x v="0"/>
    <n v="101"/>
    <s v="011"/>
    <x v="0"/>
    <s v="001011"/>
    <x v="14"/>
    <n v="204157"/>
    <m/>
    <n v="101"/>
    <n v="204157"/>
  </r>
  <r>
    <s v="12Centers of Excellence"/>
    <x v="1"/>
    <x v="29"/>
    <b v="1"/>
    <x v="29"/>
    <x v="0"/>
    <n v="101"/>
    <s v="011"/>
    <x v="0"/>
    <s v="001011"/>
    <x v="14"/>
    <n v="204157"/>
    <m/>
    <n v="101"/>
    <n v="204157"/>
  </r>
  <r>
    <s v="5Centers of Excellence"/>
    <x v="1"/>
    <x v="3"/>
    <b v="1"/>
    <x v="3"/>
    <x v="0"/>
    <n v="101"/>
    <s v="011"/>
    <x v="0"/>
    <s v="001011"/>
    <x v="14"/>
    <n v="204157"/>
    <m/>
    <n v="101"/>
    <n v="204157"/>
  </r>
  <r>
    <s v="10Centers of Excellence"/>
    <x v="1"/>
    <x v="15"/>
    <b v="1"/>
    <x v="15"/>
    <x v="0"/>
    <n v="101"/>
    <s v="011"/>
    <x v="0"/>
    <s v="001011"/>
    <x v="14"/>
    <n v="204157"/>
    <m/>
    <n v="101"/>
    <n v="204157"/>
  </r>
  <r>
    <s v="9Centers of Excellence"/>
    <x v="1"/>
    <x v="16"/>
    <b v="1"/>
    <x v="16"/>
    <x v="0"/>
    <n v="101"/>
    <s v="011"/>
    <x v="0"/>
    <s v="001011"/>
    <x v="14"/>
    <n v="204157"/>
    <m/>
    <n v="101"/>
    <n v="204157"/>
  </r>
  <r>
    <s v="11Centers of Excellence"/>
    <x v="1"/>
    <x v="31"/>
    <b v="1"/>
    <x v="31"/>
    <x v="0"/>
    <n v="101"/>
    <s v="011"/>
    <x v="0"/>
    <s v="001011"/>
    <x v="14"/>
    <n v="204157"/>
    <m/>
    <n v="101"/>
    <n v="204157"/>
  </r>
  <r>
    <s v="27Centers of Excellence"/>
    <x v="1"/>
    <x v="5"/>
    <b v="1"/>
    <x v="5"/>
    <x v="0"/>
    <n v="101"/>
    <s v="011"/>
    <x v="0"/>
    <s v="001011"/>
    <x v="14"/>
    <n v="204157"/>
    <m/>
    <n v="101"/>
    <n v="204157"/>
  </r>
  <r>
    <s v="4Centers of Excellence"/>
    <x v="1"/>
    <x v="21"/>
    <b v="1"/>
    <x v="21"/>
    <x v="0"/>
    <n v="101"/>
    <s v="011"/>
    <x v="0"/>
    <s v="001011"/>
    <x v="14"/>
    <n v="204157"/>
    <m/>
    <n v="101"/>
    <n v="204157"/>
  </r>
  <r>
    <s v="20Centers of Excellence"/>
    <x v="1"/>
    <x v="25"/>
    <b v="1"/>
    <x v="25"/>
    <x v="0"/>
    <n v="101"/>
    <s v="011"/>
    <x v="0"/>
    <s v="001011"/>
    <x v="14"/>
    <n v="204157"/>
    <m/>
    <n v="101"/>
    <n v="204157"/>
  </r>
  <r>
    <s v="16Centers of Excellence"/>
    <x v="1"/>
    <x v="9"/>
    <b v="1"/>
    <x v="9"/>
    <x v="0"/>
    <n v="101"/>
    <s v="011"/>
    <x v="0"/>
    <s v="001011"/>
    <x v="14"/>
    <n v="204157"/>
    <m/>
    <n v="101"/>
    <n v="204157"/>
  </r>
  <r>
    <s v="5COE for Aerospace"/>
    <x v="1"/>
    <x v="3"/>
    <b v="1"/>
    <x v="3"/>
    <x v="0"/>
    <s v="BA1"/>
    <s v="BA1"/>
    <x v="5"/>
    <s v="001BA1"/>
    <x v="15"/>
    <n v="100000"/>
    <m/>
    <s v="BA1"/>
    <n v="100000"/>
  </r>
  <r>
    <s v="00College Affordability Program (Tuition reduction)"/>
    <x v="1"/>
    <x v="4"/>
    <b v="1"/>
    <x v="4"/>
    <x v="0"/>
    <s v="BG1"/>
    <s v="BG1"/>
    <x v="6"/>
    <s v="001BG1"/>
    <x v="16"/>
    <n v="0"/>
    <n v="16672000"/>
    <s v="BG1"/>
    <n v="16672000"/>
  </r>
  <r>
    <s v="28Compensation Tuition Backfill - State Support (CS1)"/>
    <x v="1"/>
    <x v="1"/>
    <b v="1"/>
    <x v="1"/>
    <x v="0"/>
    <n v="101"/>
    <s v="011"/>
    <x v="0"/>
    <s v="001011"/>
    <x v="17"/>
    <m/>
    <n v="52685"/>
    <n v="101"/>
    <n v="52685"/>
  </r>
  <r>
    <s v="8Compensation Tuition Backfill - State Support (CS1)"/>
    <x v="1"/>
    <x v="27"/>
    <b v="1"/>
    <x v="27"/>
    <x v="0"/>
    <n v="101"/>
    <s v="011"/>
    <x v="0"/>
    <s v="001011"/>
    <x v="17"/>
    <m/>
    <n v="178131"/>
    <n v="101"/>
    <n v="178131"/>
  </r>
  <r>
    <s v="25Compensation Tuition Backfill - State Support (CS1)"/>
    <x v="1"/>
    <x v="10"/>
    <b v="1"/>
    <x v="10"/>
    <x v="0"/>
    <n v="101"/>
    <s v="011"/>
    <x v="0"/>
    <s v="001011"/>
    <x v="17"/>
    <m/>
    <n v="42126"/>
    <n v="101"/>
    <n v="42126"/>
  </r>
  <r>
    <s v="18Compensation Tuition Backfill - State Support (CS1)"/>
    <x v="1"/>
    <x v="11"/>
    <b v="1"/>
    <x v="11"/>
    <x v="0"/>
    <n v="101"/>
    <s v="011"/>
    <x v="0"/>
    <s v="001011"/>
    <x v="17"/>
    <m/>
    <n v="45725"/>
    <n v="101"/>
    <n v="45725"/>
  </r>
  <r>
    <s v="30Compensation Tuition Backfill - State Support (CS1)"/>
    <x v="1"/>
    <x v="28"/>
    <b v="1"/>
    <x v="28"/>
    <x v="0"/>
    <n v="101"/>
    <s v="011"/>
    <x v="0"/>
    <s v="001011"/>
    <x v="17"/>
    <m/>
    <n v="45175"/>
    <n v="101"/>
    <n v="45175"/>
  </r>
  <r>
    <s v="12Compensation Tuition Backfill - State Support (CS1)"/>
    <x v="1"/>
    <x v="29"/>
    <b v="1"/>
    <x v="29"/>
    <x v="0"/>
    <n v="101"/>
    <s v="011"/>
    <x v="0"/>
    <s v="001011"/>
    <x v="17"/>
    <m/>
    <n v="56694"/>
    <n v="101"/>
    <n v="56694"/>
  </r>
  <r>
    <s v="14Compensation Tuition Backfill - State Support (CS1)"/>
    <x v="1"/>
    <x v="12"/>
    <b v="1"/>
    <x v="12"/>
    <x v="0"/>
    <n v="101"/>
    <s v="011"/>
    <x v="0"/>
    <s v="001011"/>
    <x v="17"/>
    <m/>
    <n v="182624"/>
    <n v="101"/>
    <n v="182624"/>
  </r>
  <r>
    <s v="29Compensation Tuition Backfill - State Support (CS1)"/>
    <x v="1"/>
    <x v="13"/>
    <b v="1"/>
    <x v="13"/>
    <x v="0"/>
    <n v="101"/>
    <s v="011"/>
    <x v="0"/>
    <s v="001011"/>
    <x v="17"/>
    <m/>
    <n v="59542"/>
    <n v="101"/>
    <n v="59542"/>
  </r>
  <r>
    <s v="19Compensation Tuition Backfill - State Support (CS1)"/>
    <x v="1"/>
    <x v="2"/>
    <b v="1"/>
    <x v="2"/>
    <x v="0"/>
    <n v="101"/>
    <s v="011"/>
    <x v="0"/>
    <s v="001011"/>
    <x v="17"/>
    <m/>
    <n v="88082"/>
    <n v="101"/>
    <n v="88082"/>
  </r>
  <r>
    <s v="23Compensation Tuition Backfill - State Support (CS1)"/>
    <x v="1"/>
    <x v="14"/>
    <b v="1"/>
    <x v="14"/>
    <x v="0"/>
    <n v="101"/>
    <s v="011"/>
    <x v="0"/>
    <s v="001011"/>
    <x v="17"/>
    <m/>
    <n v="151028"/>
    <n v="101"/>
    <n v="151028"/>
  </r>
  <r>
    <s v="5Compensation Tuition Backfill - State Support (CS1)"/>
    <x v="1"/>
    <x v="3"/>
    <b v="1"/>
    <x v="3"/>
    <x v="0"/>
    <n v="101"/>
    <s v="011"/>
    <x v="0"/>
    <s v="001011"/>
    <x v="17"/>
    <m/>
    <n v="132713"/>
    <n v="101"/>
    <n v="132713"/>
  </r>
  <r>
    <s v="2Compensation Tuition Backfill - State Support (CS1)"/>
    <x v="1"/>
    <x v="30"/>
    <b v="1"/>
    <x v="30"/>
    <x v="0"/>
    <n v="101"/>
    <s v="011"/>
    <x v="0"/>
    <s v="001011"/>
    <x v="17"/>
    <m/>
    <n v="44305"/>
    <n v="101"/>
    <n v="44305"/>
  </r>
  <r>
    <s v="10Compensation Tuition Backfill - State Support (CS1)"/>
    <x v="1"/>
    <x v="15"/>
    <b v="1"/>
    <x v="15"/>
    <x v="0"/>
    <n v="101"/>
    <s v="011"/>
    <x v="0"/>
    <s v="001011"/>
    <x v="17"/>
    <m/>
    <n v="148440"/>
    <n v="101"/>
    <n v="148440"/>
  </r>
  <r>
    <s v="9Compensation Tuition Backfill - State Support (CS1)"/>
    <x v="1"/>
    <x v="16"/>
    <b v="1"/>
    <x v="16"/>
    <x v="0"/>
    <n v="101"/>
    <s v="011"/>
    <x v="0"/>
    <s v="001011"/>
    <x v="17"/>
    <m/>
    <n v="127728"/>
    <n v="101"/>
    <n v="127728"/>
  </r>
  <r>
    <s v="26Compensation Tuition Backfill - State Support (CS1)"/>
    <x v="1"/>
    <x v="17"/>
    <b v="1"/>
    <x v="17"/>
    <x v="0"/>
    <n v="101"/>
    <s v="011"/>
    <x v="0"/>
    <s v="001011"/>
    <x v="17"/>
    <m/>
    <n v="50771"/>
    <n v="101"/>
    <n v="50771"/>
  </r>
  <r>
    <s v="13Compensation Tuition Backfill - State Support (CS1)"/>
    <x v="1"/>
    <x v="26"/>
    <b v="1"/>
    <x v="26"/>
    <x v="0"/>
    <n v="101"/>
    <s v="011"/>
    <x v="0"/>
    <s v="001011"/>
    <x v="17"/>
    <m/>
    <n v="57228"/>
    <n v="101"/>
    <n v="57228"/>
  </r>
  <r>
    <s v="3Compensation Tuition Backfill - State Support (CS1)"/>
    <x v="1"/>
    <x v="18"/>
    <b v="1"/>
    <x v="18"/>
    <x v="0"/>
    <n v="101"/>
    <s v="011"/>
    <x v="0"/>
    <s v="001011"/>
    <x v="17"/>
    <m/>
    <n v="110727"/>
    <n v="101"/>
    <n v="110727"/>
  </r>
  <r>
    <s v="1Compensation Tuition Backfill - State Support (CS1)"/>
    <x v="1"/>
    <x v="19"/>
    <b v="1"/>
    <x v="19"/>
    <x v="0"/>
    <n v="101"/>
    <s v="011"/>
    <x v="0"/>
    <s v="001011"/>
    <x v="17"/>
    <m/>
    <n v="52281"/>
    <n v="101"/>
    <n v="52281"/>
  </r>
  <r>
    <s v="11Compensation Tuition Backfill - State Support (CS1)"/>
    <x v="1"/>
    <x v="31"/>
    <b v="1"/>
    <x v="31"/>
    <x v="0"/>
    <n v="101"/>
    <s v="011"/>
    <x v="0"/>
    <s v="001011"/>
    <x v="17"/>
    <m/>
    <n v="144611"/>
    <n v="101"/>
    <n v="144611"/>
  </r>
  <r>
    <s v="27Compensation Tuition Backfill - State Support (CS1)"/>
    <x v="1"/>
    <x v="5"/>
    <b v="1"/>
    <x v="5"/>
    <x v="0"/>
    <n v="101"/>
    <s v="011"/>
    <x v="0"/>
    <s v="001011"/>
    <x v="17"/>
    <m/>
    <n v="52739"/>
    <n v="101"/>
    <n v="52739"/>
  </r>
  <r>
    <s v="6Compensation Tuition Backfill - State Support (CS1)"/>
    <x v="1"/>
    <x v="7"/>
    <b v="1"/>
    <x v="7"/>
    <x v="0"/>
    <n v="101"/>
    <s v="011"/>
    <x v="0"/>
    <s v="001011"/>
    <x v="17"/>
    <m/>
    <n v="352949"/>
    <n v="101"/>
    <n v="352949"/>
  </r>
  <r>
    <s v="7Compensation Tuition Backfill - State Support (CS1)"/>
    <x v="1"/>
    <x v="20"/>
    <b v="1"/>
    <x v="20"/>
    <x v="0"/>
    <n v="101"/>
    <s v="011"/>
    <x v="0"/>
    <s v="001011"/>
    <x v="17"/>
    <m/>
    <n v="104402"/>
    <n v="101"/>
    <n v="104402"/>
  </r>
  <r>
    <s v="4Compensation Tuition Backfill - State Support (CS1)"/>
    <x v="1"/>
    <x v="21"/>
    <b v="1"/>
    <x v="21"/>
    <x v="0"/>
    <n v="101"/>
    <s v="011"/>
    <x v="0"/>
    <s v="001011"/>
    <x v="17"/>
    <m/>
    <n v="86869"/>
    <n v="101"/>
    <n v="86869"/>
  </r>
  <r>
    <s v="24Compensation Tuition Backfill - State Support (CS1)"/>
    <x v="1"/>
    <x v="22"/>
    <b v="1"/>
    <x v="22"/>
    <x v="0"/>
    <n v="101"/>
    <s v="011"/>
    <x v="0"/>
    <s v="001011"/>
    <x v="17"/>
    <m/>
    <n v="89952"/>
    <n v="101"/>
    <n v="89952"/>
  </r>
  <r>
    <s v="17Compensation Tuition Backfill - State Support (CS1)"/>
    <x v="1"/>
    <x v="8"/>
    <b v="1"/>
    <x v="8"/>
    <x v="0"/>
    <n v="101"/>
    <s v="011"/>
    <x v="0"/>
    <s v="001011"/>
    <x v="17"/>
    <m/>
    <n v="274945"/>
    <n v="101"/>
    <n v="274945"/>
  </r>
  <r>
    <s v="22Compensation Tuition Backfill - State Support (CS1)"/>
    <x v="1"/>
    <x v="23"/>
    <b v="1"/>
    <x v="23"/>
    <x v="0"/>
    <n v="101"/>
    <s v="011"/>
    <x v="0"/>
    <s v="001011"/>
    <x v="17"/>
    <m/>
    <n v="119691"/>
    <n v="101"/>
    <n v="119691"/>
  </r>
  <r>
    <s v="20Compensation Tuition Backfill - State Support (CS1)"/>
    <x v="1"/>
    <x v="25"/>
    <b v="1"/>
    <x v="25"/>
    <x v="0"/>
    <n v="101"/>
    <s v="011"/>
    <x v="0"/>
    <s v="001011"/>
    <x v="17"/>
    <m/>
    <n v="85944"/>
    <n v="101"/>
    <n v="85944"/>
  </r>
  <r>
    <s v="15Compensation Tuition Backfill - State Support (CS1)"/>
    <x v="1"/>
    <x v="24"/>
    <b v="1"/>
    <x v="24"/>
    <x v="0"/>
    <n v="101"/>
    <s v="011"/>
    <x v="0"/>
    <s v="001011"/>
    <x v="17"/>
    <m/>
    <n v="63754"/>
    <n v="101"/>
    <n v="63754"/>
  </r>
  <r>
    <s v="21Compensation Tuition Backfill - State Support (CS1)"/>
    <x v="1"/>
    <x v="32"/>
    <b v="1"/>
    <x v="32"/>
    <x v="0"/>
    <n v="101"/>
    <s v="011"/>
    <x v="0"/>
    <s v="001011"/>
    <x v="17"/>
    <m/>
    <n v="61820"/>
    <n v="101"/>
    <n v="61820"/>
  </r>
  <r>
    <s v="16Compensation Tuition Backfill - State Support (CS1)"/>
    <x v="1"/>
    <x v="9"/>
    <b v="1"/>
    <x v="9"/>
    <x v="0"/>
    <n v="101"/>
    <s v="011"/>
    <x v="0"/>
    <s v="001011"/>
    <x v="17"/>
    <m/>
    <n v="134319"/>
    <n v="101"/>
    <n v="134319"/>
  </r>
  <r>
    <s v="28Disability Accommodations"/>
    <x v="1"/>
    <x v="1"/>
    <b v="1"/>
    <x v="1"/>
    <x v="0"/>
    <n v="101"/>
    <s v="011"/>
    <x v="0"/>
    <s v="001011"/>
    <x v="18"/>
    <n v="73539"/>
    <n v="-57962"/>
    <n v="101"/>
    <n v="15577"/>
  </r>
  <r>
    <s v="8Disability Accommodations"/>
    <x v="1"/>
    <x v="27"/>
    <b v="1"/>
    <x v="27"/>
    <x v="0"/>
    <n v="101"/>
    <s v="011"/>
    <x v="0"/>
    <s v="001011"/>
    <x v="18"/>
    <n v="73160"/>
    <n v="49964"/>
    <n v="101"/>
    <n v="123124"/>
  </r>
  <r>
    <s v="25Disability Accommodations"/>
    <x v="1"/>
    <x v="10"/>
    <b v="1"/>
    <x v="10"/>
    <x v="0"/>
    <n v="101"/>
    <s v="011"/>
    <x v="0"/>
    <s v="001011"/>
    <x v="18"/>
    <n v="41636"/>
    <n v="-883"/>
    <n v="101"/>
    <n v="40753"/>
  </r>
  <r>
    <s v="18Disability Accommodations"/>
    <x v="1"/>
    <x v="11"/>
    <b v="1"/>
    <x v="11"/>
    <x v="0"/>
    <n v="101"/>
    <s v="011"/>
    <x v="0"/>
    <s v="001011"/>
    <x v="18"/>
    <n v="27745"/>
    <n v="-5087"/>
    <n v="101"/>
    <n v="22658"/>
  </r>
  <r>
    <s v="30Disability Accommodations"/>
    <x v="1"/>
    <x v="28"/>
    <b v="1"/>
    <x v="28"/>
    <x v="0"/>
    <n v="101"/>
    <s v="011"/>
    <x v="0"/>
    <s v="001011"/>
    <x v="18"/>
    <n v="26844"/>
    <n v="-3950"/>
    <n v="101"/>
    <n v="22894"/>
  </r>
  <r>
    <s v="12Disability Accommodations"/>
    <x v="1"/>
    <x v="29"/>
    <b v="1"/>
    <x v="29"/>
    <x v="0"/>
    <n v="101"/>
    <s v="011"/>
    <x v="0"/>
    <s v="001011"/>
    <x v="18"/>
    <n v="37792"/>
    <n v="-5693"/>
    <n v="101"/>
    <n v="32099"/>
  </r>
  <r>
    <s v="14Disability Accommodations"/>
    <x v="1"/>
    <x v="12"/>
    <b v="1"/>
    <x v="12"/>
    <x v="0"/>
    <n v="101"/>
    <s v="011"/>
    <x v="0"/>
    <s v="001011"/>
    <x v="18"/>
    <n v="67087"/>
    <n v="34244"/>
    <n v="101"/>
    <n v="101331"/>
  </r>
  <r>
    <s v="29Disability Accommodations"/>
    <x v="1"/>
    <x v="13"/>
    <b v="1"/>
    <x v="13"/>
    <x v="0"/>
    <n v="101"/>
    <s v="011"/>
    <x v="0"/>
    <s v="001011"/>
    <x v="18"/>
    <n v="42793"/>
    <n v="-7783"/>
    <n v="101"/>
    <n v="35010"/>
  </r>
  <r>
    <s v="19Disability Accommodations"/>
    <x v="1"/>
    <x v="2"/>
    <b v="1"/>
    <x v="2"/>
    <x v="0"/>
    <n v="101"/>
    <s v="011"/>
    <x v="0"/>
    <s v="001011"/>
    <x v="18"/>
    <n v="69260"/>
    <n v="-12143"/>
    <n v="101"/>
    <n v="57117"/>
  </r>
  <r>
    <s v="23Disability Accommodations"/>
    <x v="1"/>
    <x v="14"/>
    <b v="1"/>
    <x v="14"/>
    <x v="0"/>
    <n v="101"/>
    <s v="011"/>
    <x v="0"/>
    <s v="001011"/>
    <x v="18"/>
    <n v="106712"/>
    <n v="-22610"/>
    <n v="101"/>
    <n v="84102"/>
  </r>
  <r>
    <s v="5Disability Accommodations"/>
    <x v="1"/>
    <x v="3"/>
    <b v="1"/>
    <x v="3"/>
    <x v="0"/>
    <n v="101"/>
    <s v="011"/>
    <x v="0"/>
    <s v="001011"/>
    <x v="18"/>
    <n v="55628"/>
    <n v="-5356"/>
    <n v="101"/>
    <n v="50272"/>
  </r>
  <r>
    <s v="2Disability Accommodations"/>
    <x v="1"/>
    <x v="30"/>
    <b v="1"/>
    <x v="30"/>
    <x v="0"/>
    <n v="101"/>
    <s v="011"/>
    <x v="0"/>
    <s v="001011"/>
    <x v="18"/>
    <n v="32173"/>
    <n v="-8178"/>
    <n v="101"/>
    <n v="23995"/>
  </r>
  <r>
    <s v="10Disability Accommodations"/>
    <x v="1"/>
    <x v="15"/>
    <b v="1"/>
    <x v="15"/>
    <x v="0"/>
    <n v="101"/>
    <s v="011"/>
    <x v="0"/>
    <s v="001011"/>
    <x v="18"/>
    <n v="59632"/>
    <n v="-1335"/>
    <n v="101"/>
    <n v="58297"/>
  </r>
  <r>
    <s v="9Disability Accommodations"/>
    <x v="1"/>
    <x v="16"/>
    <b v="1"/>
    <x v="16"/>
    <x v="0"/>
    <n v="101"/>
    <s v="011"/>
    <x v="0"/>
    <s v="001011"/>
    <x v="18"/>
    <n v="46421"/>
    <n v="9595"/>
    <n v="101"/>
    <n v="56016"/>
  </r>
  <r>
    <s v="26Disability Accommodations"/>
    <x v="1"/>
    <x v="17"/>
    <b v="1"/>
    <x v="17"/>
    <x v="0"/>
    <n v="101"/>
    <s v="011"/>
    <x v="0"/>
    <s v="001011"/>
    <x v="18"/>
    <n v="37809"/>
    <n v="4596"/>
    <n v="101"/>
    <n v="42405"/>
  </r>
  <r>
    <s v="13Disability Accommodations"/>
    <x v="1"/>
    <x v="26"/>
    <b v="1"/>
    <x v="26"/>
    <x v="0"/>
    <n v="101"/>
    <s v="011"/>
    <x v="0"/>
    <s v="001011"/>
    <x v="18"/>
    <n v="26953"/>
    <n v="19700"/>
    <n v="101"/>
    <n v="46653"/>
  </r>
  <r>
    <s v="3Disability Accommodations"/>
    <x v="1"/>
    <x v="18"/>
    <b v="1"/>
    <x v="18"/>
    <x v="0"/>
    <n v="101"/>
    <s v="011"/>
    <x v="0"/>
    <s v="001011"/>
    <x v="18"/>
    <n v="60698"/>
    <n v="28046"/>
    <n v="101"/>
    <n v="88744"/>
  </r>
  <r>
    <s v="1Disability Accommodations"/>
    <x v="1"/>
    <x v="19"/>
    <b v="1"/>
    <x v="19"/>
    <x v="0"/>
    <n v="101"/>
    <s v="011"/>
    <x v="0"/>
    <s v="001011"/>
    <x v="18"/>
    <n v="41616"/>
    <n v="-15024"/>
    <n v="101"/>
    <n v="26592"/>
  </r>
  <r>
    <s v="11Disability Accommodations"/>
    <x v="1"/>
    <x v="31"/>
    <b v="1"/>
    <x v="31"/>
    <x v="0"/>
    <n v="101"/>
    <s v="011"/>
    <x v="0"/>
    <s v="001011"/>
    <x v="18"/>
    <n v="86872"/>
    <n v="613"/>
    <n v="101"/>
    <n v="87485"/>
  </r>
  <r>
    <s v="27Disability Accommodations"/>
    <x v="1"/>
    <x v="5"/>
    <b v="1"/>
    <x v="5"/>
    <x v="0"/>
    <n v="101"/>
    <s v="011"/>
    <x v="0"/>
    <s v="001011"/>
    <x v="18"/>
    <n v="34964"/>
    <n v="-7507"/>
    <n v="101"/>
    <n v="27457"/>
  </r>
  <r>
    <s v="6Disability Accommodations"/>
    <x v="1"/>
    <x v="7"/>
    <b v="1"/>
    <x v="7"/>
    <x v="0"/>
    <n v="101"/>
    <s v="011"/>
    <x v="0"/>
    <s v="001011"/>
    <x v="18"/>
    <n v="132329"/>
    <n v="-23524"/>
    <n v="101"/>
    <n v="108805"/>
  </r>
  <r>
    <s v="7Disability Accommodations"/>
    <x v="1"/>
    <x v="20"/>
    <b v="1"/>
    <x v="20"/>
    <x v="0"/>
    <n v="101"/>
    <s v="011"/>
    <x v="0"/>
    <s v="001011"/>
    <x v="18"/>
    <n v="67740"/>
    <n v="-7004"/>
    <n v="101"/>
    <n v="60736"/>
  </r>
  <r>
    <s v="4Disability Accommodations"/>
    <x v="1"/>
    <x v="21"/>
    <b v="1"/>
    <x v="21"/>
    <x v="0"/>
    <n v="101"/>
    <s v="011"/>
    <x v="0"/>
    <s v="001011"/>
    <x v="18"/>
    <n v="47968"/>
    <n v="5766"/>
    <n v="101"/>
    <n v="53734"/>
  </r>
  <r>
    <s v="24Disability Accommodations"/>
    <x v="1"/>
    <x v="22"/>
    <b v="1"/>
    <x v="22"/>
    <x v="0"/>
    <n v="101"/>
    <s v="011"/>
    <x v="0"/>
    <s v="001011"/>
    <x v="18"/>
    <n v="45374"/>
    <n v="-25627"/>
    <n v="101"/>
    <n v="19747"/>
  </r>
  <r>
    <s v="17Disability Accommodations"/>
    <x v="1"/>
    <x v="8"/>
    <b v="1"/>
    <x v="8"/>
    <x v="0"/>
    <n v="101"/>
    <s v="011"/>
    <x v="0"/>
    <s v="001011"/>
    <x v="18"/>
    <n v="164252"/>
    <n v="55562"/>
    <n v="101"/>
    <n v="219814"/>
  </r>
  <r>
    <s v="22Disability Accommodations"/>
    <x v="1"/>
    <x v="23"/>
    <b v="1"/>
    <x v="23"/>
    <x v="0"/>
    <n v="101"/>
    <s v="011"/>
    <x v="0"/>
    <s v="001011"/>
    <x v="18"/>
    <n v="55422"/>
    <n v="24982"/>
    <n v="101"/>
    <n v="80404"/>
  </r>
  <r>
    <s v="20Disability Accommodations"/>
    <x v="1"/>
    <x v="25"/>
    <b v="1"/>
    <x v="25"/>
    <x v="0"/>
    <n v="101"/>
    <s v="011"/>
    <x v="0"/>
    <s v="001011"/>
    <x v="18"/>
    <n v="40510"/>
    <n v="-7231"/>
    <n v="101"/>
    <n v="33279"/>
  </r>
  <r>
    <s v="15Disability Accommodations"/>
    <x v="1"/>
    <x v="24"/>
    <b v="1"/>
    <x v="24"/>
    <x v="0"/>
    <n v="101"/>
    <s v="011"/>
    <x v="0"/>
    <s v="001011"/>
    <x v="18"/>
    <n v="48834"/>
    <n v="-3990"/>
    <n v="101"/>
    <n v="44844"/>
  </r>
  <r>
    <s v="21Disability Accommodations"/>
    <x v="1"/>
    <x v="32"/>
    <b v="1"/>
    <x v="32"/>
    <x v="0"/>
    <n v="101"/>
    <s v="011"/>
    <x v="0"/>
    <s v="001011"/>
    <x v="18"/>
    <n v="41919"/>
    <n v="11972"/>
    <n v="101"/>
    <n v="53891"/>
  </r>
  <r>
    <s v="16Disability Accommodations"/>
    <x v="1"/>
    <x v="9"/>
    <b v="1"/>
    <x v="9"/>
    <x v="0"/>
    <n v="101"/>
    <s v="011"/>
    <x v="0"/>
    <s v="001011"/>
    <x v="18"/>
    <n v="47126"/>
    <n v="-24153"/>
    <n v="101"/>
    <n v="22973"/>
  </r>
  <r>
    <s v="90DOC Compensation"/>
    <x v="1"/>
    <x v="0"/>
    <b v="1"/>
    <x v="0"/>
    <x v="0"/>
    <s v="011"/>
    <s v="011"/>
    <x v="0"/>
    <s v="001011"/>
    <x v="19"/>
    <n v="597310"/>
    <n v="0"/>
    <n v="101"/>
    <n v="597310"/>
  </r>
  <r>
    <s v="23Employment Resource Center"/>
    <x v="1"/>
    <x v="14"/>
    <b v="1"/>
    <x v="14"/>
    <x v="0"/>
    <n v="101"/>
    <s v="011"/>
    <x v="0"/>
    <s v="001011"/>
    <x v="20"/>
    <n v="1139716"/>
    <n v="0"/>
    <n v="101"/>
    <n v="1139716"/>
  </r>
  <r>
    <s v="23Fabrication Wing Training Program"/>
    <x v="1"/>
    <x v="14"/>
    <b v="1"/>
    <x v="14"/>
    <x v="0"/>
    <s v="BJ1"/>
    <s v="BJ1"/>
    <x v="7"/>
    <s v="001BJ1"/>
    <x v="21"/>
    <n v="500000"/>
    <n v="580000"/>
    <s v="BJ1"/>
    <n v="1080000"/>
  </r>
  <r>
    <s v="00Facilities M&amp;O - FY 2013"/>
    <x v="1"/>
    <x v="4"/>
    <b v="1"/>
    <x v="4"/>
    <x v="0"/>
    <n v="101"/>
    <s v="011"/>
    <x v="0"/>
    <s v="001011"/>
    <x v="22"/>
    <n v="521966"/>
    <n v="-258"/>
    <n v="101"/>
    <n v="521708"/>
  </r>
  <r>
    <s v="00Facilities M&amp;O - FY 2014"/>
    <x v="1"/>
    <x v="4"/>
    <b v="1"/>
    <x v="4"/>
    <x v="0"/>
    <n v="101"/>
    <s v="011"/>
    <x v="0"/>
    <s v="001011"/>
    <x v="23"/>
    <n v="2329"/>
    <n v="-2329"/>
    <n v="101"/>
    <n v="0"/>
  </r>
  <r>
    <s v="00Facilities M&amp;O - FY 2015"/>
    <x v="1"/>
    <x v="4"/>
    <b v="1"/>
    <x v="4"/>
    <x v="0"/>
    <n v="101"/>
    <s v="011"/>
    <x v="0"/>
    <s v="001011"/>
    <x v="24"/>
    <n v="443000"/>
    <n v="-43000"/>
    <n v="101"/>
    <n v="400000"/>
  </r>
  <r>
    <s v="00Facilities M&amp;O - FY 2016"/>
    <x v="1"/>
    <x v="4"/>
    <b v="1"/>
    <x v="4"/>
    <x v="0"/>
    <n v="101"/>
    <s v="011"/>
    <x v="0"/>
    <s v="001011"/>
    <x v="25"/>
    <n v="0"/>
    <n v="216400"/>
    <n v="101"/>
    <n v="216400"/>
  </r>
  <r>
    <s v="17Facilities M&amp;O - FY 2015"/>
    <x v="1"/>
    <x v="8"/>
    <b v="1"/>
    <x v="8"/>
    <x v="0"/>
    <n v="101"/>
    <s v="011"/>
    <x v="0"/>
    <s v="001011"/>
    <x v="24"/>
    <n v="0"/>
    <n v="22400"/>
    <n v="101"/>
    <n v="22400"/>
  </r>
  <r>
    <s v="22Facilities M&amp;O - FY 2015"/>
    <x v="1"/>
    <x v="23"/>
    <b v="1"/>
    <x v="23"/>
    <x v="0"/>
    <n v="101"/>
    <s v="011"/>
    <x v="0"/>
    <s v="001011"/>
    <x v="24"/>
    <n v="0"/>
    <n v="36400"/>
    <n v="101"/>
    <n v="36400"/>
  </r>
  <r>
    <s v="00Feasibility Study"/>
    <x v="1"/>
    <x v="4"/>
    <b v="1"/>
    <x v="4"/>
    <x v="0"/>
    <s v="BR1"/>
    <s v="BR1"/>
    <x v="8"/>
    <s v="001BR1"/>
    <x v="26"/>
    <n v="150000"/>
    <n v="0"/>
    <s v="BR1"/>
    <n v="150000"/>
  </r>
  <r>
    <s v="28General Wage Increase (GL9)"/>
    <x v="1"/>
    <x v="1"/>
    <b v="1"/>
    <x v="1"/>
    <x v="0"/>
    <n v="101"/>
    <s v="011"/>
    <x v="0"/>
    <s v="001011"/>
    <x v="27"/>
    <m/>
    <n v="308560"/>
    <n v="101"/>
    <n v="308560"/>
  </r>
  <r>
    <s v="8General Wage Increase (GL9)"/>
    <x v="1"/>
    <x v="27"/>
    <b v="1"/>
    <x v="27"/>
    <x v="0"/>
    <n v="101"/>
    <s v="011"/>
    <x v="0"/>
    <s v="001011"/>
    <x v="27"/>
    <m/>
    <n v="655043"/>
    <n v="101"/>
    <n v="655043"/>
  </r>
  <r>
    <s v="25General Wage Increase (GL9)"/>
    <x v="1"/>
    <x v="10"/>
    <b v="1"/>
    <x v="10"/>
    <x v="0"/>
    <n v="101"/>
    <s v="011"/>
    <x v="0"/>
    <s v="001011"/>
    <x v="27"/>
    <m/>
    <n v="223305"/>
    <n v="101"/>
    <n v="223305"/>
  </r>
  <r>
    <s v="18General Wage Increase (GL9)"/>
    <x v="1"/>
    <x v="11"/>
    <b v="1"/>
    <x v="11"/>
    <x v="0"/>
    <n v="101"/>
    <s v="011"/>
    <x v="0"/>
    <s v="001011"/>
    <x v="27"/>
    <m/>
    <n v="187209"/>
    <n v="101"/>
    <n v="187209"/>
  </r>
  <r>
    <s v="30General Wage Increase (GL9)"/>
    <x v="1"/>
    <x v="28"/>
    <b v="1"/>
    <x v="28"/>
    <x v="0"/>
    <n v="101"/>
    <s v="011"/>
    <x v="0"/>
    <s v="001011"/>
    <x v="27"/>
    <m/>
    <n v="205925"/>
    <n v="101"/>
    <n v="205925"/>
  </r>
  <r>
    <s v="12General Wage Increase (GL9)"/>
    <x v="1"/>
    <x v="29"/>
    <b v="1"/>
    <x v="29"/>
    <x v="0"/>
    <n v="101"/>
    <s v="011"/>
    <x v="0"/>
    <s v="001011"/>
    <x v="27"/>
    <m/>
    <n v="185890"/>
    <n v="101"/>
    <n v="185890"/>
  </r>
  <r>
    <s v="14General Wage Increase (GL9)"/>
    <x v="1"/>
    <x v="12"/>
    <b v="1"/>
    <x v="12"/>
    <x v="0"/>
    <n v="101"/>
    <s v="011"/>
    <x v="0"/>
    <s v="001011"/>
    <x v="27"/>
    <m/>
    <n v="570945"/>
    <n v="101"/>
    <n v="570945"/>
  </r>
  <r>
    <s v="29General Wage Increase (GL9)"/>
    <x v="1"/>
    <x v="13"/>
    <b v="1"/>
    <x v="13"/>
    <x v="0"/>
    <n v="101"/>
    <s v="011"/>
    <x v="0"/>
    <s v="001011"/>
    <x v="27"/>
    <m/>
    <n v="330208"/>
    <n v="101"/>
    <n v="330208"/>
  </r>
  <r>
    <s v="19General Wage Increase (GL9)"/>
    <x v="1"/>
    <x v="2"/>
    <b v="1"/>
    <x v="2"/>
    <x v="0"/>
    <n v="101"/>
    <s v="011"/>
    <x v="0"/>
    <s v="001011"/>
    <x v="27"/>
    <m/>
    <n v="302311"/>
    <n v="101"/>
    <n v="302311"/>
  </r>
  <r>
    <s v="23General Wage Increase (GL9)"/>
    <x v="1"/>
    <x v="14"/>
    <b v="1"/>
    <x v="14"/>
    <x v="0"/>
    <n v="101"/>
    <s v="011"/>
    <x v="0"/>
    <s v="001011"/>
    <x v="27"/>
    <m/>
    <n v="465412"/>
    <n v="101"/>
    <n v="465412"/>
  </r>
  <r>
    <s v="5General Wage Increase (GL9)"/>
    <x v="1"/>
    <x v="3"/>
    <b v="1"/>
    <x v="3"/>
    <x v="0"/>
    <n v="101"/>
    <s v="011"/>
    <x v="0"/>
    <s v="001011"/>
    <x v="27"/>
    <m/>
    <n v="387271"/>
    <n v="101"/>
    <n v="387271"/>
  </r>
  <r>
    <s v="2General Wage Increase (GL9)"/>
    <x v="1"/>
    <x v="30"/>
    <b v="1"/>
    <x v="30"/>
    <x v="0"/>
    <n v="101"/>
    <s v="011"/>
    <x v="0"/>
    <s v="001011"/>
    <x v="27"/>
    <m/>
    <n v="146625"/>
    <n v="101"/>
    <n v="146625"/>
  </r>
  <r>
    <s v="10General Wage Increase (GL9)"/>
    <x v="1"/>
    <x v="15"/>
    <b v="1"/>
    <x v="15"/>
    <x v="0"/>
    <n v="101"/>
    <s v="011"/>
    <x v="0"/>
    <s v="001011"/>
    <x v="27"/>
    <m/>
    <n v="494620"/>
    <n v="101"/>
    <n v="494620"/>
  </r>
  <r>
    <s v="9General Wage Increase (GL9)"/>
    <x v="1"/>
    <x v="16"/>
    <b v="1"/>
    <x v="16"/>
    <x v="0"/>
    <n v="101"/>
    <s v="011"/>
    <x v="0"/>
    <s v="001011"/>
    <x v="27"/>
    <m/>
    <n v="429956"/>
    <n v="101"/>
    <n v="429956"/>
  </r>
  <r>
    <s v="26General Wage Increase (GL9)"/>
    <x v="1"/>
    <x v="17"/>
    <b v="1"/>
    <x v="17"/>
    <x v="0"/>
    <n v="101"/>
    <s v="011"/>
    <x v="0"/>
    <s v="001011"/>
    <x v="27"/>
    <m/>
    <n v="301349"/>
    <n v="101"/>
    <n v="301349"/>
  </r>
  <r>
    <s v="13General Wage Increase (GL9)"/>
    <x v="1"/>
    <x v="26"/>
    <b v="1"/>
    <x v="26"/>
    <x v="0"/>
    <n v="101"/>
    <s v="011"/>
    <x v="0"/>
    <s v="001011"/>
    <x v="27"/>
    <m/>
    <n v="154496"/>
    <n v="101"/>
    <n v="154496"/>
  </r>
  <r>
    <s v="3General Wage Increase (GL9)"/>
    <x v="1"/>
    <x v="18"/>
    <b v="1"/>
    <x v="18"/>
    <x v="0"/>
    <n v="101"/>
    <s v="011"/>
    <x v="0"/>
    <s v="001011"/>
    <x v="27"/>
    <m/>
    <n v="372632"/>
    <n v="101"/>
    <n v="372632"/>
  </r>
  <r>
    <s v="1General Wage Increase (GL9)"/>
    <x v="1"/>
    <x v="19"/>
    <b v="1"/>
    <x v="19"/>
    <x v="0"/>
    <n v="101"/>
    <s v="011"/>
    <x v="0"/>
    <s v="001011"/>
    <x v="27"/>
    <m/>
    <n v="177550"/>
    <n v="101"/>
    <n v="177550"/>
  </r>
  <r>
    <s v="11General Wage Increase (GL9)"/>
    <x v="1"/>
    <x v="31"/>
    <b v="1"/>
    <x v="31"/>
    <x v="0"/>
    <n v="101"/>
    <s v="011"/>
    <x v="0"/>
    <s v="001011"/>
    <x v="27"/>
    <m/>
    <n v="399574"/>
    <n v="101"/>
    <n v="399574"/>
  </r>
  <r>
    <s v="27General Wage Increase (GL9)"/>
    <x v="1"/>
    <x v="5"/>
    <b v="1"/>
    <x v="5"/>
    <x v="0"/>
    <n v="101"/>
    <s v="011"/>
    <x v="0"/>
    <s v="001011"/>
    <x v="27"/>
    <m/>
    <n v="299380"/>
    <n v="101"/>
    <n v="299380"/>
  </r>
  <r>
    <s v="89General Wage Increase (GL9)"/>
    <x v="1"/>
    <x v="6"/>
    <b v="1"/>
    <x v="6"/>
    <x v="0"/>
    <s v="011"/>
    <s v="011"/>
    <x v="0"/>
    <s v="001011"/>
    <x v="27"/>
    <m/>
    <n v="119421"/>
    <n v="101"/>
    <n v="119421"/>
  </r>
  <r>
    <s v="6General Wage Increase (GL9)"/>
    <x v="1"/>
    <x v="7"/>
    <b v="1"/>
    <x v="7"/>
    <x v="0"/>
    <n v="101"/>
    <s v="011"/>
    <x v="0"/>
    <s v="001011"/>
    <x v="27"/>
    <m/>
    <n v="1202277"/>
    <n v="101"/>
    <n v="1202277"/>
  </r>
  <r>
    <s v="7General Wage Increase (GL9)"/>
    <x v="1"/>
    <x v="20"/>
    <b v="1"/>
    <x v="20"/>
    <x v="0"/>
    <n v="101"/>
    <s v="011"/>
    <x v="0"/>
    <s v="001011"/>
    <x v="27"/>
    <m/>
    <n v="366217"/>
    <n v="101"/>
    <n v="366217"/>
  </r>
  <r>
    <s v="4General Wage Increase (GL9)"/>
    <x v="1"/>
    <x v="21"/>
    <b v="1"/>
    <x v="21"/>
    <x v="0"/>
    <n v="101"/>
    <s v="011"/>
    <x v="0"/>
    <s v="001011"/>
    <x v="27"/>
    <m/>
    <n v="315728"/>
    <n v="101"/>
    <n v="315728"/>
  </r>
  <r>
    <s v="24General Wage Increase (GL9)"/>
    <x v="1"/>
    <x v="22"/>
    <b v="1"/>
    <x v="22"/>
    <x v="0"/>
    <n v="101"/>
    <s v="011"/>
    <x v="0"/>
    <s v="001011"/>
    <x v="27"/>
    <m/>
    <n v="277459"/>
    <n v="101"/>
    <n v="277459"/>
  </r>
  <r>
    <s v="17General Wage Increase (GL9)"/>
    <x v="1"/>
    <x v="8"/>
    <b v="1"/>
    <x v="8"/>
    <x v="0"/>
    <n v="101"/>
    <s v="011"/>
    <x v="0"/>
    <s v="001011"/>
    <x v="27"/>
    <m/>
    <n v="896622"/>
    <n v="101"/>
    <n v="896622"/>
  </r>
  <r>
    <s v="22General Wage Increase (GL9)"/>
    <x v="1"/>
    <x v="23"/>
    <b v="1"/>
    <x v="23"/>
    <x v="0"/>
    <n v="101"/>
    <s v="011"/>
    <x v="0"/>
    <s v="001011"/>
    <x v="27"/>
    <m/>
    <n v="428080"/>
    <n v="101"/>
    <n v="428080"/>
  </r>
  <r>
    <s v="20General Wage Increase (GL9)"/>
    <x v="1"/>
    <x v="25"/>
    <b v="1"/>
    <x v="25"/>
    <x v="0"/>
    <n v="101"/>
    <s v="011"/>
    <x v="0"/>
    <s v="001011"/>
    <x v="27"/>
    <m/>
    <n v="282208"/>
    <n v="101"/>
    <n v="282208"/>
  </r>
  <r>
    <s v="15General Wage Increase (GL9)"/>
    <x v="1"/>
    <x v="24"/>
    <b v="1"/>
    <x v="24"/>
    <x v="0"/>
    <n v="101"/>
    <s v="011"/>
    <x v="0"/>
    <s v="001011"/>
    <x v="27"/>
    <m/>
    <n v="225621"/>
    <n v="101"/>
    <n v="225621"/>
  </r>
  <r>
    <s v="21General Wage Increase (GL9)"/>
    <x v="1"/>
    <x v="32"/>
    <b v="1"/>
    <x v="32"/>
    <x v="0"/>
    <n v="101"/>
    <s v="011"/>
    <x v="0"/>
    <s v="001011"/>
    <x v="27"/>
    <m/>
    <n v="201547"/>
    <n v="101"/>
    <n v="201547"/>
  </r>
  <r>
    <s v="16General Wage Increase (GL9)"/>
    <x v="1"/>
    <x v="9"/>
    <b v="1"/>
    <x v="9"/>
    <x v="0"/>
    <n v="101"/>
    <s v="011"/>
    <x v="0"/>
    <s v="001011"/>
    <x v="27"/>
    <m/>
    <n v="259559"/>
    <n v="101"/>
    <n v="259559"/>
  </r>
  <r>
    <s v="28Health Rate Changes"/>
    <x v="1"/>
    <x v="1"/>
    <b v="1"/>
    <x v="1"/>
    <x v="0"/>
    <n v="101"/>
    <s v="011"/>
    <x v="0"/>
    <s v="001011"/>
    <x v="28"/>
    <m/>
    <n v="533756"/>
    <n v="101"/>
    <n v="533756"/>
  </r>
  <r>
    <s v="8Health Rate Changes"/>
    <x v="1"/>
    <x v="27"/>
    <b v="1"/>
    <x v="27"/>
    <x v="0"/>
    <n v="101"/>
    <s v="011"/>
    <x v="0"/>
    <s v="001011"/>
    <x v="28"/>
    <m/>
    <n v="1534464"/>
    <n v="101"/>
    <n v="1534464"/>
  </r>
  <r>
    <s v="25Health Rate Changes"/>
    <x v="1"/>
    <x v="10"/>
    <b v="1"/>
    <x v="10"/>
    <x v="0"/>
    <n v="101"/>
    <s v="011"/>
    <x v="0"/>
    <s v="001011"/>
    <x v="28"/>
    <m/>
    <n v="430554"/>
    <n v="101"/>
    <n v="430554"/>
  </r>
  <r>
    <s v="18Health Rate Changes"/>
    <x v="1"/>
    <x v="11"/>
    <b v="1"/>
    <x v="11"/>
    <x v="0"/>
    <n v="101"/>
    <s v="011"/>
    <x v="0"/>
    <s v="001011"/>
    <x v="28"/>
    <m/>
    <n v="350586"/>
    <n v="101"/>
    <n v="350586"/>
  </r>
  <r>
    <s v="30Health Rate Changes"/>
    <x v="1"/>
    <x v="28"/>
    <b v="1"/>
    <x v="28"/>
    <x v="0"/>
    <n v="101"/>
    <s v="011"/>
    <x v="0"/>
    <s v="001011"/>
    <x v="28"/>
    <m/>
    <n v="543364"/>
    <n v="101"/>
    <n v="543364"/>
  </r>
  <r>
    <s v="12Health Rate Changes"/>
    <x v="1"/>
    <x v="29"/>
    <b v="1"/>
    <x v="29"/>
    <x v="0"/>
    <n v="101"/>
    <s v="011"/>
    <x v="0"/>
    <s v="001011"/>
    <x v="28"/>
    <m/>
    <n v="459967"/>
    <n v="101"/>
    <n v="459967"/>
  </r>
  <r>
    <s v="14Health Rate Changes"/>
    <x v="1"/>
    <x v="12"/>
    <b v="1"/>
    <x v="12"/>
    <x v="0"/>
    <n v="101"/>
    <s v="011"/>
    <x v="0"/>
    <s v="001011"/>
    <x v="28"/>
    <m/>
    <n v="1606722"/>
    <n v="101"/>
    <n v="1606722"/>
  </r>
  <r>
    <s v="29Health Rate Changes"/>
    <x v="1"/>
    <x v="13"/>
    <b v="1"/>
    <x v="13"/>
    <x v="0"/>
    <n v="101"/>
    <s v="011"/>
    <x v="0"/>
    <s v="001011"/>
    <x v="28"/>
    <m/>
    <n v="645053"/>
    <n v="101"/>
    <n v="645053"/>
  </r>
  <r>
    <s v="19Health Rate Changes"/>
    <x v="1"/>
    <x v="2"/>
    <b v="1"/>
    <x v="2"/>
    <x v="0"/>
    <n v="101"/>
    <s v="011"/>
    <x v="0"/>
    <s v="001011"/>
    <x v="28"/>
    <m/>
    <n v="742343"/>
    <n v="101"/>
    <n v="742343"/>
  </r>
  <r>
    <s v="23Health Rate Changes"/>
    <x v="1"/>
    <x v="14"/>
    <b v="1"/>
    <x v="14"/>
    <x v="0"/>
    <n v="101"/>
    <s v="011"/>
    <x v="0"/>
    <s v="001011"/>
    <x v="28"/>
    <m/>
    <n v="1236060"/>
    <n v="101"/>
    <n v="1236060"/>
  </r>
  <r>
    <s v="5Health Rate Changes"/>
    <x v="1"/>
    <x v="3"/>
    <b v="1"/>
    <x v="3"/>
    <x v="0"/>
    <n v="101"/>
    <s v="011"/>
    <x v="0"/>
    <s v="001011"/>
    <x v="28"/>
    <m/>
    <n v="1050033"/>
    <n v="101"/>
    <n v="1050033"/>
  </r>
  <r>
    <s v="2Health Rate Changes"/>
    <x v="1"/>
    <x v="30"/>
    <b v="1"/>
    <x v="30"/>
    <x v="0"/>
    <n v="101"/>
    <s v="011"/>
    <x v="0"/>
    <s v="001011"/>
    <x v="28"/>
    <m/>
    <n v="331818"/>
    <n v="101"/>
    <n v="331818"/>
  </r>
  <r>
    <s v="10Health Rate Changes"/>
    <x v="1"/>
    <x v="15"/>
    <b v="1"/>
    <x v="15"/>
    <x v="0"/>
    <n v="101"/>
    <s v="011"/>
    <x v="0"/>
    <s v="001011"/>
    <x v="28"/>
    <m/>
    <n v="1239840"/>
    <n v="101"/>
    <n v="1239840"/>
  </r>
  <r>
    <s v="9Health Rate Changes"/>
    <x v="1"/>
    <x v="16"/>
    <b v="1"/>
    <x v="16"/>
    <x v="0"/>
    <n v="101"/>
    <s v="011"/>
    <x v="0"/>
    <s v="001011"/>
    <x v="28"/>
    <m/>
    <n v="1049883"/>
    <n v="101"/>
    <n v="1049883"/>
  </r>
  <r>
    <s v="26Health Rate Changes"/>
    <x v="1"/>
    <x v="17"/>
    <b v="1"/>
    <x v="17"/>
    <x v="0"/>
    <n v="101"/>
    <s v="011"/>
    <x v="0"/>
    <s v="001011"/>
    <x v="28"/>
    <m/>
    <n v="592728"/>
    <n v="101"/>
    <n v="592728"/>
  </r>
  <r>
    <s v="13Health Rate Changes"/>
    <x v="1"/>
    <x v="26"/>
    <b v="1"/>
    <x v="26"/>
    <x v="0"/>
    <n v="101"/>
    <s v="011"/>
    <x v="0"/>
    <s v="001011"/>
    <x v="28"/>
    <m/>
    <n v="424794"/>
    <n v="101"/>
    <n v="424794"/>
  </r>
  <r>
    <s v="3Health Rate Changes"/>
    <x v="1"/>
    <x v="18"/>
    <b v="1"/>
    <x v="18"/>
    <x v="0"/>
    <n v="101"/>
    <s v="011"/>
    <x v="0"/>
    <s v="001011"/>
    <x v="28"/>
    <m/>
    <n v="980645"/>
    <n v="101"/>
    <n v="980645"/>
  </r>
  <r>
    <s v="1Health Rate Changes"/>
    <x v="1"/>
    <x v="19"/>
    <b v="1"/>
    <x v="19"/>
    <x v="0"/>
    <n v="101"/>
    <s v="011"/>
    <x v="0"/>
    <s v="001011"/>
    <x v="28"/>
    <m/>
    <n v="390933"/>
    <n v="101"/>
    <n v="390933"/>
  </r>
  <r>
    <s v="11Health Rate Changes"/>
    <x v="1"/>
    <x v="31"/>
    <b v="1"/>
    <x v="31"/>
    <x v="0"/>
    <n v="101"/>
    <s v="011"/>
    <x v="0"/>
    <s v="001011"/>
    <x v="28"/>
    <m/>
    <n v="1203749"/>
    <n v="101"/>
    <n v="1203749"/>
  </r>
  <r>
    <s v="27Health Rate Changes"/>
    <x v="1"/>
    <x v="5"/>
    <b v="1"/>
    <x v="5"/>
    <x v="0"/>
    <n v="101"/>
    <s v="011"/>
    <x v="0"/>
    <s v="001011"/>
    <x v="28"/>
    <m/>
    <n v="561913"/>
    <n v="101"/>
    <n v="561913"/>
  </r>
  <r>
    <s v="89Health Rate Changes"/>
    <x v="1"/>
    <x v="6"/>
    <b v="1"/>
    <x v="6"/>
    <x v="0"/>
    <s v="011"/>
    <s v="011"/>
    <x v="0"/>
    <s v="001011"/>
    <x v="28"/>
    <m/>
    <n v="282414"/>
    <n v="101"/>
    <n v="282414"/>
  </r>
  <r>
    <s v="6Health Rate Changes"/>
    <x v="1"/>
    <x v="7"/>
    <b v="1"/>
    <x v="7"/>
    <x v="0"/>
    <n v="101"/>
    <s v="011"/>
    <x v="0"/>
    <s v="001011"/>
    <x v="28"/>
    <m/>
    <n v="2886616"/>
    <n v="101"/>
    <n v="2886616"/>
  </r>
  <r>
    <s v="7Health Rate Changes"/>
    <x v="1"/>
    <x v="20"/>
    <b v="1"/>
    <x v="20"/>
    <x v="0"/>
    <n v="101"/>
    <s v="011"/>
    <x v="0"/>
    <s v="001011"/>
    <x v="28"/>
    <m/>
    <n v="913945"/>
    <n v="101"/>
    <n v="913945"/>
  </r>
  <r>
    <s v="4Health Rate Changes"/>
    <x v="1"/>
    <x v="21"/>
    <b v="1"/>
    <x v="21"/>
    <x v="0"/>
    <n v="101"/>
    <s v="011"/>
    <x v="0"/>
    <s v="001011"/>
    <x v="28"/>
    <m/>
    <n v="773198"/>
    <n v="101"/>
    <n v="773198"/>
  </r>
  <r>
    <s v="24Health Rate Changes"/>
    <x v="1"/>
    <x v="22"/>
    <b v="1"/>
    <x v="22"/>
    <x v="0"/>
    <n v="101"/>
    <s v="011"/>
    <x v="0"/>
    <s v="001011"/>
    <x v="28"/>
    <m/>
    <n v="759291"/>
    <n v="101"/>
    <n v="759291"/>
  </r>
  <r>
    <s v="17Health Rate Changes"/>
    <x v="1"/>
    <x v="8"/>
    <b v="1"/>
    <x v="8"/>
    <x v="0"/>
    <n v="101"/>
    <s v="011"/>
    <x v="0"/>
    <s v="001011"/>
    <x v="28"/>
    <m/>
    <n v="2377276"/>
    <n v="101"/>
    <n v="2377276"/>
  </r>
  <r>
    <s v="22Health Rate Changes"/>
    <x v="1"/>
    <x v="23"/>
    <b v="1"/>
    <x v="23"/>
    <x v="0"/>
    <n v="101"/>
    <s v="011"/>
    <x v="0"/>
    <s v="001011"/>
    <x v="28"/>
    <m/>
    <n v="1035517"/>
    <n v="101"/>
    <n v="1035517"/>
  </r>
  <r>
    <s v="20Health Rate Changes"/>
    <x v="1"/>
    <x v="25"/>
    <b v="1"/>
    <x v="25"/>
    <x v="0"/>
    <n v="101"/>
    <s v="011"/>
    <x v="0"/>
    <s v="001011"/>
    <x v="28"/>
    <m/>
    <n v="684819"/>
    <n v="101"/>
    <n v="684819"/>
  </r>
  <r>
    <s v="15Health Rate Changes"/>
    <x v="1"/>
    <x v="24"/>
    <b v="1"/>
    <x v="24"/>
    <x v="0"/>
    <n v="101"/>
    <s v="011"/>
    <x v="0"/>
    <s v="001011"/>
    <x v="28"/>
    <m/>
    <n v="579644"/>
    <n v="101"/>
    <n v="579644"/>
  </r>
  <r>
    <s v="21Health Rate Changes"/>
    <x v="1"/>
    <x v="32"/>
    <b v="1"/>
    <x v="32"/>
    <x v="0"/>
    <n v="101"/>
    <s v="011"/>
    <x v="0"/>
    <s v="001011"/>
    <x v="28"/>
    <m/>
    <n v="556131"/>
    <n v="101"/>
    <n v="556131"/>
  </r>
  <r>
    <s v="16Health Rate Changes"/>
    <x v="1"/>
    <x v="9"/>
    <b v="1"/>
    <x v="9"/>
    <x v="0"/>
    <n v="101"/>
    <s v="011"/>
    <x v="0"/>
    <s v="001011"/>
    <x v="28"/>
    <m/>
    <n v="746944"/>
    <n v="101"/>
    <n v="746944"/>
  </r>
  <r>
    <s v="8Hospital Employee Education &amp; Training"/>
    <x v="1"/>
    <x v="27"/>
    <b v="1"/>
    <x v="27"/>
    <x v="0"/>
    <n v="101"/>
    <s v="011"/>
    <x v="0"/>
    <s v="001011"/>
    <x v="29"/>
    <m/>
    <m/>
    <n v="101"/>
    <n v="0"/>
  </r>
  <r>
    <s v="25Hospital Employee Education &amp; Training"/>
    <x v="1"/>
    <x v="10"/>
    <b v="1"/>
    <x v="10"/>
    <x v="0"/>
    <n v="101"/>
    <s v="011"/>
    <x v="0"/>
    <s v="001011"/>
    <x v="29"/>
    <n v="53316"/>
    <n v="-53316"/>
    <n v="101"/>
    <n v="0"/>
  </r>
  <r>
    <s v="14Hospital Employee Education &amp; Training"/>
    <x v="1"/>
    <x v="12"/>
    <b v="1"/>
    <x v="12"/>
    <x v="0"/>
    <n v="101"/>
    <s v="011"/>
    <x v="0"/>
    <s v="001011"/>
    <x v="29"/>
    <n v="71127"/>
    <n v="-71127"/>
    <n v="101"/>
    <n v="0"/>
  </r>
  <r>
    <s v="23Hospital Employee Education &amp; Training"/>
    <x v="1"/>
    <x v="14"/>
    <b v="1"/>
    <x v="14"/>
    <x v="0"/>
    <n v="101"/>
    <s v="011"/>
    <x v="0"/>
    <s v="001011"/>
    <x v="29"/>
    <n v="134220"/>
    <n v="-134220"/>
    <n v="101"/>
    <n v="0"/>
  </r>
  <r>
    <s v="00Hospital Employee Education &amp; Training"/>
    <x v="1"/>
    <x v="4"/>
    <b v="1"/>
    <x v="4"/>
    <x v="0"/>
    <n v="101"/>
    <s v="011"/>
    <x v="0"/>
    <s v="001011"/>
    <x v="29"/>
    <n v="0"/>
    <n v="2039906"/>
    <n v="101"/>
    <n v="2039906"/>
  </r>
  <r>
    <s v="9Hospital Employee Education &amp; Training"/>
    <x v="1"/>
    <x v="16"/>
    <b v="1"/>
    <x v="16"/>
    <x v="0"/>
    <n v="101"/>
    <s v="011"/>
    <x v="0"/>
    <s v="001011"/>
    <x v="29"/>
    <n v="608395"/>
    <n v="-608395"/>
    <n v="101"/>
    <n v="0"/>
  </r>
  <r>
    <s v="3Hospital Employee Education &amp; Training"/>
    <x v="1"/>
    <x v="18"/>
    <b v="1"/>
    <x v="18"/>
    <x v="0"/>
    <n v="101"/>
    <s v="011"/>
    <x v="0"/>
    <s v="001011"/>
    <x v="29"/>
    <n v="41923"/>
    <n v="-41923"/>
    <n v="101"/>
    <n v="0"/>
  </r>
  <r>
    <s v="11Hospital Employee Education &amp; Training"/>
    <x v="1"/>
    <x v="31"/>
    <b v="1"/>
    <x v="31"/>
    <x v="0"/>
    <n v="101"/>
    <s v="011"/>
    <x v="0"/>
    <s v="001011"/>
    <x v="29"/>
    <n v="128815"/>
    <n v="-128815"/>
    <n v="101"/>
    <n v="0"/>
  </r>
  <r>
    <s v="89Hospital Employee Education &amp; Training"/>
    <x v="1"/>
    <x v="6"/>
    <b v="1"/>
    <x v="6"/>
    <x v="0"/>
    <s v="011"/>
    <s v="011"/>
    <x v="0"/>
    <s v="001011"/>
    <x v="29"/>
    <n v="42074"/>
    <n v="-42074"/>
    <n v="101"/>
    <n v="0"/>
  </r>
  <r>
    <s v="6Hospital Employee Education &amp; Training"/>
    <x v="1"/>
    <x v="7"/>
    <b v="1"/>
    <x v="7"/>
    <x v="0"/>
    <n v="101"/>
    <s v="011"/>
    <x v="0"/>
    <s v="001011"/>
    <x v="29"/>
    <n v="536156"/>
    <n v="-536156"/>
    <n v="101"/>
    <n v="0"/>
  </r>
  <r>
    <s v="4Hospital Employee Education &amp; Training"/>
    <x v="1"/>
    <x v="21"/>
    <b v="1"/>
    <x v="21"/>
    <x v="0"/>
    <n v="101"/>
    <s v="011"/>
    <x v="0"/>
    <s v="001011"/>
    <x v="29"/>
    <n v="36795"/>
    <n v="-36795"/>
    <n v="101"/>
    <n v="0"/>
  </r>
  <r>
    <s v="17Hospital Employee Education &amp; Training"/>
    <x v="1"/>
    <x v="8"/>
    <b v="1"/>
    <x v="8"/>
    <x v="0"/>
    <n v="101"/>
    <s v="011"/>
    <x v="0"/>
    <s v="001011"/>
    <x v="29"/>
    <m/>
    <m/>
    <n v="101"/>
    <n v="0"/>
  </r>
  <r>
    <s v="21Hospital Employee Education &amp; Training"/>
    <x v="1"/>
    <x v="32"/>
    <b v="1"/>
    <x v="32"/>
    <x v="0"/>
    <n v="101"/>
    <s v="011"/>
    <x v="0"/>
    <s v="001011"/>
    <x v="29"/>
    <n v="278217"/>
    <n v="-278217"/>
    <n v="101"/>
    <n v="0"/>
  </r>
  <r>
    <s v="16Hospital Employee Education &amp; Training"/>
    <x v="1"/>
    <x v="9"/>
    <b v="1"/>
    <x v="9"/>
    <x v="0"/>
    <n v="101"/>
    <s v="011"/>
    <x v="0"/>
    <s v="001011"/>
    <x v="29"/>
    <n v="108268"/>
    <n v="-108268"/>
    <n v="101"/>
    <n v="0"/>
  </r>
  <r>
    <s v="89Job Skills Program"/>
    <x v="1"/>
    <x v="6"/>
    <b v="1"/>
    <x v="6"/>
    <x v="2"/>
    <s v="430"/>
    <s v="430"/>
    <x v="9"/>
    <s v="08A430"/>
    <x v="30"/>
    <n v="55000"/>
    <m/>
    <s v="430"/>
    <n v="55000"/>
  </r>
  <r>
    <s v="90Job Skills Program"/>
    <x v="1"/>
    <x v="33"/>
    <b v="1"/>
    <x v="0"/>
    <x v="2"/>
    <s v="430"/>
    <s v="430"/>
    <x v="9"/>
    <s v="08A430"/>
    <x v="30"/>
    <n v="2670000"/>
    <m/>
    <s v="430"/>
    <n v="2670000"/>
  </r>
  <r>
    <s v="6Labor Education &amp; Research Center (ELTA)"/>
    <x v="1"/>
    <x v="7"/>
    <b v="1"/>
    <x v="7"/>
    <x v="2"/>
    <s v="3E0"/>
    <s v="3E0"/>
    <x v="3"/>
    <s v="08A3E0"/>
    <x v="31"/>
    <n v="149749"/>
    <m/>
    <s v="3E0"/>
    <n v="149749"/>
  </r>
  <r>
    <s v="6Labor Education &amp; Research Center (GFS)"/>
    <x v="1"/>
    <x v="7"/>
    <b v="1"/>
    <x v="7"/>
    <x v="0"/>
    <n v="101"/>
    <s v="011"/>
    <x v="0"/>
    <s v="001011"/>
    <x v="32"/>
    <n v="13119"/>
    <m/>
    <n v="101"/>
    <n v="13119"/>
  </r>
  <r>
    <s v="00LEAN Reduction"/>
    <x v="1"/>
    <x v="4"/>
    <b v="1"/>
    <x v="4"/>
    <x v="0"/>
    <n v="101"/>
    <s v="011"/>
    <x v="0"/>
    <s v="001011"/>
    <x v="33"/>
    <n v="2262000"/>
    <n v="-2262000"/>
    <n v="101"/>
    <n v="0"/>
  </r>
  <r>
    <s v="25Leases and Assessments"/>
    <x v="1"/>
    <x v="10"/>
    <b v="1"/>
    <x v="10"/>
    <x v="0"/>
    <n v="101"/>
    <s v="011"/>
    <x v="0"/>
    <s v="001011"/>
    <x v="34"/>
    <m/>
    <n v="300"/>
    <n v="101"/>
    <n v="300"/>
  </r>
  <r>
    <s v="14Leases and Assessments"/>
    <x v="1"/>
    <x v="12"/>
    <b v="1"/>
    <x v="12"/>
    <x v="0"/>
    <n v="101"/>
    <s v="011"/>
    <x v="0"/>
    <s v="001011"/>
    <x v="34"/>
    <m/>
    <n v="209000"/>
    <n v="101"/>
    <n v="209000"/>
  </r>
  <r>
    <s v="29Leases and Assessments"/>
    <x v="1"/>
    <x v="13"/>
    <b v="1"/>
    <x v="13"/>
    <x v="0"/>
    <n v="101"/>
    <s v="011"/>
    <x v="0"/>
    <s v="001011"/>
    <x v="34"/>
    <m/>
    <n v="244000"/>
    <n v="101"/>
    <n v="244000"/>
  </r>
  <r>
    <s v="23Leases and Assessments"/>
    <x v="1"/>
    <x v="14"/>
    <b v="1"/>
    <x v="14"/>
    <x v="0"/>
    <n v="101"/>
    <s v="011"/>
    <x v="0"/>
    <s v="001011"/>
    <x v="34"/>
    <m/>
    <n v="64000"/>
    <n v="101"/>
    <n v="64000"/>
  </r>
  <r>
    <s v="10Leases and Assessments"/>
    <x v="1"/>
    <x v="15"/>
    <b v="1"/>
    <x v="15"/>
    <x v="0"/>
    <n v="101"/>
    <s v="011"/>
    <x v="0"/>
    <s v="001011"/>
    <x v="34"/>
    <m/>
    <n v="42000"/>
    <n v="101"/>
    <n v="42000"/>
  </r>
  <r>
    <s v="1Leases and Assessments"/>
    <x v="1"/>
    <x v="19"/>
    <b v="1"/>
    <x v="19"/>
    <x v="0"/>
    <n v="101"/>
    <s v="011"/>
    <x v="0"/>
    <s v="001011"/>
    <x v="34"/>
    <m/>
    <n v="1000"/>
    <n v="101"/>
    <n v="1000"/>
  </r>
  <r>
    <s v="11Leases and Assessments"/>
    <x v="1"/>
    <x v="31"/>
    <b v="1"/>
    <x v="31"/>
    <x v="0"/>
    <n v="101"/>
    <s v="011"/>
    <x v="0"/>
    <s v="001011"/>
    <x v="34"/>
    <m/>
    <n v="29000"/>
    <n v="101"/>
    <n v="29000"/>
  </r>
  <r>
    <s v="7Leases and Assessments"/>
    <x v="1"/>
    <x v="20"/>
    <b v="1"/>
    <x v="20"/>
    <x v="0"/>
    <n v="101"/>
    <s v="011"/>
    <x v="0"/>
    <s v="001011"/>
    <x v="34"/>
    <m/>
    <n v="9000"/>
    <n v="101"/>
    <n v="9000"/>
  </r>
  <r>
    <s v="4Leases and Assessments"/>
    <x v="1"/>
    <x v="21"/>
    <b v="1"/>
    <x v="21"/>
    <x v="0"/>
    <n v="101"/>
    <s v="011"/>
    <x v="0"/>
    <s v="001011"/>
    <x v="34"/>
    <m/>
    <n v="28000"/>
    <n v="101"/>
    <n v="28000"/>
  </r>
  <r>
    <s v="17Leases and Assessments"/>
    <x v="1"/>
    <x v="8"/>
    <b v="1"/>
    <x v="8"/>
    <x v="0"/>
    <n v="101"/>
    <s v="011"/>
    <x v="0"/>
    <s v="001011"/>
    <x v="34"/>
    <m/>
    <n v="120700"/>
    <n v="101"/>
    <n v="120700"/>
  </r>
  <r>
    <s v="20Leases and Assessments"/>
    <x v="1"/>
    <x v="25"/>
    <b v="1"/>
    <x v="25"/>
    <x v="0"/>
    <n v="101"/>
    <s v="011"/>
    <x v="0"/>
    <s v="001011"/>
    <x v="34"/>
    <m/>
    <n v="14000"/>
    <n v="101"/>
    <n v="14000"/>
  </r>
  <r>
    <s v="6Maritime Industries"/>
    <x v="1"/>
    <x v="7"/>
    <b v="1"/>
    <x v="7"/>
    <x v="0"/>
    <n v="101"/>
    <s v="011"/>
    <x v="0"/>
    <s v="001011"/>
    <x v="35"/>
    <n v="255000"/>
    <m/>
    <n v="101"/>
    <n v="255000"/>
  </r>
  <r>
    <s v="19MESA Community College Programs - MCCP"/>
    <x v="1"/>
    <x v="2"/>
    <b v="1"/>
    <x v="2"/>
    <x v="0"/>
    <s v="BK1"/>
    <s v="BK1"/>
    <x v="10"/>
    <s v="001BK1"/>
    <x v="36"/>
    <n v="58570"/>
    <m/>
    <s v="BK1"/>
    <n v="58570"/>
  </r>
  <r>
    <s v="23MESA Community College Programs - MCCP"/>
    <x v="1"/>
    <x v="14"/>
    <b v="1"/>
    <x v="14"/>
    <x v="0"/>
    <s v="BK1"/>
    <s v="BK1"/>
    <x v="10"/>
    <s v="001BK1"/>
    <x v="36"/>
    <n v="58570"/>
    <m/>
    <s v="BK1"/>
    <n v="58570"/>
  </r>
  <r>
    <s v="9MESA Community College Programs - MCCP"/>
    <x v="1"/>
    <x v="16"/>
    <b v="1"/>
    <x v="16"/>
    <x v="0"/>
    <s v="BK1"/>
    <s v="BK1"/>
    <x v="10"/>
    <s v="001BK1"/>
    <x v="36"/>
    <n v="58570"/>
    <m/>
    <s v="BK1"/>
    <n v="58570"/>
  </r>
  <r>
    <s v="3MESA Community College Programs - MCCP"/>
    <x v="1"/>
    <x v="18"/>
    <b v="1"/>
    <x v="18"/>
    <x v="0"/>
    <s v="BK1"/>
    <s v="BK1"/>
    <x v="10"/>
    <s v="001BK1"/>
    <x v="36"/>
    <n v="58570"/>
    <m/>
    <s v="BK1"/>
    <n v="58570"/>
  </r>
  <r>
    <s v="90MESA Community College Programs - MCCP"/>
    <x v="1"/>
    <x v="0"/>
    <b v="1"/>
    <x v="0"/>
    <x v="0"/>
    <s v="BK1"/>
    <s v="BK1"/>
    <x v="10"/>
    <s v="001BK1"/>
    <x v="36"/>
    <n v="58580"/>
    <m/>
    <s v="BK1"/>
    <n v="58580"/>
  </r>
  <r>
    <s v="6MESA Community College Programs - MCCP"/>
    <x v="1"/>
    <x v="7"/>
    <b v="1"/>
    <x v="7"/>
    <x v="0"/>
    <s v="BK1"/>
    <s v="BK1"/>
    <x v="10"/>
    <s v="001BK1"/>
    <x v="36"/>
    <n v="58570"/>
    <m/>
    <s v="BK1"/>
    <n v="58570"/>
  </r>
  <r>
    <s v="16MESA Community College Programs - MCCP"/>
    <x v="1"/>
    <x v="9"/>
    <b v="1"/>
    <x v="9"/>
    <x v="0"/>
    <s v="BK1"/>
    <s v="BK1"/>
    <x v="10"/>
    <s v="001BK1"/>
    <x v="36"/>
    <n v="58570"/>
    <m/>
    <s v="BK1"/>
    <n v="58570"/>
  </r>
  <r>
    <s v="18Nonrep Job Class Specific Increases"/>
    <x v="1"/>
    <x v="11"/>
    <b v="1"/>
    <x v="11"/>
    <x v="0"/>
    <n v="101"/>
    <s v="011"/>
    <x v="0"/>
    <s v="001011"/>
    <x v="37"/>
    <m/>
    <n v="2327"/>
    <n v="101"/>
    <n v="2327"/>
  </r>
  <r>
    <s v="89Nonrep Job Class Specific Increases"/>
    <x v="1"/>
    <x v="6"/>
    <b v="1"/>
    <x v="6"/>
    <x v="0"/>
    <s v="011"/>
    <s v="011"/>
    <x v="0"/>
    <s v="001011"/>
    <x v="37"/>
    <m/>
    <n v="2673"/>
    <n v="101"/>
    <n v="2673"/>
  </r>
  <r>
    <s v="00Ongoing Reserves"/>
    <x v="1"/>
    <x v="4"/>
    <b v="1"/>
    <x v="4"/>
    <x v="0"/>
    <n v="101"/>
    <s v="011"/>
    <x v="0"/>
    <s v="001011"/>
    <x v="38"/>
    <n v="1462738"/>
    <n v="-10138"/>
    <n v="101"/>
    <n v="1452600"/>
  </r>
  <r>
    <s v="28Opportunity Grants (ELTA)"/>
    <x v="1"/>
    <x v="1"/>
    <b v="1"/>
    <x v="1"/>
    <x v="2"/>
    <s v="3E0"/>
    <s v="3E0"/>
    <x v="3"/>
    <s v="08A3E0"/>
    <x v="39"/>
    <n v="263800"/>
    <n v="-13800"/>
    <s v="3E0"/>
    <n v="250000"/>
  </r>
  <r>
    <s v="8Opportunity Grants (ELTA)"/>
    <x v="1"/>
    <x v="27"/>
    <b v="1"/>
    <x v="27"/>
    <x v="2"/>
    <s v="3E0"/>
    <s v="3E0"/>
    <x v="3"/>
    <s v="08A3E0"/>
    <x v="39"/>
    <n v="350000"/>
    <n v="0"/>
    <s v="3E0"/>
    <n v="350000"/>
  </r>
  <r>
    <s v="25Opportunity Grants (ELTA)"/>
    <x v="1"/>
    <x v="10"/>
    <b v="1"/>
    <x v="10"/>
    <x v="2"/>
    <s v="3E0"/>
    <s v="3E0"/>
    <x v="3"/>
    <s v="08A3E0"/>
    <x v="39"/>
    <n v="56000"/>
    <n v="0"/>
    <s v="3E0"/>
    <n v="56000"/>
  </r>
  <r>
    <s v="30Opportunity Grants (ELTA)"/>
    <x v="1"/>
    <x v="28"/>
    <b v="1"/>
    <x v="28"/>
    <x v="2"/>
    <s v="3E0"/>
    <s v="3E0"/>
    <x v="3"/>
    <s v="08A3E0"/>
    <x v="39"/>
    <n v="110000"/>
    <n v="90000"/>
    <s v="3E0"/>
    <n v="200000"/>
  </r>
  <r>
    <s v="12Opportunity Grants (ELTA)"/>
    <x v="1"/>
    <x v="29"/>
    <b v="1"/>
    <x v="29"/>
    <x v="2"/>
    <s v="3E0"/>
    <s v="3E0"/>
    <x v="3"/>
    <s v="08A3E0"/>
    <x v="39"/>
    <n v="340000"/>
    <n v="0"/>
    <s v="3E0"/>
    <n v="340000"/>
  </r>
  <r>
    <s v="14Opportunity Grants (ELTA)"/>
    <x v="1"/>
    <x v="12"/>
    <b v="1"/>
    <x v="12"/>
    <x v="2"/>
    <s v="3E0"/>
    <s v="3E0"/>
    <x v="3"/>
    <s v="08A3E0"/>
    <x v="39"/>
    <n v="250000"/>
    <n v="0"/>
    <s v="3E0"/>
    <n v="250000"/>
  </r>
  <r>
    <s v="29Opportunity Grants (ELTA)"/>
    <x v="1"/>
    <x v="13"/>
    <b v="1"/>
    <x v="13"/>
    <x v="2"/>
    <s v="3E0"/>
    <s v="3E0"/>
    <x v="3"/>
    <s v="08A3E0"/>
    <x v="39"/>
    <n v="34500"/>
    <n v="-34500"/>
    <s v="3E0"/>
    <n v="0"/>
  </r>
  <r>
    <s v="19Opportunity Grants (ELTA)"/>
    <x v="1"/>
    <x v="2"/>
    <b v="1"/>
    <x v="2"/>
    <x v="2"/>
    <s v="3E0"/>
    <s v="3E0"/>
    <x v="3"/>
    <s v="08A3E0"/>
    <x v="39"/>
    <n v="250000"/>
    <n v="0"/>
    <s v="3E0"/>
    <n v="250000"/>
  </r>
  <r>
    <s v="23Opportunity Grants (ELTA)"/>
    <x v="1"/>
    <x v="14"/>
    <b v="1"/>
    <x v="14"/>
    <x v="2"/>
    <s v="3E0"/>
    <s v="3E0"/>
    <x v="3"/>
    <s v="08A3E0"/>
    <x v="39"/>
    <n v="0"/>
    <n v="0"/>
    <s v="3E0"/>
    <n v="0"/>
  </r>
  <r>
    <s v="5Opportunity Grants (ELTA)"/>
    <x v="1"/>
    <x v="3"/>
    <b v="1"/>
    <x v="3"/>
    <x v="2"/>
    <s v="3E0"/>
    <s v="3E0"/>
    <x v="3"/>
    <s v="08A3E0"/>
    <x v="39"/>
    <n v="290000"/>
    <n v="0"/>
    <s v="3E0"/>
    <n v="290000"/>
  </r>
  <r>
    <s v="00Opportunity Grants (ELTA)"/>
    <x v="1"/>
    <x v="4"/>
    <b v="1"/>
    <x v="4"/>
    <x v="2"/>
    <s v="3E0"/>
    <s v="3E0"/>
    <x v="3"/>
    <s v="08A3E0"/>
    <x v="39"/>
    <n v="0"/>
    <n v="107700"/>
    <s v="3E0"/>
    <n v="107700"/>
  </r>
  <r>
    <s v="2Opportunity Grants (ELTA)"/>
    <x v="1"/>
    <x v="30"/>
    <b v="1"/>
    <x v="30"/>
    <x v="2"/>
    <s v="3E0"/>
    <s v="3E0"/>
    <x v="3"/>
    <s v="08A3E0"/>
    <x v="39"/>
    <n v="290700"/>
    <n v="-20700"/>
    <s v="3E0"/>
    <n v="270000"/>
  </r>
  <r>
    <s v="10Opportunity Grants (ELTA)"/>
    <x v="1"/>
    <x v="15"/>
    <b v="1"/>
    <x v="15"/>
    <x v="2"/>
    <s v="3E0"/>
    <s v="3E0"/>
    <x v="3"/>
    <s v="08A3E0"/>
    <x v="39"/>
    <n v="325000"/>
    <n v="0"/>
    <s v="3E0"/>
    <n v="325000"/>
  </r>
  <r>
    <s v="9Opportunity Grants (ELTA)"/>
    <x v="1"/>
    <x v="16"/>
    <b v="1"/>
    <x v="16"/>
    <x v="2"/>
    <s v="3E0"/>
    <s v="3E0"/>
    <x v="3"/>
    <s v="08A3E0"/>
    <x v="39"/>
    <n v="0"/>
    <n v="0"/>
    <s v="3E0"/>
    <n v="0"/>
  </r>
  <r>
    <s v="26Opportunity Grants (ELTA)"/>
    <x v="1"/>
    <x v="17"/>
    <b v="1"/>
    <x v="17"/>
    <x v="2"/>
    <s v="3E0"/>
    <s v="3E0"/>
    <x v="3"/>
    <s v="08A3E0"/>
    <x v="39"/>
    <n v="250000"/>
    <n v="0"/>
    <s v="3E0"/>
    <n v="250000"/>
  </r>
  <r>
    <s v="13Opportunity Grants (ELTA)"/>
    <x v="1"/>
    <x v="26"/>
    <b v="1"/>
    <x v="26"/>
    <x v="2"/>
    <s v="3E0"/>
    <s v="3E0"/>
    <x v="3"/>
    <s v="08A3E0"/>
    <x v="39"/>
    <n v="277000"/>
    <n v="0"/>
    <s v="3E0"/>
    <n v="277000"/>
  </r>
  <r>
    <s v="3Opportunity Grants (ELTA)"/>
    <x v="1"/>
    <x v="18"/>
    <b v="1"/>
    <x v="18"/>
    <x v="2"/>
    <s v="3E0"/>
    <s v="3E0"/>
    <x v="3"/>
    <s v="08A3E0"/>
    <x v="39"/>
    <n v="0"/>
    <n v="0"/>
    <s v="3E0"/>
    <n v="0"/>
  </r>
  <r>
    <s v="1Opportunity Grants (ELTA)"/>
    <x v="1"/>
    <x v="19"/>
    <b v="1"/>
    <x v="19"/>
    <x v="2"/>
    <s v="3E0"/>
    <s v="3E0"/>
    <x v="3"/>
    <s v="08A3E0"/>
    <x v="39"/>
    <n v="0"/>
    <n v="0"/>
    <s v="3E0"/>
    <n v="0"/>
  </r>
  <r>
    <s v="11Opportunity Grants (ELTA)"/>
    <x v="1"/>
    <x v="31"/>
    <b v="1"/>
    <x v="31"/>
    <x v="2"/>
    <s v="3E0"/>
    <s v="3E0"/>
    <x v="3"/>
    <s v="08A3E0"/>
    <x v="39"/>
    <n v="630000"/>
    <n v="0"/>
    <s v="3E0"/>
    <n v="630000"/>
  </r>
  <r>
    <s v="27Opportunity Grants (ELTA)"/>
    <x v="1"/>
    <x v="5"/>
    <b v="1"/>
    <x v="5"/>
    <x v="2"/>
    <s v="3E0"/>
    <s v="3E0"/>
    <x v="3"/>
    <s v="08A3E0"/>
    <x v="39"/>
    <n v="250000"/>
    <n v="0"/>
    <s v="3E0"/>
    <n v="250000"/>
  </r>
  <r>
    <s v="89Opportunity Grants (ELTA)"/>
    <x v="1"/>
    <x v="6"/>
    <b v="1"/>
    <x v="6"/>
    <x v="2"/>
    <s v="3E0"/>
    <s v="3E0"/>
    <x v="3"/>
    <s v="08A3E0"/>
    <x v="39"/>
    <n v="118300"/>
    <m/>
    <s v="3E0"/>
    <n v="118300"/>
  </r>
  <r>
    <s v="90Opportunity Grants (ELTA)"/>
    <x v="1"/>
    <x v="0"/>
    <b v="1"/>
    <x v="0"/>
    <x v="2"/>
    <s v="3E0"/>
    <s v="3E0"/>
    <x v="3"/>
    <s v="08A3E0"/>
    <x v="39"/>
    <n v="700000"/>
    <m/>
    <s v="3E0"/>
    <n v="700000"/>
  </r>
  <r>
    <s v="6Opportunity Grants (ELTA)"/>
    <x v="1"/>
    <x v="7"/>
    <b v="1"/>
    <x v="7"/>
    <x v="2"/>
    <s v="3E0"/>
    <s v="3E0"/>
    <x v="3"/>
    <s v="08A3E0"/>
    <x v="39"/>
    <n v="972500"/>
    <n v="-32500"/>
    <s v="3E0"/>
    <n v="940000"/>
  </r>
  <r>
    <s v="7Opportunity Grants (ELTA)"/>
    <x v="1"/>
    <x v="20"/>
    <b v="1"/>
    <x v="20"/>
    <x v="2"/>
    <s v="3E0"/>
    <s v="3E0"/>
    <x v="3"/>
    <s v="08A3E0"/>
    <x v="39"/>
    <n v="0"/>
    <n v="0"/>
    <s v="3E0"/>
    <n v="0"/>
  </r>
  <r>
    <s v="4Opportunity Grants (ELTA)"/>
    <x v="1"/>
    <x v="21"/>
    <b v="1"/>
    <x v="21"/>
    <x v="2"/>
    <s v="3E0"/>
    <s v="3E0"/>
    <x v="3"/>
    <s v="08A3E0"/>
    <x v="39"/>
    <n v="277500"/>
    <n v="-27500"/>
    <s v="3E0"/>
    <n v="250000"/>
  </r>
  <r>
    <s v="24Opportunity Grants (ELTA)"/>
    <x v="1"/>
    <x v="22"/>
    <b v="1"/>
    <x v="22"/>
    <x v="2"/>
    <s v="3E0"/>
    <s v="3E0"/>
    <x v="3"/>
    <s v="08A3E0"/>
    <x v="39"/>
    <n v="250000"/>
    <n v="0"/>
    <s v="3E0"/>
    <n v="250000"/>
  </r>
  <r>
    <s v="17Opportunity Grants (ELTA)"/>
    <x v="1"/>
    <x v="8"/>
    <b v="1"/>
    <x v="8"/>
    <x v="2"/>
    <s v="3E0"/>
    <s v="3E0"/>
    <x v="3"/>
    <s v="08A3E0"/>
    <x v="39"/>
    <n v="567500"/>
    <n v="-27500"/>
    <s v="3E0"/>
    <n v="540000"/>
  </r>
  <r>
    <s v="22Opportunity Grants (ELTA)"/>
    <x v="1"/>
    <x v="23"/>
    <b v="1"/>
    <x v="23"/>
    <x v="2"/>
    <s v="3E0"/>
    <s v="3E0"/>
    <x v="3"/>
    <s v="08A3E0"/>
    <x v="39"/>
    <n v="277500"/>
    <n v="-27500"/>
    <s v="3E0"/>
    <n v="250000"/>
  </r>
  <r>
    <s v="20Opportunity Grants (ELTA)"/>
    <x v="1"/>
    <x v="25"/>
    <b v="1"/>
    <x v="25"/>
    <x v="2"/>
    <s v="3E0"/>
    <s v="3E0"/>
    <x v="3"/>
    <s v="08A3E0"/>
    <x v="39"/>
    <n v="0"/>
    <n v="0"/>
    <s v="3E0"/>
    <n v="0"/>
  </r>
  <r>
    <s v="15Opportunity Grants (ELTA)"/>
    <x v="1"/>
    <x v="24"/>
    <b v="1"/>
    <x v="24"/>
    <x v="2"/>
    <s v="3E0"/>
    <s v="3E0"/>
    <x v="3"/>
    <s v="08A3E0"/>
    <x v="39"/>
    <n v="263700"/>
    <n v="-13700"/>
    <s v="3E0"/>
    <n v="250000"/>
  </r>
  <r>
    <s v="21Opportunity Grants (ELTA)"/>
    <x v="1"/>
    <x v="32"/>
    <b v="1"/>
    <x v="32"/>
    <x v="2"/>
    <s v="3E0"/>
    <s v="3E0"/>
    <x v="3"/>
    <s v="08A3E0"/>
    <x v="39"/>
    <n v="106000"/>
    <m/>
    <s v="3E0"/>
    <n v="106000"/>
  </r>
  <r>
    <s v="28Opportunity Grants (GFS)"/>
    <x v="1"/>
    <x v="1"/>
    <b v="1"/>
    <x v="1"/>
    <x v="0"/>
    <n v="101"/>
    <s v="011"/>
    <x v="0"/>
    <s v="001011"/>
    <x v="40"/>
    <n v="29412"/>
    <m/>
    <n v="101"/>
    <n v="29412"/>
  </r>
  <r>
    <s v="8Opportunity Grants (GFS)"/>
    <x v="1"/>
    <x v="27"/>
    <b v="1"/>
    <x v="27"/>
    <x v="0"/>
    <n v="101"/>
    <s v="011"/>
    <x v="0"/>
    <s v="001011"/>
    <x v="40"/>
    <n v="29412"/>
    <m/>
    <n v="101"/>
    <n v="29412"/>
  </r>
  <r>
    <s v="25Opportunity Grants (GFS)"/>
    <x v="1"/>
    <x v="10"/>
    <b v="1"/>
    <x v="10"/>
    <x v="0"/>
    <n v="101"/>
    <s v="011"/>
    <x v="0"/>
    <s v="001011"/>
    <x v="40"/>
    <n v="317412"/>
    <m/>
    <n v="101"/>
    <n v="317412"/>
  </r>
  <r>
    <s v="18Opportunity Grants (GFS)"/>
    <x v="1"/>
    <x v="11"/>
    <b v="1"/>
    <x v="11"/>
    <x v="0"/>
    <n v="101"/>
    <s v="011"/>
    <x v="0"/>
    <s v="001011"/>
    <x v="40"/>
    <n v="428412"/>
    <m/>
    <n v="101"/>
    <n v="428412"/>
  </r>
  <r>
    <s v="30Opportunity Grants (GFS)"/>
    <x v="1"/>
    <x v="28"/>
    <b v="1"/>
    <x v="28"/>
    <x v="0"/>
    <n v="101"/>
    <s v="011"/>
    <x v="0"/>
    <s v="001011"/>
    <x v="40"/>
    <n v="29412"/>
    <m/>
    <n v="101"/>
    <n v="29412"/>
  </r>
  <r>
    <s v="12Opportunity Grants (GFS)"/>
    <x v="1"/>
    <x v="29"/>
    <b v="1"/>
    <x v="29"/>
    <x v="0"/>
    <n v="101"/>
    <s v="011"/>
    <x v="0"/>
    <s v="001011"/>
    <x v="40"/>
    <n v="29412"/>
    <m/>
    <n v="101"/>
    <n v="29412"/>
  </r>
  <r>
    <s v="14Opportunity Grants (GFS)"/>
    <x v="1"/>
    <x v="12"/>
    <b v="1"/>
    <x v="12"/>
    <x v="0"/>
    <n v="101"/>
    <s v="011"/>
    <x v="0"/>
    <s v="001011"/>
    <x v="40"/>
    <n v="29412"/>
    <m/>
    <n v="101"/>
    <n v="29412"/>
  </r>
  <r>
    <s v="29Opportunity Grants (GFS)"/>
    <x v="1"/>
    <x v="13"/>
    <b v="1"/>
    <x v="13"/>
    <x v="0"/>
    <n v="101"/>
    <s v="011"/>
    <x v="0"/>
    <s v="001011"/>
    <x v="40"/>
    <n v="448412"/>
    <m/>
    <n v="101"/>
    <n v="448412"/>
  </r>
  <r>
    <s v="19Opportunity Grants (GFS)"/>
    <x v="1"/>
    <x v="2"/>
    <b v="1"/>
    <x v="2"/>
    <x v="0"/>
    <n v="101"/>
    <s v="011"/>
    <x v="0"/>
    <s v="001011"/>
    <x v="40"/>
    <n v="29412"/>
    <m/>
    <n v="101"/>
    <n v="29412"/>
  </r>
  <r>
    <s v="23Opportunity Grants (GFS)"/>
    <x v="1"/>
    <x v="14"/>
    <b v="1"/>
    <x v="14"/>
    <x v="0"/>
    <n v="101"/>
    <s v="011"/>
    <x v="0"/>
    <s v="001011"/>
    <x v="40"/>
    <n v="461412"/>
    <m/>
    <n v="101"/>
    <n v="461412"/>
  </r>
  <r>
    <s v="5Opportunity Grants (GFS)"/>
    <x v="1"/>
    <x v="3"/>
    <b v="1"/>
    <x v="3"/>
    <x v="0"/>
    <n v="101"/>
    <s v="011"/>
    <x v="0"/>
    <s v="001011"/>
    <x v="40"/>
    <n v="29412"/>
    <m/>
    <n v="101"/>
    <n v="29412"/>
  </r>
  <r>
    <s v="2Opportunity Grants (GFS)"/>
    <x v="1"/>
    <x v="30"/>
    <b v="1"/>
    <x v="30"/>
    <x v="0"/>
    <n v="101"/>
    <s v="011"/>
    <x v="0"/>
    <s v="001011"/>
    <x v="40"/>
    <n v="29412"/>
    <m/>
    <n v="101"/>
    <n v="29412"/>
  </r>
  <r>
    <s v="10Opportunity Grants (GFS)"/>
    <x v="1"/>
    <x v="15"/>
    <b v="1"/>
    <x v="15"/>
    <x v="0"/>
    <n v="101"/>
    <s v="011"/>
    <x v="0"/>
    <s v="001011"/>
    <x v="40"/>
    <n v="29412"/>
    <m/>
    <n v="101"/>
    <n v="29412"/>
  </r>
  <r>
    <s v="9Opportunity Grants (GFS)"/>
    <x v="1"/>
    <x v="16"/>
    <b v="1"/>
    <x v="16"/>
    <x v="0"/>
    <n v="101"/>
    <s v="011"/>
    <x v="0"/>
    <s v="001011"/>
    <x v="40"/>
    <n v="461412"/>
    <m/>
    <n v="101"/>
    <n v="461412"/>
  </r>
  <r>
    <s v="26Opportunity Grants (GFS)"/>
    <x v="1"/>
    <x v="17"/>
    <b v="1"/>
    <x v="17"/>
    <x v="0"/>
    <n v="101"/>
    <s v="011"/>
    <x v="0"/>
    <s v="001011"/>
    <x v="40"/>
    <n v="29412"/>
    <m/>
    <n v="101"/>
    <n v="29412"/>
  </r>
  <r>
    <s v="13Opportunity Grants (GFS)"/>
    <x v="1"/>
    <x v="26"/>
    <b v="1"/>
    <x v="26"/>
    <x v="0"/>
    <n v="101"/>
    <s v="011"/>
    <x v="0"/>
    <s v="001011"/>
    <x v="40"/>
    <n v="29412"/>
    <m/>
    <n v="101"/>
    <n v="29412"/>
  </r>
  <r>
    <s v="3Opportunity Grants (GFS)"/>
    <x v="1"/>
    <x v="18"/>
    <b v="1"/>
    <x v="18"/>
    <x v="0"/>
    <n v="101"/>
    <s v="011"/>
    <x v="0"/>
    <s v="001011"/>
    <x v="40"/>
    <n v="334412"/>
    <m/>
    <n v="101"/>
    <n v="334412"/>
  </r>
  <r>
    <s v="1Opportunity Grants (GFS)"/>
    <x v="1"/>
    <x v="19"/>
    <b v="1"/>
    <x v="19"/>
    <x v="0"/>
    <n v="101"/>
    <s v="011"/>
    <x v="0"/>
    <s v="001011"/>
    <x v="40"/>
    <n v="399412"/>
    <m/>
    <n v="101"/>
    <n v="399412"/>
  </r>
  <r>
    <s v="11Opportunity Grants (GFS)"/>
    <x v="1"/>
    <x v="31"/>
    <b v="1"/>
    <x v="31"/>
    <x v="0"/>
    <n v="101"/>
    <s v="011"/>
    <x v="0"/>
    <s v="001011"/>
    <x v="40"/>
    <n v="58822"/>
    <m/>
    <n v="101"/>
    <n v="58822"/>
  </r>
  <r>
    <s v="27Opportunity Grants (GFS)"/>
    <x v="1"/>
    <x v="5"/>
    <b v="1"/>
    <x v="5"/>
    <x v="0"/>
    <n v="101"/>
    <s v="011"/>
    <x v="0"/>
    <s v="001011"/>
    <x v="40"/>
    <n v="29412"/>
    <m/>
    <n v="101"/>
    <n v="29412"/>
  </r>
  <r>
    <s v="6Opportunity Grants (GFS)"/>
    <x v="1"/>
    <x v="7"/>
    <b v="1"/>
    <x v="7"/>
    <x v="0"/>
    <n v="101"/>
    <s v="011"/>
    <x v="0"/>
    <s v="001011"/>
    <x v="40"/>
    <n v="88232"/>
    <m/>
    <n v="101"/>
    <n v="88232"/>
  </r>
  <r>
    <s v="7Opportunity Grants (GFS)"/>
    <x v="1"/>
    <x v="20"/>
    <b v="1"/>
    <x v="20"/>
    <x v="0"/>
    <n v="101"/>
    <s v="011"/>
    <x v="0"/>
    <s v="001011"/>
    <x v="40"/>
    <n v="445412"/>
    <m/>
    <n v="101"/>
    <n v="445412"/>
  </r>
  <r>
    <s v="4Opportunity Grants (GFS)"/>
    <x v="1"/>
    <x v="21"/>
    <b v="1"/>
    <x v="21"/>
    <x v="0"/>
    <n v="101"/>
    <s v="011"/>
    <x v="0"/>
    <s v="001011"/>
    <x v="40"/>
    <n v="29412"/>
    <m/>
    <n v="101"/>
    <n v="29412"/>
  </r>
  <r>
    <s v="24Opportunity Grants (GFS)"/>
    <x v="1"/>
    <x v="22"/>
    <b v="1"/>
    <x v="22"/>
    <x v="0"/>
    <n v="101"/>
    <s v="011"/>
    <x v="0"/>
    <s v="001011"/>
    <x v="40"/>
    <n v="29412"/>
    <m/>
    <n v="101"/>
    <n v="29412"/>
  </r>
  <r>
    <s v="17Opportunity Grants (GFS)"/>
    <x v="1"/>
    <x v="8"/>
    <b v="1"/>
    <x v="8"/>
    <x v="0"/>
    <n v="101"/>
    <s v="011"/>
    <x v="0"/>
    <s v="001011"/>
    <x v="40"/>
    <n v="58822"/>
    <m/>
    <n v="101"/>
    <n v="58822"/>
  </r>
  <r>
    <s v="22Opportunity Grants (GFS)"/>
    <x v="1"/>
    <x v="23"/>
    <b v="1"/>
    <x v="23"/>
    <x v="0"/>
    <n v="101"/>
    <s v="011"/>
    <x v="0"/>
    <s v="001011"/>
    <x v="40"/>
    <n v="29412"/>
    <m/>
    <n v="101"/>
    <n v="29412"/>
  </r>
  <r>
    <s v="20Opportunity Grants (GFS)"/>
    <x v="1"/>
    <x v="25"/>
    <b v="1"/>
    <x v="25"/>
    <x v="0"/>
    <n v="101"/>
    <s v="011"/>
    <x v="0"/>
    <s v="001011"/>
    <x v="40"/>
    <n v="461412"/>
    <m/>
    <n v="101"/>
    <n v="461412"/>
  </r>
  <r>
    <s v="15Opportunity Grants (GFS)"/>
    <x v="1"/>
    <x v="24"/>
    <b v="1"/>
    <x v="24"/>
    <x v="0"/>
    <n v="101"/>
    <s v="011"/>
    <x v="0"/>
    <s v="001011"/>
    <x v="40"/>
    <n v="29412"/>
    <m/>
    <n v="101"/>
    <n v="29412"/>
  </r>
  <r>
    <s v="21Opportunity Grants (GFS)"/>
    <x v="1"/>
    <x v="32"/>
    <b v="1"/>
    <x v="32"/>
    <x v="0"/>
    <n v="101"/>
    <s v="011"/>
    <x v="0"/>
    <s v="001011"/>
    <x v="40"/>
    <n v="173412"/>
    <m/>
    <n v="101"/>
    <n v="173412"/>
  </r>
  <r>
    <s v="16Opportunity Grants (GFS)"/>
    <x v="1"/>
    <x v="9"/>
    <b v="1"/>
    <x v="9"/>
    <x v="0"/>
    <n v="101"/>
    <s v="011"/>
    <x v="0"/>
    <s v="001011"/>
    <x v="40"/>
    <n v="392412"/>
    <m/>
    <n v="101"/>
    <n v="392412"/>
  </r>
  <r>
    <s v="28PERS/TRS Pension Rate Changes"/>
    <x v="1"/>
    <x v="1"/>
    <b v="1"/>
    <x v="1"/>
    <x v="0"/>
    <n v="101"/>
    <s v="011"/>
    <x v="0"/>
    <s v="001011"/>
    <x v="41"/>
    <m/>
    <n v="64517"/>
    <n v="101"/>
    <n v="64517"/>
  </r>
  <r>
    <s v="8PERS/TRS Pension Rate Changes"/>
    <x v="1"/>
    <x v="27"/>
    <b v="1"/>
    <x v="27"/>
    <x v="0"/>
    <n v="101"/>
    <s v="011"/>
    <x v="0"/>
    <s v="001011"/>
    <x v="41"/>
    <m/>
    <n v="114529"/>
    <n v="101"/>
    <n v="114529"/>
  </r>
  <r>
    <s v="25PERS/TRS Pension Rate Changes"/>
    <x v="1"/>
    <x v="10"/>
    <b v="1"/>
    <x v="10"/>
    <x v="0"/>
    <n v="101"/>
    <s v="011"/>
    <x v="0"/>
    <s v="001011"/>
    <x v="41"/>
    <m/>
    <n v="44857"/>
    <n v="101"/>
    <n v="44857"/>
  </r>
  <r>
    <s v="18PERS/TRS Pension Rate Changes"/>
    <x v="1"/>
    <x v="11"/>
    <b v="1"/>
    <x v="11"/>
    <x v="0"/>
    <n v="101"/>
    <s v="011"/>
    <x v="0"/>
    <s v="001011"/>
    <x v="41"/>
    <m/>
    <n v="35776"/>
    <n v="101"/>
    <n v="35776"/>
  </r>
  <r>
    <s v="30PERS/TRS Pension Rate Changes"/>
    <x v="1"/>
    <x v="28"/>
    <b v="1"/>
    <x v="28"/>
    <x v="0"/>
    <n v="101"/>
    <s v="011"/>
    <x v="0"/>
    <s v="001011"/>
    <x v="41"/>
    <m/>
    <n v="19363"/>
    <n v="101"/>
    <n v="19363"/>
  </r>
  <r>
    <s v="12PERS/TRS Pension Rate Changes"/>
    <x v="1"/>
    <x v="29"/>
    <b v="1"/>
    <x v="29"/>
    <x v="0"/>
    <n v="101"/>
    <s v="011"/>
    <x v="0"/>
    <s v="001011"/>
    <x v="41"/>
    <m/>
    <n v="41991"/>
    <n v="101"/>
    <n v="41991"/>
  </r>
  <r>
    <s v="14PERS/TRS Pension Rate Changes"/>
    <x v="1"/>
    <x v="12"/>
    <b v="1"/>
    <x v="12"/>
    <x v="0"/>
    <n v="101"/>
    <s v="011"/>
    <x v="0"/>
    <s v="001011"/>
    <x v="41"/>
    <m/>
    <n v="161564"/>
    <n v="101"/>
    <n v="161564"/>
  </r>
  <r>
    <s v="29PERS/TRS Pension Rate Changes"/>
    <x v="1"/>
    <x v="13"/>
    <b v="1"/>
    <x v="13"/>
    <x v="0"/>
    <n v="101"/>
    <s v="011"/>
    <x v="0"/>
    <s v="001011"/>
    <x v="41"/>
    <m/>
    <n v="64574"/>
    <n v="101"/>
    <n v="64574"/>
  </r>
  <r>
    <s v="19PERS/TRS Pension Rate Changes"/>
    <x v="1"/>
    <x v="2"/>
    <b v="1"/>
    <x v="2"/>
    <x v="0"/>
    <n v="101"/>
    <s v="011"/>
    <x v="0"/>
    <s v="001011"/>
    <x v="41"/>
    <m/>
    <n v="57009"/>
    <n v="101"/>
    <n v="57009"/>
  </r>
  <r>
    <s v="23PERS/TRS Pension Rate Changes"/>
    <x v="1"/>
    <x v="14"/>
    <b v="1"/>
    <x v="14"/>
    <x v="0"/>
    <n v="101"/>
    <s v="011"/>
    <x v="0"/>
    <s v="001011"/>
    <x v="41"/>
    <m/>
    <n v="121581"/>
    <n v="101"/>
    <n v="121581"/>
  </r>
  <r>
    <s v="5PERS/TRS Pension Rate Changes"/>
    <x v="1"/>
    <x v="3"/>
    <b v="1"/>
    <x v="3"/>
    <x v="0"/>
    <n v="101"/>
    <s v="011"/>
    <x v="0"/>
    <s v="001011"/>
    <x v="41"/>
    <m/>
    <n v="115839"/>
    <n v="101"/>
    <n v="115839"/>
  </r>
  <r>
    <s v="2PERS/TRS Pension Rate Changes"/>
    <x v="1"/>
    <x v="30"/>
    <b v="1"/>
    <x v="30"/>
    <x v="0"/>
    <n v="101"/>
    <s v="011"/>
    <x v="0"/>
    <s v="001011"/>
    <x v="41"/>
    <m/>
    <n v="43100"/>
    <n v="101"/>
    <n v="43100"/>
  </r>
  <r>
    <s v="10PERS/TRS Pension Rate Changes"/>
    <x v="1"/>
    <x v="15"/>
    <b v="1"/>
    <x v="15"/>
    <x v="0"/>
    <n v="101"/>
    <s v="011"/>
    <x v="0"/>
    <s v="001011"/>
    <x v="41"/>
    <m/>
    <n v="106866"/>
    <n v="101"/>
    <n v="106866"/>
  </r>
  <r>
    <s v="9PERS/TRS Pension Rate Changes"/>
    <x v="1"/>
    <x v="16"/>
    <b v="1"/>
    <x v="16"/>
    <x v="0"/>
    <n v="101"/>
    <s v="011"/>
    <x v="0"/>
    <s v="001011"/>
    <x v="41"/>
    <m/>
    <n v="71265"/>
    <n v="101"/>
    <n v="71265"/>
  </r>
  <r>
    <s v="26PERS/TRS Pension Rate Changes"/>
    <x v="1"/>
    <x v="17"/>
    <b v="1"/>
    <x v="17"/>
    <x v="0"/>
    <n v="101"/>
    <s v="011"/>
    <x v="0"/>
    <s v="001011"/>
    <x v="41"/>
    <m/>
    <n v="42372"/>
    <n v="101"/>
    <n v="42372"/>
  </r>
  <r>
    <s v="13PERS/TRS Pension Rate Changes"/>
    <x v="1"/>
    <x v="26"/>
    <b v="1"/>
    <x v="26"/>
    <x v="0"/>
    <n v="101"/>
    <s v="011"/>
    <x v="0"/>
    <s v="001011"/>
    <x v="41"/>
    <m/>
    <n v="43157"/>
    <n v="101"/>
    <n v="43157"/>
  </r>
  <r>
    <s v="3PERS/TRS Pension Rate Changes"/>
    <x v="1"/>
    <x v="18"/>
    <b v="1"/>
    <x v="18"/>
    <x v="0"/>
    <n v="101"/>
    <s v="011"/>
    <x v="0"/>
    <s v="001011"/>
    <x v="41"/>
    <m/>
    <n v="75505"/>
    <n v="101"/>
    <n v="75505"/>
  </r>
  <r>
    <s v="1PERS/TRS Pension Rate Changes"/>
    <x v="1"/>
    <x v="19"/>
    <b v="1"/>
    <x v="19"/>
    <x v="0"/>
    <n v="101"/>
    <s v="011"/>
    <x v="0"/>
    <s v="001011"/>
    <x v="41"/>
    <m/>
    <n v="30090"/>
    <n v="101"/>
    <n v="30090"/>
  </r>
  <r>
    <s v="11PERS/TRS Pension Rate Changes"/>
    <x v="1"/>
    <x v="31"/>
    <b v="1"/>
    <x v="31"/>
    <x v="0"/>
    <n v="101"/>
    <s v="011"/>
    <x v="0"/>
    <s v="001011"/>
    <x v="41"/>
    <m/>
    <n v="145510"/>
    <n v="101"/>
    <n v="145510"/>
  </r>
  <r>
    <s v="27PERS/TRS Pension Rate Changes"/>
    <x v="1"/>
    <x v="5"/>
    <b v="1"/>
    <x v="5"/>
    <x v="0"/>
    <n v="101"/>
    <s v="011"/>
    <x v="0"/>
    <s v="001011"/>
    <x v="41"/>
    <m/>
    <n v="54467"/>
    <n v="101"/>
    <n v="54467"/>
  </r>
  <r>
    <s v="89PERS/TRS Pension Rate Changes"/>
    <x v="1"/>
    <x v="6"/>
    <b v="1"/>
    <x v="6"/>
    <x v="0"/>
    <s v="011"/>
    <s v="011"/>
    <x v="0"/>
    <s v="001011"/>
    <x v="41"/>
    <m/>
    <n v="54899"/>
    <n v="101"/>
    <n v="54899"/>
  </r>
  <r>
    <s v="6PERS/TRS Pension Rate Changes"/>
    <x v="1"/>
    <x v="7"/>
    <b v="1"/>
    <x v="7"/>
    <x v="0"/>
    <n v="101"/>
    <s v="011"/>
    <x v="0"/>
    <s v="001011"/>
    <x v="41"/>
    <m/>
    <n v="270563"/>
    <n v="101"/>
    <n v="270563"/>
  </r>
  <r>
    <s v="7PERS/TRS Pension Rate Changes"/>
    <x v="1"/>
    <x v="20"/>
    <b v="1"/>
    <x v="20"/>
    <x v="0"/>
    <n v="101"/>
    <s v="011"/>
    <x v="0"/>
    <s v="001011"/>
    <x v="41"/>
    <m/>
    <n v="74449"/>
    <n v="101"/>
    <n v="74449"/>
  </r>
  <r>
    <s v="4PERS/TRS Pension Rate Changes"/>
    <x v="1"/>
    <x v="21"/>
    <b v="1"/>
    <x v="21"/>
    <x v="0"/>
    <n v="101"/>
    <s v="011"/>
    <x v="0"/>
    <s v="001011"/>
    <x v="41"/>
    <m/>
    <n v="68672"/>
    <n v="101"/>
    <n v="68672"/>
  </r>
  <r>
    <s v="24PERS/TRS Pension Rate Changes"/>
    <x v="1"/>
    <x v="22"/>
    <b v="1"/>
    <x v="22"/>
    <x v="0"/>
    <n v="101"/>
    <s v="011"/>
    <x v="0"/>
    <s v="001011"/>
    <x v="41"/>
    <m/>
    <n v="76797"/>
    <n v="101"/>
    <n v="76797"/>
  </r>
  <r>
    <s v="17PERS/TRS Pension Rate Changes"/>
    <x v="1"/>
    <x v="8"/>
    <b v="1"/>
    <x v="8"/>
    <x v="0"/>
    <n v="101"/>
    <s v="011"/>
    <x v="0"/>
    <s v="001011"/>
    <x v="41"/>
    <m/>
    <n v="223773"/>
    <n v="101"/>
    <n v="223773"/>
  </r>
  <r>
    <s v="22PERS/TRS Pension Rate Changes"/>
    <x v="1"/>
    <x v="23"/>
    <b v="1"/>
    <x v="23"/>
    <x v="0"/>
    <n v="101"/>
    <s v="011"/>
    <x v="0"/>
    <s v="001011"/>
    <x v="41"/>
    <m/>
    <n v="93992"/>
    <n v="101"/>
    <n v="93992"/>
  </r>
  <r>
    <s v="20PERS/TRS Pension Rate Changes"/>
    <x v="1"/>
    <x v="25"/>
    <b v="1"/>
    <x v="25"/>
    <x v="0"/>
    <n v="101"/>
    <s v="011"/>
    <x v="0"/>
    <s v="001011"/>
    <x v="41"/>
    <m/>
    <n v="58116"/>
    <n v="101"/>
    <n v="58116"/>
  </r>
  <r>
    <s v="15PERS/TRS Pension Rate Changes"/>
    <x v="1"/>
    <x v="24"/>
    <b v="1"/>
    <x v="24"/>
    <x v="0"/>
    <n v="101"/>
    <s v="011"/>
    <x v="0"/>
    <s v="001011"/>
    <x v="41"/>
    <m/>
    <n v="44874"/>
    <n v="101"/>
    <n v="44874"/>
  </r>
  <r>
    <s v="21PERS/TRS Pension Rate Changes"/>
    <x v="1"/>
    <x v="32"/>
    <b v="1"/>
    <x v="32"/>
    <x v="0"/>
    <n v="101"/>
    <s v="011"/>
    <x v="0"/>
    <s v="001011"/>
    <x v="41"/>
    <m/>
    <n v="41596"/>
    <n v="101"/>
    <n v="41596"/>
  </r>
  <r>
    <s v="16PERS/TRS Pension Rate Changes"/>
    <x v="1"/>
    <x v="9"/>
    <b v="1"/>
    <x v="9"/>
    <x v="0"/>
    <n v="101"/>
    <s v="011"/>
    <x v="0"/>
    <s v="001011"/>
    <x v="41"/>
    <m/>
    <n v="62337"/>
    <n v="101"/>
    <n v="62337"/>
  </r>
  <r>
    <s v="00Revolving Funds - Central Service Agency Charges"/>
    <x v="1"/>
    <x v="4"/>
    <b v="1"/>
    <x v="4"/>
    <x v="0"/>
    <n v="101"/>
    <s v="011"/>
    <x v="0"/>
    <s v="001011"/>
    <x v="42"/>
    <n v="4031595"/>
    <n v="422000"/>
    <n v="101"/>
    <n v="4453595"/>
  </r>
  <r>
    <s v="00Revolving Funds - Self Insurance Premium"/>
    <x v="1"/>
    <x v="4"/>
    <b v="1"/>
    <x v="4"/>
    <x v="0"/>
    <n v="101"/>
    <s v="011"/>
    <x v="0"/>
    <s v="001011"/>
    <x v="43"/>
    <n v="1894953"/>
    <n v="207000"/>
    <n v="101"/>
    <n v="2101953"/>
  </r>
  <r>
    <s v="00Student Achievement Initiative"/>
    <x v="1"/>
    <x v="4"/>
    <b v="1"/>
    <x v="4"/>
    <x v="2"/>
    <s v="3E0"/>
    <s v="3E0"/>
    <x v="3"/>
    <s v="08A3E0"/>
    <x v="44"/>
    <n v="1648"/>
    <n v="0"/>
    <s v="3E0"/>
    <n v="1648"/>
  </r>
  <r>
    <s v="00Student Achievement Initiative (P)"/>
    <x v="1"/>
    <x v="4"/>
    <b v="1"/>
    <x v="4"/>
    <x v="0"/>
    <s v="BD1"/>
    <s v="BD1"/>
    <x v="11"/>
    <s v="001BD1"/>
    <x v="45"/>
    <n v="0"/>
    <n v="4684626"/>
    <s v="BD1"/>
    <n v="4684626"/>
  </r>
  <r>
    <s v="28Student Achievement Initiative (permanent)"/>
    <x v="1"/>
    <x v="1"/>
    <b v="1"/>
    <x v="1"/>
    <x v="0"/>
    <s v="BD1"/>
    <s v="BD1"/>
    <x v="11"/>
    <s v="001BD1"/>
    <x v="46"/>
    <n v="74340"/>
    <m/>
    <s v="BD1"/>
    <n v="74340"/>
  </r>
  <r>
    <s v="8Student Achievement Initiative (permanent)"/>
    <x v="1"/>
    <x v="27"/>
    <b v="1"/>
    <x v="27"/>
    <x v="0"/>
    <s v="BD1"/>
    <s v="BD1"/>
    <x v="11"/>
    <s v="001BD1"/>
    <x v="46"/>
    <n v="105857"/>
    <m/>
    <s v="BD1"/>
    <n v="105857"/>
  </r>
  <r>
    <s v="25Student Achievement Initiative (permanent)"/>
    <x v="1"/>
    <x v="10"/>
    <b v="1"/>
    <x v="10"/>
    <x v="0"/>
    <s v="BD1"/>
    <s v="BD1"/>
    <x v="11"/>
    <s v="001BD1"/>
    <x v="46"/>
    <n v="36082"/>
    <m/>
    <s v="BD1"/>
    <n v="36082"/>
  </r>
  <r>
    <s v="18Student Achievement Initiative (permanent)"/>
    <x v="1"/>
    <x v="11"/>
    <b v="1"/>
    <x v="11"/>
    <x v="0"/>
    <s v="BD1"/>
    <s v="BD1"/>
    <x v="11"/>
    <s v="001BD1"/>
    <x v="46"/>
    <n v="0"/>
    <m/>
    <s v="BD1"/>
    <n v="0"/>
  </r>
  <r>
    <s v="30Student Achievement Initiative (permanent)"/>
    <x v="1"/>
    <x v="28"/>
    <b v="1"/>
    <x v="28"/>
    <x v="0"/>
    <s v="BD1"/>
    <s v="BD1"/>
    <x v="11"/>
    <s v="001BD1"/>
    <x v="46"/>
    <n v="4116"/>
    <m/>
    <s v="BD1"/>
    <n v="4116"/>
  </r>
  <r>
    <s v="12Student Achievement Initiative (permanent)"/>
    <x v="1"/>
    <x v="29"/>
    <b v="1"/>
    <x v="29"/>
    <x v="0"/>
    <s v="BD1"/>
    <s v="BD1"/>
    <x v="11"/>
    <s v="001BD1"/>
    <x v="46"/>
    <n v="45067"/>
    <m/>
    <s v="BD1"/>
    <n v="45067"/>
  </r>
  <r>
    <s v="14Student Achievement Initiative (permanent)"/>
    <x v="1"/>
    <x v="12"/>
    <b v="1"/>
    <x v="12"/>
    <x v="0"/>
    <s v="BD1"/>
    <s v="BD1"/>
    <x v="11"/>
    <s v="001BD1"/>
    <x v="46"/>
    <n v="12180"/>
    <m/>
    <s v="BD1"/>
    <n v="12180"/>
  </r>
  <r>
    <s v="29Student Achievement Initiative (permanent)"/>
    <x v="1"/>
    <x v="13"/>
    <b v="1"/>
    <x v="13"/>
    <x v="0"/>
    <s v="BD1"/>
    <s v="BD1"/>
    <x v="11"/>
    <s v="001BD1"/>
    <x v="46"/>
    <n v="33382"/>
    <m/>
    <s v="BD1"/>
    <n v="33382"/>
  </r>
  <r>
    <s v="19Student Achievement Initiative (permanent)"/>
    <x v="1"/>
    <x v="2"/>
    <b v="1"/>
    <x v="2"/>
    <x v="0"/>
    <s v="BD1"/>
    <s v="BD1"/>
    <x v="11"/>
    <s v="001BD1"/>
    <x v="46"/>
    <n v="0"/>
    <m/>
    <s v="BD1"/>
    <n v="0"/>
  </r>
  <r>
    <s v="23Student Achievement Initiative (permanent)"/>
    <x v="1"/>
    <x v="14"/>
    <b v="1"/>
    <x v="14"/>
    <x v="0"/>
    <s v="BD1"/>
    <s v="BD1"/>
    <x v="11"/>
    <s v="001BD1"/>
    <x v="46"/>
    <n v="20212"/>
    <m/>
    <s v="BD1"/>
    <n v="20212"/>
  </r>
  <r>
    <s v="5Student Achievement Initiative (permanent)"/>
    <x v="1"/>
    <x v="3"/>
    <b v="1"/>
    <x v="3"/>
    <x v="0"/>
    <s v="BD1"/>
    <s v="BD1"/>
    <x v="11"/>
    <s v="001BD1"/>
    <x v="46"/>
    <n v="0"/>
    <m/>
    <s v="BD1"/>
    <n v="0"/>
  </r>
  <r>
    <s v="2Student Achievement Initiative (permanent)"/>
    <x v="1"/>
    <x v="30"/>
    <b v="1"/>
    <x v="30"/>
    <x v="0"/>
    <s v="BD1"/>
    <s v="BD1"/>
    <x v="11"/>
    <s v="001BD1"/>
    <x v="46"/>
    <n v="0"/>
    <m/>
    <s v="BD1"/>
    <n v="0"/>
  </r>
  <r>
    <s v="10Student Achievement Initiative (permanent)"/>
    <x v="1"/>
    <x v="15"/>
    <b v="1"/>
    <x v="15"/>
    <x v="0"/>
    <s v="BD1"/>
    <s v="BD1"/>
    <x v="11"/>
    <s v="001BD1"/>
    <x v="46"/>
    <n v="0"/>
    <m/>
    <s v="BD1"/>
    <n v="0"/>
  </r>
  <r>
    <s v="9Student Achievement Initiative (permanent)"/>
    <x v="1"/>
    <x v="16"/>
    <b v="1"/>
    <x v="16"/>
    <x v="0"/>
    <s v="BD1"/>
    <s v="BD1"/>
    <x v="11"/>
    <s v="001BD1"/>
    <x v="46"/>
    <n v="0"/>
    <m/>
    <s v="BD1"/>
    <n v="0"/>
  </r>
  <r>
    <s v="26Student Achievement Initiative (permanent)"/>
    <x v="1"/>
    <x v="17"/>
    <b v="1"/>
    <x v="17"/>
    <x v="0"/>
    <s v="BD1"/>
    <s v="BD1"/>
    <x v="11"/>
    <s v="001BD1"/>
    <x v="46"/>
    <n v="0"/>
    <m/>
    <s v="BD1"/>
    <n v="0"/>
  </r>
  <r>
    <s v="13Student Achievement Initiative (permanent)"/>
    <x v="1"/>
    <x v="26"/>
    <b v="1"/>
    <x v="26"/>
    <x v="0"/>
    <s v="BD1"/>
    <s v="BD1"/>
    <x v="11"/>
    <s v="001BD1"/>
    <x v="46"/>
    <n v="0"/>
    <m/>
    <s v="BD1"/>
    <n v="0"/>
  </r>
  <r>
    <s v="3Student Achievement Initiative (permanent)"/>
    <x v="1"/>
    <x v="18"/>
    <b v="1"/>
    <x v="18"/>
    <x v="0"/>
    <s v="BD1"/>
    <s v="BD1"/>
    <x v="11"/>
    <s v="001BD1"/>
    <x v="46"/>
    <n v="0"/>
    <m/>
    <s v="BD1"/>
    <n v="0"/>
  </r>
  <r>
    <s v="1Student Achievement Initiative (permanent)"/>
    <x v="1"/>
    <x v="19"/>
    <b v="1"/>
    <x v="19"/>
    <x v="0"/>
    <s v="BD1"/>
    <s v="BD1"/>
    <x v="11"/>
    <s v="001BD1"/>
    <x v="46"/>
    <n v="0"/>
    <m/>
    <s v="BD1"/>
    <n v="0"/>
  </r>
  <r>
    <s v="11Student Achievement Initiative (permanent)"/>
    <x v="1"/>
    <x v="31"/>
    <b v="1"/>
    <x v="31"/>
    <x v="0"/>
    <s v="BD1"/>
    <s v="BD1"/>
    <x v="11"/>
    <s v="001BD1"/>
    <x v="46"/>
    <n v="66425"/>
    <m/>
    <s v="BD1"/>
    <n v="66425"/>
  </r>
  <r>
    <s v="27Student Achievement Initiative (permanent)"/>
    <x v="1"/>
    <x v="5"/>
    <b v="1"/>
    <x v="5"/>
    <x v="0"/>
    <s v="BD1"/>
    <s v="BD1"/>
    <x v="11"/>
    <s v="001BD1"/>
    <x v="46"/>
    <n v="0"/>
    <m/>
    <s v="BD1"/>
    <n v="0"/>
  </r>
  <r>
    <s v="6Student Achievement Initiative (permanent)"/>
    <x v="1"/>
    <x v="7"/>
    <b v="1"/>
    <x v="7"/>
    <x v="0"/>
    <s v="BD1"/>
    <s v="BD1"/>
    <x v="11"/>
    <s v="001BD1"/>
    <x v="46"/>
    <n v="0"/>
    <m/>
    <s v="BD1"/>
    <n v="0"/>
  </r>
  <r>
    <s v="7Student Achievement Initiative (permanent)"/>
    <x v="1"/>
    <x v="20"/>
    <b v="1"/>
    <x v="20"/>
    <x v="0"/>
    <s v="BD1"/>
    <s v="BD1"/>
    <x v="11"/>
    <s v="001BD1"/>
    <x v="46"/>
    <n v="0"/>
    <m/>
    <s v="BD1"/>
    <n v="0"/>
  </r>
  <r>
    <s v="4Student Achievement Initiative (permanent)"/>
    <x v="1"/>
    <x v="21"/>
    <b v="1"/>
    <x v="21"/>
    <x v="0"/>
    <s v="BD1"/>
    <s v="BD1"/>
    <x v="11"/>
    <s v="001BD1"/>
    <x v="46"/>
    <n v="0"/>
    <m/>
    <s v="BD1"/>
    <n v="0"/>
  </r>
  <r>
    <s v="24Student Achievement Initiative (permanent)"/>
    <x v="1"/>
    <x v="22"/>
    <b v="1"/>
    <x v="22"/>
    <x v="0"/>
    <s v="BD1"/>
    <s v="BD1"/>
    <x v="11"/>
    <s v="001BD1"/>
    <x v="46"/>
    <n v="0"/>
    <m/>
    <s v="BD1"/>
    <n v="0"/>
  </r>
  <r>
    <s v="17Student Achievement Initiative (permanent)"/>
    <x v="1"/>
    <x v="8"/>
    <b v="1"/>
    <x v="8"/>
    <x v="0"/>
    <s v="BD1"/>
    <s v="BD1"/>
    <x v="11"/>
    <s v="001BD1"/>
    <x v="46"/>
    <n v="132698"/>
    <m/>
    <s v="BD1"/>
    <n v="132698"/>
  </r>
  <r>
    <s v="22Student Achievement Initiative (permanent)"/>
    <x v="1"/>
    <x v="23"/>
    <b v="1"/>
    <x v="23"/>
    <x v="0"/>
    <s v="BD1"/>
    <s v="BD1"/>
    <x v="11"/>
    <s v="001BD1"/>
    <x v="46"/>
    <n v="0"/>
    <m/>
    <s v="BD1"/>
    <n v="0"/>
  </r>
  <r>
    <s v="20Student Achievement Initiative (permanent)"/>
    <x v="1"/>
    <x v="25"/>
    <b v="1"/>
    <x v="25"/>
    <x v="0"/>
    <s v="BD1"/>
    <s v="BD1"/>
    <x v="11"/>
    <s v="001BD1"/>
    <x v="46"/>
    <n v="0"/>
    <m/>
    <s v="BD1"/>
    <n v="0"/>
  </r>
  <r>
    <s v="15Student Achievement Initiative (permanent)"/>
    <x v="1"/>
    <x v="24"/>
    <b v="1"/>
    <x v="24"/>
    <x v="0"/>
    <s v="BD1"/>
    <s v="BD1"/>
    <x v="11"/>
    <s v="001BD1"/>
    <x v="46"/>
    <n v="13132"/>
    <m/>
    <s v="BD1"/>
    <n v="13132"/>
  </r>
  <r>
    <s v="21Student Achievement Initiative (permanent)"/>
    <x v="1"/>
    <x v="32"/>
    <b v="1"/>
    <x v="32"/>
    <x v="0"/>
    <s v="BD1"/>
    <s v="BD1"/>
    <x v="11"/>
    <s v="001BD1"/>
    <x v="46"/>
    <n v="10171"/>
    <m/>
    <s v="BD1"/>
    <n v="10171"/>
  </r>
  <r>
    <s v="16Student Achievement Initiative (permanent)"/>
    <x v="1"/>
    <x v="9"/>
    <b v="1"/>
    <x v="9"/>
    <x v="0"/>
    <s v="BD1"/>
    <s v="BD1"/>
    <x v="11"/>
    <s v="001BD1"/>
    <x v="46"/>
    <n v="11712"/>
    <m/>
    <s v="BD1"/>
    <n v="11712"/>
  </r>
  <r>
    <s v="28Student Achievement Initiative (variable)"/>
    <x v="1"/>
    <x v="1"/>
    <b v="1"/>
    <x v="1"/>
    <x v="0"/>
    <s v="BD1"/>
    <s v="BD1"/>
    <x v="11"/>
    <s v="001BD1"/>
    <x v="47"/>
    <n v="127666"/>
    <n v="-127666"/>
    <s v="BD1"/>
    <n v="0"/>
  </r>
  <r>
    <s v="8Student Achievement Initiative (variable)"/>
    <x v="1"/>
    <x v="27"/>
    <b v="1"/>
    <x v="27"/>
    <x v="0"/>
    <s v="BD1"/>
    <s v="BD1"/>
    <x v="11"/>
    <s v="001BD1"/>
    <x v="47"/>
    <n v="203987"/>
    <n v="-203987"/>
    <s v="BD1"/>
    <n v="0"/>
  </r>
  <r>
    <s v="25Student Achievement Initiative (variable)"/>
    <x v="1"/>
    <x v="10"/>
    <b v="1"/>
    <x v="10"/>
    <x v="0"/>
    <s v="BD1"/>
    <s v="BD1"/>
    <x v="11"/>
    <s v="001BD1"/>
    <x v="47"/>
    <n v="106872"/>
    <n v="-106872"/>
    <s v="BD1"/>
    <n v="0"/>
  </r>
  <r>
    <s v="18Student Achievement Initiative (variable)"/>
    <x v="1"/>
    <x v="11"/>
    <b v="1"/>
    <x v="11"/>
    <x v="0"/>
    <s v="BD1"/>
    <s v="BD1"/>
    <x v="11"/>
    <s v="001BD1"/>
    <x v="47"/>
    <n v="116339"/>
    <n v="-116339"/>
    <s v="BD1"/>
    <n v="0"/>
  </r>
  <r>
    <s v="30Student Achievement Initiative (variable)"/>
    <x v="1"/>
    <x v="28"/>
    <b v="1"/>
    <x v="28"/>
    <x v="0"/>
    <s v="BD1"/>
    <s v="BD1"/>
    <x v="11"/>
    <s v="001BD1"/>
    <x v="47"/>
    <n v="109729"/>
    <n v="-109729"/>
    <s v="BD1"/>
    <n v="0"/>
  </r>
  <r>
    <s v="12Student Achievement Initiative (variable)"/>
    <x v="1"/>
    <x v="29"/>
    <b v="1"/>
    <x v="29"/>
    <x v="0"/>
    <s v="BD1"/>
    <s v="BD1"/>
    <x v="11"/>
    <s v="001BD1"/>
    <x v="47"/>
    <n v="91846"/>
    <n v="-91846"/>
    <s v="BD1"/>
    <n v="0"/>
  </r>
  <r>
    <s v="14Student Achievement Initiative (variable)"/>
    <x v="1"/>
    <x v="12"/>
    <b v="1"/>
    <x v="12"/>
    <x v="0"/>
    <s v="BD1"/>
    <s v="BD1"/>
    <x v="11"/>
    <s v="001BD1"/>
    <x v="47"/>
    <n v="207904"/>
    <n v="-207904"/>
    <s v="BD1"/>
    <n v="0"/>
  </r>
  <r>
    <s v="29Student Achievement Initiative (variable)"/>
    <x v="1"/>
    <x v="13"/>
    <b v="1"/>
    <x v="13"/>
    <x v="0"/>
    <s v="BD1"/>
    <s v="BD1"/>
    <x v="11"/>
    <s v="001BD1"/>
    <x v="47"/>
    <n v="136792"/>
    <n v="-136792"/>
    <s v="BD1"/>
    <n v="0"/>
  </r>
  <r>
    <s v="19Student Achievement Initiative (variable)"/>
    <x v="1"/>
    <x v="2"/>
    <b v="1"/>
    <x v="2"/>
    <x v="0"/>
    <s v="BD1"/>
    <s v="BD1"/>
    <x v="11"/>
    <s v="001BD1"/>
    <x v="47"/>
    <n v="153939"/>
    <n v="-153939"/>
    <s v="BD1"/>
    <n v="0"/>
  </r>
  <r>
    <s v="23Student Achievement Initiative (variable)"/>
    <x v="1"/>
    <x v="14"/>
    <b v="1"/>
    <x v="14"/>
    <x v="0"/>
    <s v="BD1"/>
    <s v="BD1"/>
    <x v="11"/>
    <s v="001BD1"/>
    <x v="47"/>
    <n v="170780"/>
    <n v="-170780"/>
    <s v="BD1"/>
    <n v="0"/>
  </r>
  <r>
    <s v="5Student Achievement Initiative (variable)"/>
    <x v="1"/>
    <x v="3"/>
    <b v="1"/>
    <x v="3"/>
    <x v="0"/>
    <s v="BD1"/>
    <s v="BD1"/>
    <x v="11"/>
    <s v="001BD1"/>
    <x v="47"/>
    <n v="174460"/>
    <n v="-174460"/>
    <s v="BD1"/>
    <n v="0"/>
  </r>
  <r>
    <s v="2Student Achievement Initiative (variable)"/>
    <x v="1"/>
    <x v="30"/>
    <b v="1"/>
    <x v="30"/>
    <x v="0"/>
    <s v="BD1"/>
    <s v="BD1"/>
    <x v="11"/>
    <s v="001BD1"/>
    <x v="47"/>
    <n v="108514"/>
    <n v="-108514"/>
    <s v="BD1"/>
    <n v="0"/>
  </r>
  <r>
    <s v="10Student Achievement Initiative (variable)"/>
    <x v="1"/>
    <x v="15"/>
    <b v="1"/>
    <x v="15"/>
    <x v="0"/>
    <s v="BD1"/>
    <s v="BD1"/>
    <x v="11"/>
    <s v="001BD1"/>
    <x v="47"/>
    <n v="174035"/>
    <n v="-174035"/>
    <s v="BD1"/>
    <n v="0"/>
  </r>
  <r>
    <s v="9Student Achievement Initiative (variable)"/>
    <x v="1"/>
    <x v="16"/>
    <b v="1"/>
    <x v="16"/>
    <x v="0"/>
    <s v="BD1"/>
    <s v="BD1"/>
    <x v="11"/>
    <s v="001BD1"/>
    <x v="47"/>
    <n v="153987"/>
    <n v="-153987"/>
    <s v="BD1"/>
    <n v="0"/>
  </r>
  <r>
    <s v="26Student Achievement Initiative (variable)"/>
    <x v="1"/>
    <x v="17"/>
    <b v="1"/>
    <x v="17"/>
    <x v="0"/>
    <s v="BD1"/>
    <s v="BD1"/>
    <x v="11"/>
    <s v="001BD1"/>
    <x v="47"/>
    <n v="131728"/>
    <n v="-131728"/>
    <s v="BD1"/>
    <n v="0"/>
  </r>
  <r>
    <s v="13Student Achievement Initiative (variable)"/>
    <x v="1"/>
    <x v="26"/>
    <b v="1"/>
    <x v="26"/>
    <x v="0"/>
    <s v="BD1"/>
    <s v="BD1"/>
    <x v="11"/>
    <s v="001BD1"/>
    <x v="47"/>
    <n v="128127"/>
    <n v="-128127"/>
    <s v="BD1"/>
    <n v="0"/>
  </r>
  <r>
    <s v="3Student Achievement Initiative (variable)"/>
    <x v="1"/>
    <x v="18"/>
    <b v="1"/>
    <x v="18"/>
    <x v="0"/>
    <s v="BD1"/>
    <s v="BD1"/>
    <x v="11"/>
    <s v="001BD1"/>
    <x v="47"/>
    <n v="161666"/>
    <n v="-161666"/>
    <s v="BD1"/>
    <n v="0"/>
  </r>
  <r>
    <s v="1Student Achievement Initiative (variable)"/>
    <x v="1"/>
    <x v="19"/>
    <b v="1"/>
    <x v="19"/>
    <x v="0"/>
    <s v="BD1"/>
    <s v="BD1"/>
    <x v="11"/>
    <s v="001BD1"/>
    <x v="47"/>
    <n v="119673"/>
    <n v="-119673"/>
    <s v="BD1"/>
    <n v="0"/>
  </r>
  <r>
    <s v="11Student Achievement Initiative (variable)"/>
    <x v="1"/>
    <x v="31"/>
    <b v="1"/>
    <x v="31"/>
    <x v="0"/>
    <s v="BD1"/>
    <s v="BD1"/>
    <x v="11"/>
    <s v="001BD1"/>
    <x v="47"/>
    <n v="201877"/>
    <n v="-201877"/>
    <s v="BD1"/>
    <n v="0"/>
  </r>
  <r>
    <s v="27Student Achievement Initiative (variable)"/>
    <x v="1"/>
    <x v="5"/>
    <b v="1"/>
    <x v="5"/>
    <x v="0"/>
    <s v="BD1"/>
    <s v="BD1"/>
    <x v="11"/>
    <s v="001BD1"/>
    <x v="47"/>
    <n v="125550"/>
    <n v="-125550"/>
    <s v="BD1"/>
    <n v="0"/>
  </r>
  <r>
    <s v="7Student Achievement Initiative (variable)"/>
    <x v="1"/>
    <x v="20"/>
    <b v="1"/>
    <x v="20"/>
    <x v="0"/>
    <s v="BD1"/>
    <s v="BD1"/>
    <x v="11"/>
    <s v="001BD1"/>
    <x v="47"/>
    <n v="125581"/>
    <n v="-125581"/>
    <s v="BD1"/>
    <n v="0"/>
  </r>
  <r>
    <s v="4Student Achievement Initiative (variable)"/>
    <x v="1"/>
    <x v="21"/>
    <b v="1"/>
    <x v="21"/>
    <x v="0"/>
    <s v="BD1"/>
    <s v="BD1"/>
    <x v="11"/>
    <s v="001BD1"/>
    <x v="47"/>
    <n v="129848"/>
    <n v="-129848"/>
    <s v="BD1"/>
    <n v="0"/>
  </r>
  <r>
    <s v="24Student Achievement Initiative (variable)"/>
    <x v="1"/>
    <x v="22"/>
    <b v="1"/>
    <x v="22"/>
    <x v="0"/>
    <s v="BD1"/>
    <s v="BD1"/>
    <x v="11"/>
    <s v="001BD1"/>
    <x v="47"/>
    <n v="135940"/>
    <n v="-135940"/>
    <s v="BD1"/>
    <n v="0"/>
  </r>
  <r>
    <s v="17Student Achievement Initiative (variable)"/>
    <x v="1"/>
    <x v="8"/>
    <b v="1"/>
    <x v="8"/>
    <x v="0"/>
    <s v="BD1"/>
    <s v="BD1"/>
    <x v="11"/>
    <s v="001BD1"/>
    <x v="47"/>
    <n v="307027"/>
    <n v="-307027"/>
    <s v="BD1"/>
    <n v="0"/>
  </r>
  <r>
    <s v="22Student Achievement Initiative (variable)"/>
    <x v="1"/>
    <x v="23"/>
    <b v="1"/>
    <x v="23"/>
    <x v="0"/>
    <s v="BD1"/>
    <s v="BD1"/>
    <x v="11"/>
    <s v="001BD1"/>
    <x v="47"/>
    <n v="185076"/>
    <n v="-185076"/>
    <s v="BD1"/>
    <n v="0"/>
  </r>
  <r>
    <s v="20Student Achievement Initiative (variable)"/>
    <x v="1"/>
    <x v="25"/>
    <b v="1"/>
    <x v="25"/>
    <x v="0"/>
    <s v="BD1"/>
    <s v="BD1"/>
    <x v="11"/>
    <s v="001BD1"/>
    <x v="47"/>
    <n v="110757"/>
    <n v="-110757"/>
    <s v="BD1"/>
    <n v="0"/>
  </r>
  <r>
    <s v="15Student Achievement Initiative (variable)"/>
    <x v="1"/>
    <x v="24"/>
    <b v="1"/>
    <x v="24"/>
    <x v="0"/>
    <s v="BD1"/>
    <s v="BD1"/>
    <x v="11"/>
    <s v="001BD1"/>
    <x v="47"/>
    <n v="115435"/>
    <n v="-115435"/>
    <s v="BD1"/>
    <n v="0"/>
  </r>
  <r>
    <s v="21Student Achievement Initiative (variable)"/>
    <x v="1"/>
    <x v="32"/>
    <b v="1"/>
    <x v="32"/>
    <x v="0"/>
    <s v="BD1"/>
    <s v="BD1"/>
    <x v="11"/>
    <s v="001BD1"/>
    <x v="47"/>
    <n v="134364"/>
    <n v="-134364"/>
    <s v="BD1"/>
    <n v="0"/>
  </r>
  <r>
    <s v="16Student Achievement Initiative (variable)"/>
    <x v="1"/>
    <x v="9"/>
    <b v="1"/>
    <x v="9"/>
    <x v="0"/>
    <s v="BD1"/>
    <s v="BD1"/>
    <x v="11"/>
    <s v="001BD1"/>
    <x v="47"/>
    <n v="153773"/>
    <n v="-153773"/>
    <s v="BD1"/>
    <n v="0"/>
  </r>
  <r>
    <s v="6Student Achievement Initiative (variable)"/>
    <x v="1"/>
    <x v="7"/>
    <b v="1"/>
    <x v="7"/>
    <x v="0"/>
    <s v="BD1"/>
    <s v="BD1"/>
    <x v="11"/>
    <s v="001BD1"/>
    <x v="47"/>
    <n v="381354"/>
    <n v="-381354"/>
    <s v="BD1"/>
    <n v="0"/>
  </r>
  <r>
    <s v="28Students of Color"/>
    <x v="1"/>
    <x v="1"/>
    <b v="1"/>
    <x v="1"/>
    <x v="0"/>
    <n v="101"/>
    <s v="011"/>
    <x v="0"/>
    <s v="001011"/>
    <x v="48"/>
    <n v="14926"/>
    <n v="-56"/>
    <n v="101"/>
    <n v="14870"/>
  </r>
  <r>
    <s v="8Students of Color"/>
    <x v="1"/>
    <x v="27"/>
    <b v="1"/>
    <x v="27"/>
    <x v="0"/>
    <n v="101"/>
    <s v="011"/>
    <x v="0"/>
    <s v="001011"/>
    <x v="48"/>
    <n v="50917"/>
    <n v="30181"/>
    <n v="101"/>
    <n v="81098"/>
  </r>
  <r>
    <s v="25Students of Color"/>
    <x v="1"/>
    <x v="10"/>
    <b v="1"/>
    <x v="10"/>
    <x v="0"/>
    <n v="101"/>
    <s v="011"/>
    <x v="0"/>
    <s v="001011"/>
    <x v="48"/>
    <n v="10528"/>
    <n v="-4148"/>
    <n v="101"/>
    <n v="6380"/>
  </r>
  <r>
    <s v="18Students of Color"/>
    <x v="1"/>
    <x v="11"/>
    <b v="1"/>
    <x v="11"/>
    <x v="0"/>
    <n v="101"/>
    <s v="011"/>
    <x v="0"/>
    <s v="001011"/>
    <x v="48"/>
    <n v="18344"/>
    <n v="-3704"/>
    <n v="101"/>
    <n v="14640"/>
  </r>
  <r>
    <s v="30Students of Color"/>
    <x v="1"/>
    <x v="28"/>
    <b v="1"/>
    <x v="28"/>
    <x v="0"/>
    <n v="101"/>
    <s v="011"/>
    <x v="0"/>
    <s v="001011"/>
    <x v="48"/>
    <n v="8660"/>
    <n v="5280"/>
    <n v="101"/>
    <n v="13940"/>
  </r>
  <r>
    <s v="12Students of Color"/>
    <x v="1"/>
    <x v="29"/>
    <b v="1"/>
    <x v="29"/>
    <x v="0"/>
    <n v="101"/>
    <s v="011"/>
    <x v="0"/>
    <s v="001011"/>
    <x v="48"/>
    <n v="11145"/>
    <n v="-1355"/>
    <n v="101"/>
    <n v="9790"/>
  </r>
  <r>
    <s v="14Students of Color"/>
    <x v="1"/>
    <x v="12"/>
    <b v="1"/>
    <x v="12"/>
    <x v="0"/>
    <n v="101"/>
    <s v="011"/>
    <x v="0"/>
    <s v="001011"/>
    <x v="48"/>
    <n v="34849"/>
    <n v="11861"/>
    <n v="101"/>
    <n v="46710"/>
  </r>
  <r>
    <s v="29Students of Color"/>
    <x v="1"/>
    <x v="13"/>
    <b v="1"/>
    <x v="13"/>
    <x v="0"/>
    <n v="101"/>
    <s v="011"/>
    <x v="0"/>
    <s v="001011"/>
    <x v="48"/>
    <n v="28973"/>
    <n v="-4653"/>
    <n v="101"/>
    <n v="24320"/>
  </r>
  <r>
    <s v="19Students of Color"/>
    <x v="1"/>
    <x v="2"/>
    <b v="1"/>
    <x v="2"/>
    <x v="0"/>
    <n v="101"/>
    <s v="011"/>
    <x v="0"/>
    <s v="001011"/>
    <x v="48"/>
    <n v="43390"/>
    <n v="1100"/>
    <n v="101"/>
    <n v="44490"/>
  </r>
  <r>
    <s v="23Students of Color"/>
    <x v="1"/>
    <x v="14"/>
    <b v="1"/>
    <x v="14"/>
    <x v="0"/>
    <n v="101"/>
    <s v="011"/>
    <x v="0"/>
    <s v="001011"/>
    <x v="48"/>
    <n v="44088"/>
    <n v="3362"/>
    <n v="101"/>
    <n v="47450"/>
  </r>
  <r>
    <s v="5Students of Color"/>
    <x v="1"/>
    <x v="3"/>
    <b v="1"/>
    <x v="3"/>
    <x v="0"/>
    <n v="101"/>
    <s v="011"/>
    <x v="0"/>
    <s v="001011"/>
    <x v="48"/>
    <n v="26868"/>
    <n v="9292"/>
    <n v="101"/>
    <n v="36160"/>
  </r>
  <r>
    <s v="2Students of Color"/>
    <x v="1"/>
    <x v="30"/>
    <b v="1"/>
    <x v="30"/>
    <x v="0"/>
    <n v="101"/>
    <s v="011"/>
    <x v="0"/>
    <s v="001011"/>
    <x v="48"/>
    <n v="10727"/>
    <n v="-3497"/>
    <n v="101"/>
    <n v="7230"/>
  </r>
  <r>
    <s v="10Students of Color"/>
    <x v="1"/>
    <x v="15"/>
    <b v="1"/>
    <x v="15"/>
    <x v="0"/>
    <n v="101"/>
    <s v="011"/>
    <x v="0"/>
    <s v="001011"/>
    <x v="48"/>
    <n v="30224"/>
    <n v="9716"/>
    <n v="101"/>
    <n v="39940"/>
  </r>
  <r>
    <s v="9Students of Color"/>
    <x v="1"/>
    <x v="16"/>
    <b v="1"/>
    <x v="16"/>
    <x v="0"/>
    <n v="101"/>
    <s v="011"/>
    <x v="0"/>
    <s v="001011"/>
    <x v="48"/>
    <n v="70114"/>
    <n v="11146"/>
    <n v="101"/>
    <n v="81260"/>
  </r>
  <r>
    <s v="26Students of Color"/>
    <x v="1"/>
    <x v="17"/>
    <b v="1"/>
    <x v="17"/>
    <x v="0"/>
    <n v="101"/>
    <s v="011"/>
    <x v="0"/>
    <s v="001011"/>
    <x v="48"/>
    <n v="25509"/>
    <n v="-6099"/>
    <n v="101"/>
    <n v="19410"/>
  </r>
  <r>
    <s v="13Students of Color"/>
    <x v="1"/>
    <x v="26"/>
    <b v="1"/>
    <x v="26"/>
    <x v="0"/>
    <n v="101"/>
    <s v="011"/>
    <x v="0"/>
    <s v="001011"/>
    <x v="48"/>
    <n v="8415"/>
    <n v="2915"/>
    <n v="101"/>
    <n v="11330"/>
  </r>
  <r>
    <s v="3Students of Color"/>
    <x v="1"/>
    <x v="18"/>
    <b v="1"/>
    <x v="18"/>
    <x v="0"/>
    <n v="101"/>
    <s v="011"/>
    <x v="0"/>
    <s v="001011"/>
    <x v="48"/>
    <n v="27594"/>
    <n v="4016"/>
    <n v="101"/>
    <n v="31610"/>
  </r>
  <r>
    <s v="1Students of Color"/>
    <x v="1"/>
    <x v="19"/>
    <b v="1"/>
    <x v="19"/>
    <x v="0"/>
    <n v="101"/>
    <s v="011"/>
    <x v="0"/>
    <s v="001011"/>
    <x v="48"/>
    <n v="7799"/>
    <n v="-9"/>
    <n v="101"/>
    <n v="7790"/>
  </r>
  <r>
    <s v="11Students of Color"/>
    <x v="1"/>
    <x v="31"/>
    <b v="1"/>
    <x v="31"/>
    <x v="0"/>
    <n v="101"/>
    <s v="011"/>
    <x v="0"/>
    <s v="001011"/>
    <x v="48"/>
    <n v="42021"/>
    <n v="3979"/>
    <n v="101"/>
    <n v="46000"/>
  </r>
  <r>
    <s v="27Students of Color"/>
    <x v="1"/>
    <x v="5"/>
    <b v="1"/>
    <x v="5"/>
    <x v="0"/>
    <n v="101"/>
    <s v="011"/>
    <x v="0"/>
    <s v="001011"/>
    <x v="48"/>
    <n v="46900"/>
    <n v="-12320"/>
    <n v="101"/>
    <n v="34580"/>
  </r>
  <r>
    <s v="6Students of Color"/>
    <x v="1"/>
    <x v="7"/>
    <b v="1"/>
    <x v="7"/>
    <x v="0"/>
    <n v="101"/>
    <s v="011"/>
    <x v="0"/>
    <s v="001011"/>
    <x v="48"/>
    <n v="180554"/>
    <n v="-50964"/>
    <n v="101"/>
    <n v="129590"/>
  </r>
  <r>
    <s v="7Students of Color"/>
    <x v="1"/>
    <x v="20"/>
    <b v="1"/>
    <x v="20"/>
    <x v="0"/>
    <n v="101"/>
    <s v="011"/>
    <x v="0"/>
    <s v="001011"/>
    <x v="48"/>
    <n v="37777"/>
    <n v="-7487"/>
    <n v="101"/>
    <n v="30290"/>
  </r>
  <r>
    <s v="4Students of Color"/>
    <x v="1"/>
    <x v="21"/>
    <b v="1"/>
    <x v="21"/>
    <x v="0"/>
    <n v="101"/>
    <s v="011"/>
    <x v="0"/>
    <s v="001011"/>
    <x v="48"/>
    <n v="26343"/>
    <n v="-2423"/>
    <n v="101"/>
    <n v="23920"/>
  </r>
  <r>
    <s v="24Students of Color"/>
    <x v="1"/>
    <x v="22"/>
    <b v="1"/>
    <x v="22"/>
    <x v="0"/>
    <n v="101"/>
    <s v="011"/>
    <x v="0"/>
    <s v="001011"/>
    <x v="48"/>
    <n v="17646"/>
    <n v="3324"/>
    <n v="101"/>
    <n v="20970"/>
  </r>
  <r>
    <s v="17Students of Color"/>
    <x v="1"/>
    <x v="8"/>
    <b v="1"/>
    <x v="8"/>
    <x v="0"/>
    <n v="101"/>
    <s v="011"/>
    <x v="0"/>
    <s v="001011"/>
    <x v="48"/>
    <n v="44569"/>
    <n v="1911"/>
    <n v="101"/>
    <n v="46480"/>
  </r>
  <r>
    <s v="22Students of Color"/>
    <x v="1"/>
    <x v="23"/>
    <b v="1"/>
    <x v="23"/>
    <x v="0"/>
    <n v="101"/>
    <s v="011"/>
    <x v="0"/>
    <s v="001011"/>
    <x v="48"/>
    <n v="37678"/>
    <n v="1032"/>
    <n v="101"/>
    <n v="38710"/>
  </r>
  <r>
    <s v="20Students of Color"/>
    <x v="1"/>
    <x v="25"/>
    <b v="1"/>
    <x v="25"/>
    <x v="0"/>
    <n v="101"/>
    <s v="011"/>
    <x v="0"/>
    <s v="001011"/>
    <x v="48"/>
    <n v="16911"/>
    <n v="-651"/>
    <n v="101"/>
    <n v="16260"/>
  </r>
  <r>
    <s v="15Students of Color"/>
    <x v="1"/>
    <x v="24"/>
    <b v="1"/>
    <x v="24"/>
    <x v="0"/>
    <n v="101"/>
    <s v="011"/>
    <x v="0"/>
    <s v="001011"/>
    <x v="48"/>
    <n v="20856"/>
    <n v="4504"/>
    <n v="101"/>
    <n v="25360"/>
  </r>
  <r>
    <s v="21Students of Color"/>
    <x v="1"/>
    <x v="32"/>
    <b v="1"/>
    <x v="32"/>
    <x v="0"/>
    <n v="101"/>
    <s v="011"/>
    <x v="0"/>
    <s v="001011"/>
    <x v="48"/>
    <n v="10556"/>
    <n v="5604"/>
    <n v="101"/>
    <n v="16160"/>
  </r>
  <r>
    <s v="16Students of Color"/>
    <x v="1"/>
    <x v="9"/>
    <b v="1"/>
    <x v="9"/>
    <x v="0"/>
    <n v="101"/>
    <s v="011"/>
    <x v="0"/>
    <s v="001011"/>
    <x v="48"/>
    <n v="56747"/>
    <n v="-11857"/>
    <n v="101"/>
    <n v="44890"/>
  </r>
  <r>
    <s v="28Supplemental Retirement Payments"/>
    <x v="1"/>
    <x v="1"/>
    <b v="1"/>
    <x v="1"/>
    <x v="0"/>
    <n v="101"/>
    <s v="011"/>
    <x v="0"/>
    <s v="001011"/>
    <x v="49"/>
    <m/>
    <n v="-4659"/>
    <n v="101"/>
    <n v="-4659"/>
  </r>
  <r>
    <s v="8Supplemental Retirement Payments"/>
    <x v="1"/>
    <x v="27"/>
    <b v="1"/>
    <x v="27"/>
    <x v="0"/>
    <n v="101"/>
    <s v="011"/>
    <x v="0"/>
    <s v="001011"/>
    <x v="49"/>
    <m/>
    <n v="-6756"/>
    <n v="101"/>
    <n v="-6756"/>
  </r>
  <r>
    <s v="25Supplemental Retirement Payments"/>
    <x v="1"/>
    <x v="10"/>
    <b v="1"/>
    <x v="10"/>
    <x v="0"/>
    <n v="101"/>
    <s v="011"/>
    <x v="0"/>
    <s v="001011"/>
    <x v="49"/>
    <m/>
    <n v="-2616"/>
    <n v="101"/>
    <n v="-2616"/>
  </r>
  <r>
    <s v="18Supplemental Retirement Payments"/>
    <x v="1"/>
    <x v="11"/>
    <b v="1"/>
    <x v="11"/>
    <x v="0"/>
    <n v="101"/>
    <s v="011"/>
    <x v="0"/>
    <s v="001011"/>
    <x v="49"/>
    <m/>
    <n v="-2203"/>
    <n v="101"/>
    <n v="-2203"/>
  </r>
  <r>
    <s v="30Supplemental Retirement Payments"/>
    <x v="1"/>
    <x v="28"/>
    <b v="1"/>
    <x v="28"/>
    <x v="0"/>
    <n v="101"/>
    <s v="011"/>
    <x v="0"/>
    <s v="001011"/>
    <x v="49"/>
    <m/>
    <n v="-2123"/>
    <n v="101"/>
    <n v="-2123"/>
  </r>
  <r>
    <s v="12Supplemental Retirement Payments"/>
    <x v="1"/>
    <x v="29"/>
    <b v="1"/>
    <x v="29"/>
    <x v="0"/>
    <n v="101"/>
    <s v="011"/>
    <x v="0"/>
    <s v="001011"/>
    <x v="49"/>
    <m/>
    <n v="-2504"/>
    <n v="101"/>
    <n v="-2504"/>
  </r>
  <r>
    <s v="14Supplemental Retirement Payments"/>
    <x v="1"/>
    <x v="12"/>
    <b v="1"/>
    <x v="12"/>
    <x v="0"/>
    <n v="101"/>
    <s v="011"/>
    <x v="0"/>
    <s v="001011"/>
    <x v="49"/>
    <m/>
    <n v="-6556"/>
    <n v="101"/>
    <n v="-6556"/>
  </r>
  <r>
    <s v="29Supplemental Retirement Payments"/>
    <x v="1"/>
    <x v="13"/>
    <b v="1"/>
    <x v="13"/>
    <x v="0"/>
    <n v="101"/>
    <s v="011"/>
    <x v="0"/>
    <s v="001011"/>
    <x v="49"/>
    <m/>
    <n v="-4320"/>
    <n v="101"/>
    <n v="-4320"/>
  </r>
  <r>
    <s v="19Supplemental Retirement Payments"/>
    <x v="1"/>
    <x v="2"/>
    <b v="1"/>
    <x v="2"/>
    <x v="0"/>
    <n v="101"/>
    <s v="011"/>
    <x v="0"/>
    <s v="001011"/>
    <x v="49"/>
    <m/>
    <n v="-4541"/>
    <n v="101"/>
    <n v="-4541"/>
  </r>
  <r>
    <s v="23Supplemental Retirement Payments"/>
    <x v="1"/>
    <x v="14"/>
    <b v="1"/>
    <x v="14"/>
    <x v="0"/>
    <n v="101"/>
    <s v="011"/>
    <x v="0"/>
    <s v="001011"/>
    <x v="49"/>
    <m/>
    <n v="-5535"/>
    <n v="101"/>
    <n v="-5535"/>
  </r>
  <r>
    <s v="5Supplemental Retirement Payments"/>
    <x v="1"/>
    <x v="3"/>
    <b v="1"/>
    <x v="3"/>
    <x v="0"/>
    <n v="101"/>
    <s v="011"/>
    <x v="0"/>
    <s v="001011"/>
    <x v="49"/>
    <m/>
    <n v="-5392"/>
    <n v="101"/>
    <n v="-5392"/>
  </r>
  <r>
    <s v="00Supplemental Retirement Payments"/>
    <x v="1"/>
    <x v="4"/>
    <b v="1"/>
    <x v="4"/>
    <x v="0"/>
    <n v="101"/>
    <s v="011"/>
    <x v="0"/>
    <s v="001011"/>
    <x v="49"/>
    <n v="500000"/>
    <n v="145000"/>
    <n v="101"/>
    <n v="645000"/>
  </r>
  <r>
    <s v="2Supplemental Retirement Payments"/>
    <x v="1"/>
    <x v="30"/>
    <b v="1"/>
    <x v="30"/>
    <x v="0"/>
    <n v="101"/>
    <s v="011"/>
    <x v="0"/>
    <s v="001011"/>
    <x v="49"/>
    <m/>
    <n v="-2006"/>
    <n v="101"/>
    <n v="-2006"/>
  </r>
  <r>
    <s v="10Supplemental Retirement Payments"/>
    <x v="1"/>
    <x v="15"/>
    <b v="1"/>
    <x v="15"/>
    <x v="0"/>
    <n v="101"/>
    <s v="011"/>
    <x v="0"/>
    <s v="001011"/>
    <x v="49"/>
    <m/>
    <n v="-5500"/>
    <n v="101"/>
    <n v="-5500"/>
  </r>
  <r>
    <s v="9Supplemental Retirement Payments"/>
    <x v="1"/>
    <x v="16"/>
    <b v="1"/>
    <x v="16"/>
    <x v="0"/>
    <n v="101"/>
    <s v="011"/>
    <x v="0"/>
    <s v="001011"/>
    <x v="49"/>
    <m/>
    <n v="-5404"/>
    <n v="101"/>
    <n v="-5404"/>
  </r>
  <r>
    <s v="26Supplemental Retirement Payments"/>
    <x v="1"/>
    <x v="17"/>
    <b v="1"/>
    <x v="17"/>
    <x v="0"/>
    <n v="101"/>
    <s v="011"/>
    <x v="0"/>
    <s v="001011"/>
    <x v="49"/>
    <m/>
    <n v="-3337"/>
    <n v="101"/>
    <n v="-3337"/>
  </r>
  <r>
    <s v="13Supplemental Retirement Payments"/>
    <x v="1"/>
    <x v="26"/>
    <b v="1"/>
    <x v="26"/>
    <x v="0"/>
    <n v="101"/>
    <s v="011"/>
    <x v="0"/>
    <s v="001011"/>
    <x v="49"/>
    <m/>
    <n v="-2912"/>
    <n v="101"/>
    <n v="-2912"/>
  </r>
  <r>
    <s v="3Supplemental Retirement Payments"/>
    <x v="1"/>
    <x v="18"/>
    <b v="1"/>
    <x v="18"/>
    <x v="0"/>
    <n v="101"/>
    <s v="011"/>
    <x v="0"/>
    <s v="001011"/>
    <x v="49"/>
    <m/>
    <n v="-4553"/>
    <n v="101"/>
    <n v="-4553"/>
  </r>
  <r>
    <s v="1Supplemental Retirement Payments"/>
    <x v="1"/>
    <x v="19"/>
    <b v="1"/>
    <x v="19"/>
    <x v="0"/>
    <n v="101"/>
    <s v="011"/>
    <x v="0"/>
    <s v="001011"/>
    <x v="49"/>
    <m/>
    <n v="-2354"/>
    <n v="101"/>
    <n v="-2354"/>
  </r>
  <r>
    <s v="11Supplemental Retirement Payments"/>
    <x v="1"/>
    <x v="31"/>
    <b v="1"/>
    <x v="31"/>
    <x v="0"/>
    <n v="101"/>
    <s v="011"/>
    <x v="0"/>
    <s v="001011"/>
    <x v="49"/>
    <m/>
    <n v="-5504"/>
    <n v="101"/>
    <n v="-5504"/>
  </r>
  <r>
    <s v="27Supplemental Retirement Payments"/>
    <x v="1"/>
    <x v="5"/>
    <b v="1"/>
    <x v="5"/>
    <x v="0"/>
    <n v="101"/>
    <s v="011"/>
    <x v="0"/>
    <s v="001011"/>
    <x v="49"/>
    <m/>
    <n v="-3658"/>
    <n v="101"/>
    <n v="-3658"/>
  </r>
  <r>
    <s v="89Supplemental Retirement Payments"/>
    <x v="1"/>
    <x v="6"/>
    <b v="1"/>
    <x v="6"/>
    <x v="0"/>
    <s v="011"/>
    <s v="011"/>
    <x v="0"/>
    <s v="001011"/>
    <x v="49"/>
    <m/>
    <n v="-4448"/>
    <n v="101"/>
    <n v="-4448"/>
  </r>
  <r>
    <s v="6Supplemental Retirement Payments"/>
    <x v="1"/>
    <x v="7"/>
    <b v="1"/>
    <x v="7"/>
    <x v="0"/>
    <n v="101"/>
    <s v="011"/>
    <x v="0"/>
    <s v="001011"/>
    <x v="49"/>
    <m/>
    <n v="-15168"/>
    <n v="101"/>
    <n v="-15168"/>
  </r>
  <r>
    <s v="7Supplemental Retirement Payments"/>
    <x v="1"/>
    <x v="20"/>
    <b v="1"/>
    <x v="20"/>
    <x v="0"/>
    <n v="101"/>
    <s v="011"/>
    <x v="0"/>
    <s v="001011"/>
    <x v="49"/>
    <m/>
    <n v="-4758"/>
    <n v="101"/>
    <n v="-4758"/>
  </r>
  <r>
    <s v="4Supplemental Retirement Payments"/>
    <x v="1"/>
    <x v="21"/>
    <b v="1"/>
    <x v="21"/>
    <x v="0"/>
    <n v="101"/>
    <s v="011"/>
    <x v="0"/>
    <s v="001011"/>
    <x v="49"/>
    <m/>
    <n v="-4055"/>
    <n v="101"/>
    <n v="-4055"/>
  </r>
  <r>
    <s v="24Supplemental Retirement Payments"/>
    <x v="1"/>
    <x v="22"/>
    <b v="1"/>
    <x v="22"/>
    <x v="0"/>
    <n v="101"/>
    <s v="011"/>
    <x v="0"/>
    <s v="001011"/>
    <x v="49"/>
    <m/>
    <n v="-3648"/>
    <n v="101"/>
    <n v="-3648"/>
  </r>
  <r>
    <s v="17Supplemental Retirement Payments"/>
    <x v="1"/>
    <x v="8"/>
    <b v="1"/>
    <x v="8"/>
    <x v="0"/>
    <n v="101"/>
    <s v="011"/>
    <x v="0"/>
    <s v="001011"/>
    <x v="49"/>
    <m/>
    <n v="-12781"/>
    <n v="101"/>
    <n v="-12781"/>
  </r>
  <r>
    <s v="22Supplemental Retirement Payments"/>
    <x v="1"/>
    <x v="23"/>
    <b v="1"/>
    <x v="23"/>
    <x v="0"/>
    <n v="101"/>
    <s v="011"/>
    <x v="0"/>
    <s v="001011"/>
    <x v="49"/>
    <m/>
    <n v="-4519"/>
    <n v="101"/>
    <n v="-4519"/>
  </r>
  <r>
    <s v="20Supplemental Retirement Payments"/>
    <x v="1"/>
    <x v="25"/>
    <b v="1"/>
    <x v="25"/>
    <x v="0"/>
    <n v="101"/>
    <s v="011"/>
    <x v="0"/>
    <s v="001011"/>
    <x v="49"/>
    <m/>
    <n v="-3442"/>
    <n v="101"/>
    <n v="-3442"/>
  </r>
  <r>
    <s v="15Supplemental Retirement Payments"/>
    <x v="1"/>
    <x v="24"/>
    <b v="1"/>
    <x v="24"/>
    <x v="0"/>
    <n v="101"/>
    <s v="011"/>
    <x v="0"/>
    <s v="001011"/>
    <x v="49"/>
    <m/>
    <n v="-2769"/>
    <n v="101"/>
    <n v="-2769"/>
  </r>
  <r>
    <s v="21Supplemental Retirement Payments"/>
    <x v="1"/>
    <x v="32"/>
    <b v="1"/>
    <x v="32"/>
    <x v="0"/>
    <n v="101"/>
    <s v="011"/>
    <x v="0"/>
    <s v="001011"/>
    <x v="49"/>
    <m/>
    <n v="-2767"/>
    <n v="101"/>
    <n v="-2767"/>
  </r>
  <r>
    <s v="16Supplemental Retirement Payments"/>
    <x v="1"/>
    <x v="9"/>
    <b v="1"/>
    <x v="9"/>
    <x v="0"/>
    <n v="101"/>
    <s v="011"/>
    <x v="0"/>
    <s v="001011"/>
    <x v="49"/>
    <m/>
    <n v="-4212"/>
    <n v="101"/>
    <n v="-4212"/>
  </r>
  <r>
    <s v="89Technology Transformation"/>
    <x v="1"/>
    <x v="6"/>
    <b v="1"/>
    <x v="6"/>
    <x v="0"/>
    <s v="011"/>
    <s v="011"/>
    <x v="0"/>
    <s v="001011"/>
    <x v="50"/>
    <n v="1009270"/>
    <n v="-1009270"/>
    <n v="101"/>
    <n v="0"/>
  </r>
  <r>
    <s v="90UCNPS Transfer"/>
    <x v="1"/>
    <x v="0"/>
    <b v="1"/>
    <x v="0"/>
    <x v="0"/>
    <s v="011"/>
    <s v="011"/>
    <x v="0"/>
    <s v="001011"/>
    <x v="51"/>
    <n v="1989000"/>
    <n v="-1989000"/>
    <n v="101"/>
    <n v="0"/>
  </r>
  <r>
    <s v="14University Contracts (ELTA)"/>
    <x v="1"/>
    <x v="12"/>
    <b v="1"/>
    <x v="12"/>
    <x v="2"/>
    <s v="3E0"/>
    <s v="3E0"/>
    <x v="3"/>
    <s v="08A3E0"/>
    <x v="52"/>
    <n v="83514"/>
    <m/>
    <s v="3E0"/>
    <n v="83514"/>
  </r>
  <r>
    <s v="23University Contracts (ELTA)"/>
    <x v="1"/>
    <x v="14"/>
    <b v="1"/>
    <x v="14"/>
    <x v="2"/>
    <s v="3E0"/>
    <s v="3E0"/>
    <x v="3"/>
    <s v="08A3E0"/>
    <x v="52"/>
    <n v="99529"/>
    <m/>
    <s v="3E0"/>
    <n v="99529"/>
  </r>
  <r>
    <s v="5University Contracts (ELTA)"/>
    <x v="1"/>
    <x v="3"/>
    <b v="1"/>
    <x v="3"/>
    <x v="2"/>
    <s v="3E0"/>
    <s v="3E0"/>
    <x v="3"/>
    <s v="08A3E0"/>
    <x v="52"/>
    <n v="0"/>
    <m/>
    <s v="3E0"/>
    <n v="0"/>
  </r>
  <r>
    <s v="00University Contracts (ELTA)"/>
    <x v="1"/>
    <x v="4"/>
    <b v="1"/>
    <x v="4"/>
    <x v="2"/>
    <s v="3E0"/>
    <s v="3E0"/>
    <x v="3"/>
    <s v="08A3E0"/>
    <x v="52"/>
    <n v="0"/>
    <n v="0"/>
    <s v="3E0"/>
    <n v="0"/>
  </r>
  <r>
    <s v="3University Contracts (ELTA)"/>
    <x v="1"/>
    <x v="18"/>
    <b v="1"/>
    <x v="18"/>
    <x v="2"/>
    <s v="3E0"/>
    <s v="3E0"/>
    <x v="3"/>
    <s v="08A3E0"/>
    <x v="52"/>
    <n v="182812"/>
    <m/>
    <s v="3E0"/>
    <n v="182812"/>
  </r>
  <r>
    <s v="1University Contracts (ELTA)"/>
    <x v="1"/>
    <x v="19"/>
    <b v="1"/>
    <x v="19"/>
    <x v="2"/>
    <s v="3E0"/>
    <s v="3E0"/>
    <x v="3"/>
    <s v="08A3E0"/>
    <x v="52"/>
    <n v="0"/>
    <m/>
    <s v="3E0"/>
    <n v="0"/>
  </r>
  <r>
    <s v="11University Contracts (ELTA)"/>
    <x v="1"/>
    <x v="31"/>
    <b v="1"/>
    <x v="31"/>
    <x v="2"/>
    <s v="3E0"/>
    <s v="3E0"/>
    <x v="3"/>
    <s v="08A3E0"/>
    <x v="52"/>
    <n v="372282"/>
    <m/>
    <s v="3E0"/>
    <n v="372282"/>
  </r>
  <r>
    <s v="14University Contracts (GFS)"/>
    <x v="1"/>
    <x v="12"/>
    <b v="1"/>
    <x v="12"/>
    <x v="0"/>
    <n v="101"/>
    <s v="011"/>
    <x v="0"/>
    <s v="001011"/>
    <x v="53"/>
    <n v="13604"/>
    <m/>
    <n v="101"/>
    <n v="13604"/>
  </r>
  <r>
    <s v="23University Contracts (GFS)"/>
    <x v="1"/>
    <x v="14"/>
    <b v="1"/>
    <x v="14"/>
    <x v="0"/>
    <n v="101"/>
    <s v="011"/>
    <x v="0"/>
    <s v="001011"/>
    <x v="53"/>
    <n v="140411"/>
    <m/>
    <n v="101"/>
    <n v="140411"/>
  </r>
  <r>
    <s v="11University Contracts (GFS)"/>
    <x v="1"/>
    <x v="31"/>
    <b v="1"/>
    <x v="31"/>
    <x v="0"/>
    <n v="101"/>
    <s v="011"/>
    <x v="0"/>
    <s v="001011"/>
    <x v="53"/>
    <n v="50470"/>
    <m/>
    <n v="101"/>
    <n v="50470"/>
  </r>
  <r>
    <s v="12WFSE Agreement (001)"/>
    <x v="1"/>
    <x v="29"/>
    <b v="1"/>
    <x v="29"/>
    <x v="0"/>
    <n v="101"/>
    <s v="011"/>
    <x v="0"/>
    <s v="001011"/>
    <x v="54"/>
    <m/>
    <n v="55649"/>
    <n v="101"/>
    <n v="55649"/>
  </r>
  <r>
    <s v="5WFSE Agreement (001)"/>
    <x v="1"/>
    <x v="3"/>
    <b v="1"/>
    <x v="3"/>
    <x v="0"/>
    <n v="101"/>
    <s v="011"/>
    <x v="0"/>
    <s v="001011"/>
    <x v="54"/>
    <m/>
    <n v="198346"/>
    <n v="101"/>
    <n v="198346"/>
  </r>
  <r>
    <s v="10WFSE Agreement (001)"/>
    <x v="1"/>
    <x v="15"/>
    <b v="1"/>
    <x v="15"/>
    <x v="0"/>
    <n v="101"/>
    <s v="011"/>
    <x v="0"/>
    <s v="001011"/>
    <x v="54"/>
    <m/>
    <n v="171641"/>
    <n v="101"/>
    <n v="171641"/>
  </r>
  <r>
    <s v="13WFSE Agreement (001)"/>
    <x v="1"/>
    <x v="26"/>
    <b v="1"/>
    <x v="26"/>
    <x v="0"/>
    <n v="101"/>
    <s v="011"/>
    <x v="0"/>
    <s v="001011"/>
    <x v="54"/>
    <m/>
    <n v="66447"/>
    <n v="101"/>
    <n v="66447"/>
  </r>
  <r>
    <s v="1WFSE Agreement (001)"/>
    <x v="1"/>
    <x v="19"/>
    <b v="1"/>
    <x v="19"/>
    <x v="0"/>
    <n v="101"/>
    <s v="011"/>
    <x v="0"/>
    <s v="001011"/>
    <x v="54"/>
    <m/>
    <n v="42693"/>
    <n v="101"/>
    <n v="42693"/>
  </r>
  <r>
    <s v="6WFSE Agreement (001)"/>
    <x v="1"/>
    <x v="7"/>
    <b v="1"/>
    <x v="7"/>
    <x v="0"/>
    <n v="101"/>
    <s v="011"/>
    <x v="0"/>
    <s v="001011"/>
    <x v="54"/>
    <m/>
    <n v="392138"/>
    <n v="101"/>
    <n v="392138"/>
  </r>
  <r>
    <s v="7WFSE Agreement (001)"/>
    <x v="1"/>
    <x v="20"/>
    <b v="1"/>
    <x v="20"/>
    <x v="0"/>
    <n v="101"/>
    <s v="011"/>
    <x v="0"/>
    <s v="001011"/>
    <x v="54"/>
    <m/>
    <n v="131936"/>
    <n v="101"/>
    <n v="131936"/>
  </r>
  <r>
    <s v="24WFSE Agreement (001)"/>
    <x v="1"/>
    <x v="22"/>
    <b v="1"/>
    <x v="22"/>
    <x v="0"/>
    <n v="101"/>
    <s v="011"/>
    <x v="0"/>
    <s v="001011"/>
    <x v="54"/>
    <m/>
    <n v="117504"/>
    <n v="101"/>
    <n v="117504"/>
  </r>
  <r>
    <s v="17WFSE Agreement (001)"/>
    <x v="1"/>
    <x v="8"/>
    <b v="1"/>
    <x v="8"/>
    <x v="0"/>
    <n v="101"/>
    <s v="011"/>
    <x v="0"/>
    <s v="001011"/>
    <x v="54"/>
    <m/>
    <n v="372375"/>
    <n v="101"/>
    <n v="372375"/>
  </r>
  <r>
    <s v="22WFSE Agreement (001)"/>
    <x v="1"/>
    <x v="23"/>
    <b v="1"/>
    <x v="23"/>
    <x v="0"/>
    <n v="101"/>
    <s v="011"/>
    <x v="0"/>
    <s v="001011"/>
    <x v="54"/>
    <m/>
    <n v="114110"/>
    <n v="101"/>
    <n v="114110"/>
  </r>
  <r>
    <s v="21WFSE Agreement (001)"/>
    <x v="1"/>
    <x v="32"/>
    <b v="1"/>
    <x v="32"/>
    <x v="0"/>
    <n v="101"/>
    <s v="011"/>
    <x v="0"/>
    <s v="001011"/>
    <x v="54"/>
    <m/>
    <n v="64161"/>
    <n v="101"/>
    <n v="64161"/>
  </r>
  <r>
    <s v="28Worker Retraining - Base (101)"/>
    <x v="1"/>
    <x v="1"/>
    <b v="1"/>
    <x v="1"/>
    <x v="0"/>
    <s v="011"/>
    <s v="011"/>
    <x v="0"/>
    <s v="001011"/>
    <x v="55"/>
    <n v="281807"/>
    <n v="-55000"/>
    <n v="101"/>
    <n v="226807"/>
  </r>
  <r>
    <s v="8Worker Retraining - Base (101)"/>
    <x v="1"/>
    <x v="27"/>
    <b v="1"/>
    <x v="27"/>
    <x v="0"/>
    <s v="011"/>
    <s v="011"/>
    <x v="0"/>
    <s v="001011"/>
    <x v="55"/>
    <n v="207289"/>
    <n v="0"/>
    <n v="101"/>
    <n v="207289"/>
  </r>
  <r>
    <s v="25Worker Retraining - Base (101)"/>
    <x v="1"/>
    <x v="10"/>
    <b v="1"/>
    <x v="10"/>
    <x v="0"/>
    <s v="011"/>
    <s v="011"/>
    <x v="0"/>
    <s v="001011"/>
    <x v="55"/>
    <n v="123401"/>
    <n v="-90000"/>
    <n v="101"/>
    <n v="33401"/>
  </r>
  <r>
    <s v="18Worker Retraining - Base (101)"/>
    <x v="1"/>
    <x v="11"/>
    <b v="1"/>
    <x v="11"/>
    <x v="0"/>
    <s v="011"/>
    <s v="011"/>
    <x v="0"/>
    <s v="001011"/>
    <x v="55"/>
    <n v="46709"/>
    <n v="0"/>
    <n v="101"/>
    <n v="46709"/>
  </r>
  <r>
    <s v="30Worker Retraining - Base (101)"/>
    <x v="1"/>
    <x v="28"/>
    <b v="1"/>
    <x v="28"/>
    <x v="0"/>
    <s v="011"/>
    <s v="011"/>
    <x v="0"/>
    <s v="001011"/>
    <x v="55"/>
    <n v="28078"/>
    <n v="0"/>
    <n v="101"/>
    <n v="28078"/>
  </r>
  <r>
    <s v="12Worker Retraining - Base (101)"/>
    <x v="1"/>
    <x v="29"/>
    <b v="1"/>
    <x v="29"/>
    <x v="0"/>
    <s v="011"/>
    <s v="011"/>
    <x v="0"/>
    <s v="001011"/>
    <x v="55"/>
    <n v="202601"/>
    <n v="-100000"/>
    <n v="101"/>
    <n v="102601"/>
  </r>
  <r>
    <s v="14Worker Retraining - Base (101)"/>
    <x v="1"/>
    <x v="12"/>
    <b v="1"/>
    <x v="12"/>
    <x v="0"/>
    <s v="011"/>
    <s v="011"/>
    <x v="0"/>
    <s v="001011"/>
    <x v="55"/>
    <n v="126473"/>
    <n v="-15000"/>
    <n v="101"/>
    <n v="111473"/>
  </r>
  <r>
    <s v="29Worker Retraining - Base (101)"/>
    <x v="1"/>
    <x v="13"/>
    <b v="1"/>
    <x v="13"/>
    <x v="0"/>
    <s v="011"/>
    <s v="011"/>
    <x v="0"/>
    <s v="001011"/>
    <x v="55"/>
    <n v="160268"/>
    <n v="0"/>
    <n v="101"/>
    <n v="160268"/>
  </r>
  <r>
    <s v="19Worker Retraining - Base (101)"/>
    <x v="1"/>
    <x v="2"/>
    <b v="1"/>
    <x v="2"/>
    <x v="0"/>
    <s v="011"/>
    <s v="011"/>
    <x v="0"/>
    <s v="001011"/>
    <x v="55"/>
    <n v="200192"/>
    <n v="0"/>
    <n v="101"/>
    <n v="200192"/>
  </r>
  <r>
    <s v="23Worker Retraining - Base (101)"/>
    <x v="1"/>
    <x v="14"/>
    <b v="1"/>
    <x v="14"/>
    <x v="0"/>
    <s v="011"/>
    <s v="011"/>
    <x v="0"/>
    <s v="001011"/>
    <x v="55"/>
    <n v="235268"/>
    <n v="-75000"/>
    <n v="101"/>
    <n v="160268"/>
  </r>
  <r>
    <s v="5Worker Retraining - Base (101)"/>
    <x v="1"/>
    <x v="3"/>
    <b v="1"/>
    <x v="3"/>
    <x v="0"/>
    <s v="011"/>
    <s v="011"/>
    <x v="0"/>
    <s v="001011"/>
    <x v="55"/>
    <n v="140586"/>
    <n v="-30000"/>
    <n v="101"/>
    <n v="110586"/>
  </r>
  <r>
    <s v="2Worker Retraining - Base (101)"/>
    <x v="1"/>
    <x v="30"/>
    <b v="1"/>
    <x v="30"/>
    <x v="0"/>
    <s v="011"/>
    <s v="011"/>
    <x v="0"/>
    <s v="001011"/>
    <x v="55"/>
    <n v="140750"/>
    <n v="0"/>
    <n v="101"/>
    <n v="140750"/>
  </r>
  <r>
    <s v="10Worker Retraining - Base (101)"/>
    <x v="1"/>
    <x v="15"/>
    <b v="1"/>
    <x v="15"/>
    <x v="0"/>
    <s v="011"/>
    <s v="011"/>
    <x v="0"/>
    <s v="001011"/>
    <x v="55"/>
    <n v="239228"/>
    <n v="0"/>
    <n v="101"/>
    <n v="239228"/>
  </r>
  <r>
    <s v="9Worker Retraining - Base (101)"/>
    <x v="1"/>
    <x v="16"/>
    <b v="1"/>
    <x v="16"/>
    <x v="0"/>
    <s v="011"/>
    <s v="011"/>
    <x v="0"/>
    <s v="001011"/>
    <x v="55"/>
    <n v="218335"/>
    <n v="-35000"/>
    <n v="101"/>
    <n v="183335"/>
  </r>
  <r>
    <s v="26Worker Retraining - Base (101)"/>
    <x v="1"/>
    <x v="17"/>
    <b v="1"/>
    <x v="17"/>
    <x v="0"/>
    <s v="011"/>
    <s v="011"/>
    <x v="0"/>
    <s v="001011"/>
    <x v="55"/>
    <n v="104376"/>
    <n v="0"/>
    <n v="101"/>
    <n v="104376"/>
  </r>
  <r>
    <s v="13Worker Retraining - Base (101)"/>
    <x v="1"/>
    <x v="26"/>
    <b v="1"/>
    <x v="26"/>
    <x v="0"/>
    <s v="011"/>
    <s v="011"/>
    <x v="0"/>
    <s v="001011"/>
    <x v="55"/>
    <n v="43160"/>
    <n v="0"/>
    <n v="101"/>
    <n v="43160"/>
  </r>
  <r>
    <s v="3Worker Retraining - Base (101)"/>
    <x v="1"/>
    <x v="18"/>
    <b v="1"/>
    <x v="18"/>
    <x v="0"/>
    <s v="011"/>
    <s v="011"/>
    <x v="0"/>
    <s v="001011"/>
    <x v="55"/>
    <n v="156720"/>
    <n v="0"/>
    <n v="101"/>
    <n v="156720"/>
  </r>
  <r>
    <s v="1Worker Retraining - Base (101)"/>
    <x v="1"/>
    <x v="19"/>
    <b v="1"/>
    <x v="19"/>
    <x v="0"/>
    <s v="011"/>
    <s v="011"/>
    <x v="0"/>
    <s v="001011"/>
    <x v="55"/>
    <n v="137202"/>
    <n v="0"/>
    <n v="101"/>
    <n v="137202"/>
  </r>
  <r>
    <s v="11Worker Retraining - Base (101)"/>
    <x v="1"/>
    <x v="31"/>
    <b v="1"/>
    <x v="31"/>
    <x v="0"/>
    <s v="011"/>
    <s v="011"/>
    <x v="0"/>
    <s v="001011"/>
    <x v="55"/>
    <n v="154633"/>
    <n v="0"/>
    <n v="101"/>
    <n v="154633"/>
  </r>
  <r>
    <s v="27Worker Retraining - Base (101)"/>
    <x v="1"/>
    <x v="5"/>
    <b v="1"/>
    <x v="5"/>
    <x v="0"/>
    <s v="011"/>
    <s v="011"/>
    <x v="0"/>
    <s v="001011"/>
    <x v="55"/>
    <n v="175351"/>
    <n v="0"/>
    <n v="101"/>
    <n v="175351"/>
  </r>
  <r>
    <s v="89Worker Retraining - Base (101)"/>
    <x v="1"/>
    <x v="6"/>
    <b v="1"/>
    <x v="6"/>
    <x v="0"/>
    <s v="011"/>
    <s v="011"/>
    <x v="0"/>
    <s v="001011"/>
    <x v="55"/>
    <n v="497555"/>
    <m/>
    <n v="101"/>
    <n v="497555"/>
  </r>
  <r>
    <s v="90Worker Retraining - Base (101)"/>
    <x v="1"/>
    <x v="0"/>
    <b v="1"/>
    <x v="0"/>
    <x v="0"/>
    <s v="011"/>
    <s v="011"/>
    <x v="0"/>
    <s v="001011"/>
    <x v="55"/>
    <n v="1009563"/>
    <n v="631317"/>
    <n v="101"/>
    <n v="1640880"/>
  </r>
  <r>
    <s v="6Worker Retraining - Base (101)"/>
    <x v="1"/>
    <x v="7"/>
    <b v="1"/>
    <x v="7"/>
    <x v="0"/>
    <s v="011"/>
    <s v="011"/>
    <x v="0"/>
    <s v="001011"/>
    <x v="55"/>
    <n v="718713"/>
    <n v="-190000"/>
    <n v="101"/>
    <n v="528713"/>
  </r>
  <r>
    <s v="7Worker Retraining - Base (101)"/>
    <x v="1"/>
    <x v="20"/>
    <b v="1"/>
    <x v="20"/>
    <x v="0"/>
    <s v="011"/>
    <s v="011"/>
    <x v="0"/>
    <s v="001011"/>
    <x v="55"/>
    <n v="132766"/>
    <n v="0"/>
    <n v="101"/>
    <n v="132766"/>
  </r>
  <r>
    <s v="4Worker Retraining - Base (101)"/>
    <x v="1"/>
    <x v="21"/>
    <b v="1"/>
    <x v="21"/>
    <x v="0"/>
    <s v="011"/>
    <s v="011"/>
    <x v="0"/>
    <s v="001011"/>
    <x v="55"/>
    <n v="100047"/>
    <n v="-6317"/>
    <n v="101"/>
    <n v="93730"/>
  </r>
  <r>
    <s v="24Worker Retraining - Base (101)"/>
    <x v="1"/>
    <x v="22"/>
    <b v="1"/>
    <x v="22"/>
    <x v="0"/>
    <s v="011"/>
    <s v="011"/>
    <x v="0"/>
    <s v="001011"/>
    <x v="55"/>
    <n v="67114"/>
    <n v="0"/>
    <n v="101"/>
    <n v="67114"/>
  </r>
  <r>
    <s v="17Worker Retraining - Base (101)"/>
    <x v="1"/>
    <x v="8"/>
    <b v="1"/>
    <x v="8"/>
    <x v="0"/>
    <s v="011"/>
    <s v="011"/>
    <x v="0"/>
    <s v="001011"/>
    <x v="55"/>
    <n v="205203"/>
    <n v="0"/>
    <n v="101"/>
    <n v="205203"/>
  </r>
  <r>
    <s v="22Worker Retraining - Base (101)"/>
    <x v="1"/>
    <x v="23"/>
    <b v="1"/>
    <x v="23"/>
    <x v="0"/>
    <s v="011"/>
    <s v="011"/>
    <x v="0"/>
    <s v="001011"/>
    <x v="55"/>
    <n v="173576"/>
    <n v="0"/>
    <n v="101"/>
    <n v="173576"/>
  </r>
  <r>
    <s v="20Worker Retraining - Base (101)"/>
    <x v="1"/>
    <x v="25"/>
    <b v="1"/>
    <x v="25"/>
    <x v="0"/>
    <s v="011"/>
    <s v="011"/>
    <x v="0"/>
    <s v="001011"/>
    <x v="55"/>
    <n v="249469"/>
    <n v="-20000"/>
    <n v="101"/>
    <n v="229469"/>
  </r>
  <r>
    <s v="15Worker Retraining - Base (101)"/>
    <x v="1"/>
    <x v="24"/>
    <b v="1"/>
    <x v="24"/>
    <x v="0"/>
    <s v="011"/>
    <s v="011"/>
    <x v="0"/>
    <s v="001011"/>
    <x v="55"/>
    <n v="99940"/>
    <n v="0"/>
    <n v="101"/>
    <n v="99940"/>
  </r>
  <r>
    <s v="21Worker Retraining - Base (101)"/>
    <x v="1"/>
    <x v="32"/>
    <b v="1"/>
    <x v="32"/>
    <x v="0"/>
    <s v="011"/>
    <s v="011"/>
    <x v="0"/>
    <s v="001011"/>
    <x v="55"/>
    <n v="50175"/>
    <n v="-15000"/>
    <n v="101"/>
    <n v="35175"/>
  </r>
  <r>
    <s v="16Worker Retraining - Base (101)"/>
    <x v="1"/>
    <x v="9"/>
    <b v="1"/>
    <x v="9"/>
    <x v="0"/>
    <s v="011"/>
    <s v="011"/>
    <x v="0"/>
    <s v="001011"/>
    <x v="55"/>
    <n v="71552"/>
    <n v="0"/>
    <n v="101"/>
    <n v="71552"/>
  </r>
  <r>
    <s v="28Worker Retraining - Base (AC1)"/>
    <x v="1"/>
    <x v="1"/>
    <b v="1"/>
    <x v="1"/>
    <x v="0"/>
    <s v="AC1"/>
    <s v="AC1"/>
    <x v="12"/>
    <s v="001AC1"/>
    <x v="56"/>
    <n v="1083391"/>
    <m/>
    <n v="123"/>
    <n v="1083391"/>
  </r>
  <r>
    <s v="8Worker Retraining - Base (AC1)"/>
    <x v="1"/>
    <x v="27"/>
    <b v="1"/>
    <x v="27"/>
    <x v="0"/>
    <s v="AC1"/>
    <s v="AC1"/>
    <x v="12"/>
    <s v="001AC1"/>
    <x v="56"/>
    <n v="990159"/>
    <m/>
    <n v="123"/>
    <n v="990159"/>
  </r>
  <r>
    <s v="25Worker Retraining - Base (AC1)"/>
    <x v="1"/>
    <x v="10"/>
    <b v="1"/>
    <x v="10"/>
    <x v="0"/>
    <s v="AC1"/>
    <s v="AC1"/>
    <x v="12"/>
    <s v="001AC1"/>
    <x v="56"/>
    <n v="159547"/>
    <m/>
    <n v="123"/>
    <n v="159547"/>
  </r>
  <r>
    <s v="18Worker Retraining - Base (AC1)"/>
    <x v="1"/>
    <x v="11"/>
    <b v="1"/>
    <x v="11"/>
    <x v="0"/>
    <s v="AC1"/>
    <s v="AC1"/>
    <x v="12"/>
    <s v="001AC1"/>
    <x v="56"/>
    <n v="223114"/>
    <m/>
    <n v="123"/>
    <n v="223114"/>
  </r>
  <r>
    <s v="30Worker Retraining - Base (AC1)"/>
    <x v="1"/>
    <x v="28"/>
    <b v="1"/>
    <x v="28"/>
    <x v="0"/>
    <s v="AC1"/>
    <s v="AC1"/>
    <x v="12"/>
    <s v="001AC1"/>
    <x v="56"/>
    <n v="134120"/>
    <m/>
    <n v="123"/>
    <n v="134120"/>
  </r>
  <r>
    <s v="12Worker Retraining - Base (AC1)"/>
    <x v="1"/>
    <x v="29"/>
    <b v="1"/>
    <x v="29"/>
    <x v="0"/>
    <s v="AC1"/>
    <s v="AC1"/>
    <x v="12"/>
    <s v="001AC1"/>
    <x v="56"/>
    <n v="490097"/>
    <m/>
    <n v="123"/>
    <n v="490097"/>
  </r>
  <r>
    <s v="14Worker Retraining - Base (AC1)"/>
    <x v="1"/>
    <x v="12"/>
    <b v="1"/>
    <x v="12"/>
    <x v="0"/>
    <s v="AC1"/>
    <s v="AC1"/>
    <x v="12"/>
    <s v="001AC1"/>
    <x v="56"/>
    <n v="532475"/>
    <m/>
    <n v="123"/>
    <n v="532475"/>
  </r>
  <r>
    <s v="29Worker Retraining - Base (AC1)"/>
    <x v="1"/>
    <x v="13"/>
    <b v="1"/>
    <x v="13"/>
    <x v="0"/>
    <s v="AC1"/>
    <s v="AC1"/>
    <x v="12"/>
    <s v="001AC1"/>
    <x v="56"/>
    <n v="765555"/>
    <m/>
    <n v="123"/>
    <n v="765555"/>
  </r>
  <r>
    <s v="19Worker Retraining - Base (AC1)"/>
    <x v="1"/>
    <x v="2"/>
    <b v="1"/>
    <x v="2"/>
    <x v="0"/>
    <s v="AC1"/>
    <s v="AC1"/>
    <x v="12"/>
    <s v="001AC1"/>
    <x v="56"/>
    <n v="956256"/>
    <m/>
    <n v="123"/>
    <n v="956256"/>
  </r>
  <r>
    <s v="23Worker Retraining - Base (AC1)"/>
    <x v="1"/>
    <x v="14"/>
    <b v="1"/>
    <x v="14"/>
    <x v="0"/>
    <s v="AC1"/>
    <s v="AC1"/>
    <x v="12"/>
    <s v="001AC1"/>
    <x v="56"/>
    <n v="765555"/>
    <m/>
    <n v="123"/>
    <n v="765555"/>
  </r>
  <r>
    <s v="5Worker Retraining - Base (AC1)"/>
    <x v="1"/>
    <x v="3"/>
    <b v="1"/>
    <x v="3"/>
    <x v="0"/>
    <s v="AC1"/>
    <s v="AC1"/>
    <x v="12"/>
    <s v="001AC1"/>
    <x v="56"/>
    <n v="528237"/>
    <m/>
    <n v="123"/>
    <n v="528237"/>
  </r>
  <r>
    <s v="2Worker Retraining - Base (AC1)"/>
    <x v="1"/>
    <x v="30"/>
    <b v="1"/>
    <x v="30"/>
    <x v="0"/>
    <s v="AC1"/>
    <s v="AC1"/>
    <x v="12"/>
    <s v="001AC1"/>
    <x v="56"/>
    <n v="672323"/>
    <m/>
    <n v="123"/>
    <n v="672323"/>
  </r>
  <r>
    <s v="10Worker Retraining - Base (AC1)"/>
    <x v="1"/>
    <x v="15"/>
    <b v="1"/>
    <x v="15"/>
    <x v="0"/>
    <s v="AC1"/>
    <s v="AC1"/>
    <x v="12"/>
    <s v="001AC1"/>
    <x v="56"/>
    <n v="1142720"/>
    <m/>
    <n v="123"/>
    <n v="1142720"/>
  </r>
  <r>
    <s v="9Worker Retraining - Base (AC1)"/>
    <x v="1"/>
    <x v="16"/>
    <b v="1"/>
    <x v="16"/>
    <x v="0"/>
    <s v="AC1"/>
    <s v="AC1"/>
    <x v="12"/>
    <s v="001AC1"/>
    <x v="56"/>
    <n v="875738"/>
    <m/>
    <n v="123"/>
    <n v="875738"/>
  </r>
  <r>
    <s v="26Worker Retraining - Base (AC1)"/>
    <x v="1"/>
    <x v="17"/>
    <b v="1"/>
    <x v="17"/>
    <x v="0"/>
    <s v="AC1"/>
    <s v="AC1"/>
    <x v="12"/>
    <s v="001AC1"/>
    <x v="56"/>
    <n v="498572"/>
    <m/>
    <n v="123"/>
    <n v="498572"/>
  </r>
  <r>
    <s v="13Worker Retraining - Base (AC1)"/>
    <x v="1"/>
    <x v="26"/>
    <b v="1"/>
    <x v="26"/>
    <x v="0"/>
    <s v="AC1"/>
    <s v="AC1"/>
    <x v="12"/>
    <s v="001AC1"/>
    <x v="56"/>
    <n v="206163"/>
    <m/>
    <n v="123"/>
    <n v="206163"/>
  </r>
  <r>
    <s v="3Worker Retraining - Base (AC1)"/>
    <x v="1"/>
    <x v="18"/>
    <b v="1"/>
    <x v="18"/>
    <x v="0"/>
    <s v="AC1"/>
    <s v="AC1"/>
    <x v="12"/>
    <s v="001AC1"/>
    <x v="56"/>
    <n v="748603"/>
    <m/>
    <n v="123"/>
    <n v="748603"/>
  </r>
  <r>
    <s v="1Worker Retraining - Base (AC1)"/>
    <x v="1"/>
    <x v="19"/>
    <b v="1"/>
    <x v="19"/>
    <x v="0"/>
    <s v="AC1"/>
    <s v="AC1"/>
    <x v="12"/>
    <s v="001AC1"/>
    <x v="56"/>
    <n v="655371"/>
    <m/>
    <n v="123"/>
    <n v="655371"/>
  </r>
  <r>
    <s v="11Worker Retraining - Base (AC1)"/>
    <x v="1"/>
    <x v="31"/>
    <b v="1"/>
    <x v="31"/>
    <x v="0"/>
    <s v="AC1"/>
    <s v="AC1"/>
    <x v="12"/>
    <s v="001AC1"/>
    <x v="56"/>
    <n v="738638"/>
    <m/>
    <n v="123"/>
    <n v="738638"/>
  </r>
  <r>
    <s v="27Worker Retraining - Base (AC1)"/>
    <x v="1"/>
    <x v="5"/>
    <b v="1"/>
    <x v="5"/>
    <x v="0"/>
    <s v="AC1"/>
    <s v="AC1"/>
    <x v="12"/>
    <s v="001AC1"/>
    <x v="56"/>
    <n v="837597"/>
    <m/>
    <n v="123"/>
    <n v="837597"/>
  </r>
  <r>
    <s v="6Worker Retraining - Base (AC1)"/>
    <x v="1"/>
    <x v="7"/>
    <b v="1"/>
    <x v="7"/>
    <x v="0"/>
    <s v="AC1"/>
    <s v="AC1"/>
    <x v="12"/>
    <s v="001AC1"/>
    <x v="56"/>
    <n v="2525506"/>
    <m/>
    <n v="123"/>
    <n v="2525506"/>
  </r>
  <r>
    <s v="7Worker Retraining - Base (AC1)"/>
    <x v="1"/>
    <x v="20"/>
    <b v="1"/>
    <x v="20"/>
    <x v="0"/>
    <s v="AC1"/>
    <s v="AC1"/>
    <x v="12"/>
    <s v="001AC1"/>
    <x v="56"/>
    <n v="634182"/>
    <m/>
    <n v="123"/>
    <n v="634182"/>
  </r>
  <r>
    <s v="4Worker Retraining - Base (AC1)"/>
    <x v="1"/>
    <x v="21"/>
    <b v="1"/>
    <x v="21"/>
    <x v="0"/>
    <s v="AC1"/>
    <s v="AC1"/>
    <x v="12"/>
    <s v="001AC1"/>
    <x v="56"/>
    <n v="447718"/>
    <m/>
    <n v="123"/>
    <n v="447718"/>
  </r>
  <r>
    <s v="24Worker Retraining - Base (AC1)"/>
    <x v="1"/>
    <x v="22"/>
    <b v="1"/>
    <x v="22"/>
    <x v="0"/>
    <s v="AC1"/>
    <s v="AC1"/>
    <x v="12"/>
    <s v="001AC1"/>
    <x v="56"/>
    <n v="320584"/>
    <m/>
    <n v="123"/>
    <n v="320584"/>
  </r>
  <r>
    <s v="17Worker Retraining - Base (AC1)"/>
    <x v="1"/>
    <x v="8"/>
    <b v="1"/>
    <x v="8"/>
    <x v="0"/>
    <s v="AC1"/>
    <s v="AC1"/>
    <x v="12"/>
    <s v="001AC1"/>
    <x v="56"/>
    <n v="980193"/>
    <m/>
    <n v="123"/>
    <n v="980193"/>
  </r>
  <r>
    <s v="22Worker Retraining - Base (AC1)"/>
    <x v="1"/>
    <x v="23"/>
    <b v="1"/>
    <x v="23"/>
    <x v="0"/>
    <s v="AC1"/>
    <s v="AC1"/>
    <x v="12"/>
    <s v="001AC1"/>
    <x v="56"/>
    <n v="829122"/>
    <m/>
    <n v="123"/>
    <n v="829122"/>
  </r>
  <r>
    <s v="20Worker Retraining - Base (AC1)"/>
    <x v="1"/>
    <x v="25"/>
    <b v="1"/>
    <x v="25"/>
    <x v="0"/>
    <s v="AC1"/>
    <s v="AC1"/>
    <x v="12"/>
    <s v="001AC1"/>
    <x v="56"/>
    <n v="1096104"/>
    <m/>
    <n v="123"/>
    <n v="1096104"/>
  </r>
  <r>
    <s v="15Worker Retraining - Base (AC1)"/>
    <x v="1"/>
    <x v="24"/>
    <b v="1"/>
    <x v="24"/>
    <x v="0"/>
    <s v="AC1"/>
    <s v="AC1"/>
    <x v="12"/>
    <s v="001AC1"/>
    <x v="56"/>
    <n v="477383"/>
    <m/>
    <n v="123"/>
    <n v="477383"/>
  </r>
  <r>
    <s v="21Worker Retraining - Base (AC1)"/>
    <x v="1"/>
    <x v="32"/>
    <b v="1"/>
    <x v="32"/>
    <x v="0"/>
    <s v="AC1"/>
    <s v="AC1"/>
    <x v="12"/>
    <s v="001AC1"/>
    <x v="56"/>
    <n v="168023"/>
    <m/>
    <n v="123"/>
    <n v="168023"/>
  </r>
  <r>
    <s v="16Worker Retraining - Base (AC1)"/>
    <x v="1"/>
    <x v="9"/>
    <b v="1"/>
    <x v="9"/>
    <x v="0"/>
    <s v="AC1"/>
    <s v="AC1"/>
    <x v="12"/>
    <s v="001AC1"/>
    <x v="56"/>
    <n v="341771"/>
    <m/>
    <n v="123"/>
    <n v="341771"/>
  </r>
  <r>
    <s v="28Worker Retraining - Variable (AC1)"/>
    <x v="1"/>
    <x v="1"/>
    <b v="1"/>
    <x v="1"/>
    <x v="0"/>
    <s v="AC1"/>
    <s v="AC1"/>
    <x v="12"/>
    <s v="001AC1"/>
    <x v="57"/>
    <n v="691875"/>
    <n v="-691875"/>
    <n v="123"/>
    <n v="0"/>
  </r>
  <r>
    <s v="8Worker Retraining - Variable (AC1)"/>
    <x v="1"/>
    <x v="27"/>
    <b v="1"/>
    <x v="27"/>
    <x v="0"/>
    <s v="AC1"/>
    <s v="AC1"/>
    <x v="12"/>
    <s v="001AC1"/>
    <x v="57"/>
    <n v="471500"/>
    <n v="-471500"/>
    <n v="123"/>
    <n v="0"/>
  </r>
  <r>
    <s v="25Worker Retraining - Variable (AC1)"/>
    <x v="1"/>
    <x v="10"/>
    <b v="1"/>
    <x v="10"/>
    <x v="0"/>
    <s v="AC1"/>
    <s v="AC1"/>
    <x v="12"/>
    <s v="001AC1"/>
    <x v="57"/>
    <n v="702125"/>
    <n v="-702125"/>
    <n v="123"/>
    <n v="0"/>
  </r>
  <r>
    <s v="18Worker Retraining - Variable (AC1)"/>
    <x v="1"/>
    <x v="11"/>
    <b v="1"/>
    <x v="11"/>
    <x v="0"/>
    <s v="AC1"/>
    <s v="AC1"/>
    <x v="12"/>
    <s v="001AC1"/>
    <x v="57"/>
    <n v="92250"/>
    <n v="-92250"/>
    <n v="123"/>
    <n v="0"/>
  </r>
  <r>
    <s v="30Worker Retraining - Variable (AC1)"/>
    <x v="1"/>
    <x v="28"/>
    <b v="1"/>
    <x v="28"/>
    <x v="0"/>
    <s v="AC1"/>
    <s v="AC1"/>
    <x v="12"/>
    <s v="001AC1"/>
    <x v="57"/>
    <n v="66625"/>
    <n v="-66625"/>
    <n v="123"/>
    <n v="0"/>
  </r>
  <r>
    <s v="12Worker Retraining - Variable (AC1)"/>
    <x v="1"/>
    <x v="29"/>
    <b v="1"/>
    <x v="29"/>
    <x v="0"/>
    <s v="AC1"/>
    <s v="AC1"/>
    <x v="12"/>
    <s v="001AC1"/>
    <x v="57"/>
    <n v="251125"/>
    <n v="-251125"/>
    <n v="123"/>
    <n v="0"/>
  </r>
  <r>
    <s v="14Worker Retraining - Variable (AC1)"/>
    <x v="1"/>
    <x v="12"/>
    <b v="1"/>
    <x v="12"/>
    <x v="0"/>
    <s v="AC1"/>
    <s v="AC1"/>
    <x v="12"/>
    <s v="001AC1"/>
    <x v="57"/>
    <n v="440750"/>
    <n v="-440750"/>
    <n v="123"/>
    <n v="0"/>
  </r>
  <r>
    <s v="29Worker Retraining - Variable (AC1)"/>
    <x v="1"/>
    <x v="13"/>
    <b v="1"/>
    <x v="13"/>
    <x v="0"/>
    <s v="AC1"/>
    <s v="AC1"/>
    <x v="12"/>
    <s v="001AC1"/>
    <x v="57"/>
    <n v="522750"/>
    <n v="-522750"/>
    <n v="123"/>
    <n v="0"/>
  </r>
  <r>
    <s v="19Worker Retraining - Variable (AC1)"/>
    <x v="1"/>
    <x v="2"/>
    <b v="1"/>
    <x v="2"/>
    <x v="0"/>
    <s v="AC1"/>
    <s v="AC1"/>
    <x v="12"/>
    <s v="001AC1"/>
    <x v="57"/>
    <n v="348500"/>
    <n v="-348500"/>
    <n v="123"/>
    <n v="0"/>
  </r>
  <r>
    <s v="23Worker Retraining - Variable (AC1)"/>
    <x v="1"/>
    <x v="14"/>
    <b v="1"/>
    <x v="14"/>
    <x v="0"/>
    <s v="AC1"/>
    <s v="AC1"/>
    <x v="12"/>
    <s v="001AC1"/>
    <x v="57"/>
    <n v="445875"/>
    <n v="-445875"/>
    <n v="123"/>
    <n v="0"/>
  </r>
  <r>
    <s v="5Worker Retraining - Variable (AC1)"/>
    <x v="1"/>
    <x v="3"/>
    <b v="1"/>
    <x v="3"/>
    <x v="0"/>
    <s v="AC1"/>
    <s v="AC1"/>
    <x v="12"/>
    <s v="001AC1"/>
    <x v="57"/>
    <n v="184500"/>
    <n v="-184500"/>
    <n v="123"/>
    <n v="0"/>
  </r>
  <r>
    <s v="00Worker Retraining - Variable (AC1)"/>
    <x v="1"/>
    <x v="4"/>
    <b v="1"/>
    <x v="4"/>
    <x v="0"/>
    <s v="AC1"/>
    <s v="AC1"/>
    <x v="12"/>
    <s v="001AC1"/>
    <x v="57"/>
    <m/>
    <n v="12402500"/>
    <n v="123"/>
    <n v="12402500"/>
  </r>
  <r>
    <s v="2Worker Retraining - Variable (AC1)"/>
    <x v="1"/>
    <x v="30"/>
    <b v="1"/>
    <x v="30"/>
    <x v="0"/>
    <s v="AC1"/>
    <s v="AC1"/>
    <x v="12"/>
    <s v="001AC1"/>
    <x v="57"/>
    <n v="210125"/>
    <n v="-210125"/>
    <n v="123"/>
    <n v="0"/>
  </r>
  <r>
    <s v="10Worker Retraining - Variable (AC1)"/>
    <x v="1"/>
    <x v="15"/>
    <b v="1"/>
    <x v="15"/>
    <x v="0"/>
    <s v="AC1"/>
    <s v="AC1"/>
    <x v="12"/>
    <s v="001AC1"/>
    <x v="57"/>
    <n v="927625"/>
    <n v="-927625"/>
    <n v="123"/>
    <n v="0"/>
  </r>
  <r>
    <s v="9Worker Retraining - Variable (AC1)"/>
    <x v="1"/>
    <x v="16"/>
    <b v="1"/>
    <x v="16"/>
    <x v="0"/>
    <s v="AC1"/>
    <s v="AC1"/>
    <x v="12"/>
    <s v="001AC1"/>
    <x v="57"/>
    <n v="292125"/>
    <n v="-292125"/>
    <n v="123"/>
    <n v="0"/>
  </r>
  <r>
    <s v="26Worker Retraining - Variable (AC1)"/>
    <x v="1"/>
    <x v="17"/>
    <b v="1"/>
    <x v="17"/>
    <x v="0"/>
    <s v="AC1"/>
    <s v="AC1"/>
    <x v="12"/>
    <s v="001AC1"/>
    <x v="57"/>
    <n v="543250"/>
    <n v="-543250"/>
    <n v="123"/>
    <n v="0"/>
  </r>
  <r>
    <s v="13Worker Retraining - Variable (AC1)"/>
    <x v="1"/>
    <x v="26"/>
    <b v="1"/>
    <x v="26"/>
    <x v="0"/>
    <n v="101"/>
    <s v="AC1"/>
    <x v="12"/>
    <s v="001AC1"/>
    <x v="57"/>
    <n v="143500"/>
    <n v="-143500"/>
    <n v="123"/>
    <n v="0"/>
  </r>
  <r>
    <s v="3Worker Retraining - Variable (AC1)"/>
    <x v="1"/>
    <x v="18"/>
    <b v="1"/>
    <x v="18"/>
    <x v="0"/>
    <n v="101"/>
    <s v="AC1"/>
    <x v="12"/>
    <s v="001AC1"/>
    <x v="57"/>
    <n v="348500"/>
    <n v="-348500"/>
    <n v="123"/>
    <n v="0"/>
  </r>
  <r>
    <s v="1Worker Retraining - Variable (AC1)"/>
    <x v="1"/>
    <x v="19"/>
    <b v="1"/>
    <x v="19"/>
    <x v="0"/>
    <n v="101"/>
    <s v="AC1"/>
    <x v="12"/>
    <s v="001AC1"/>
    <x v="57"/>
    <n v="230625"/>
    <n v="-230625"/>
    <n v="123"/>
    <n v="0"/>
  </r>
  <r>
    <s v="11Worker Retraining - Variable (AC1)"/>
    <x v="1"/>
    <x v="31"/>
    <b v="1"/>
    <x v="31"/>
    <x v="0"/>
    <n v="101"/>
    <s v="AC1"/>
    <x v="12"/>
    <s v="001AC1"/>
    <x v="57"/>
    <n v="440750"/>
    <n v="-440750"/>
    <n v="123"/>
    <n v="0"/>
  </r>
  <r>
    <s v="27Worker Retraining - Variable (AC1)"/>
    <x v="1"/>
    <x v="5"/>
    <b v="1"/>
    <x v="5"/>
    <x v="0"/>
    <n v="101"/>
    <s v="AC1"/>
    <x v="12"/>
    <s v="001AC1"/>
    <x v="57"/>
    <n v="123000"/>
    <n v="-123000"/>
    <n v="123"/>
    <n v="0"/>
  </r>
  <r>
    <s v="6Worker Retraining - Variable (AC1)"/>
    <x v="1"/>
    <x v="7"/>
    <b v="1"/>
    <x v="7"/>
    <x v="0"/>
    <n v="101"/>
    <s v="AC1"/>
    <x v="12"/>
    <s v="001AC1"/>
    <x v="57"/>
    <n v="1937250"/>
    <n v="-1937250"/>
    <n v="123"/>
    <n v="0"/>
  </r>
  <r>
    <s v="7Worker Retraining - Variable (AC1)"/>
    <x v="1"/>
    <x v="20"/>
    <b v="1"/>
    <x v="20"/>
    <x v="0"/>
    <n v="101"/>
    <s v="AC1"/>
    <x v="12"/>
    <s v="001AC1"/>
    <x v="57"/>
    <n v="543250"/>
    <n v="-543250"/>
    <n v="123"/>
    <n v="0"/>
  </r>
  <r>
    <s v="4Worker Retraining - Variable (AC1)"/>
    <x v="1"/>
    <x v="21"/>
    <b v="1"/>
    <x v="21"/>
    <x v="0"/>
    <n v="101"/>
    <s v="AC1"/>
    <x v="12"/>
    <s v="001AC1"/>
    <x v="57"/>
    <n v="274558"/>
    <n v="-274558"/>
    <n v="123"/>
    <n v="0"/>
  </r>
  <r>
    <s v="24Worker Retraining - Variable (AC1)"/>
    <x v="1"/>
    <x v="22"/>
    <b v="1"/>
    <x v="22"/>
    <x v="0"/>
    <n v="101"/>
    <s v="AC1"/>
    <x v="12"/>
    <s v="001AC1"/>
    <x v="57"/>
    <n v="164000"/>
    <n v="-164000"/>
    <n v="123"/>
    <n v="0"/>
  </r>
  <r>
    <s v="17Worker Retraining - Variable (AC1)"/>
    <x v="1"/>
    <x v="8"/>
    <b v="1"/>
    <x v="8"/>
    <x v="0"/>
    <n v="101"/>
    <s v="AC1"/>
    <x v="12"/>
    <s v="001AC1"/>
    <x v="57"/>
    <n v="656000"/>
    <n v="-656000"/>
    <n v="123"/>
    <n v="0"/>
  </r>
  <r>
    <s v="22Worker Retraining - Variable (AC1)"/>
    <x v="1"/>
    <x v="23"/>
    <b v="1"/>
    <x v="23"/>
    <x v="0"/>
    <n v="101"/>
    <s v="AC1"/>
    <x v="12"/>
    <s v="001AC1"/>
    <x v="57"/>
    <n v="276750"/>
    <n v="-276750"/>
    <n v="123"/>
    <n v="0"/>
  </r>
  <r>
    <s v="20Worker Retraining - Variable (AC1)"/>
    <x v="1"/>
    <x v="25"/>
    <b v="1"/>
    <x v="25"/>
    <x v="0"/>
    <n v="101"/>
    <s v="AC1"/>
    <x v="12"/>
    <s v="001AC1"/>
    <x v="57"/>
    <n v="620125"/>
    <n v="-620125"/>
    <n v="123"/>
    <n v="0"/>
  </r>
  <r>
    <s v="15Worker Retraining - Variable (AC1)"/>
    <x v="1"/>
    <x v="24"/>
    <b v="1"/>
    <x v="24"/>
    <x v="0"/>
    <n v="101"/>
    <s v="AC1"/>
    <x v="12"/>
    <s v="001AC1"/>
    <x v="57"/>
    <n v="164000"/>
    <n v="-164000"/>
    <n v="123"/>
    <n v="0"/>
  </r>
  <r>
    <s v="21Worker Retraining - Variable (AC1)"/>
    <x v="1"/>
    <x v="32"/>
    <b v="1"/>
    <x v="32"/>
    <x v="0"/>
    <n v="101"/>
    <s v="AC1"/>
    <x v="12"/>
    <s v="001AC1"/>
    <x v="57"/>
    <n v="102500"/>
    <n v="-102500"/>
    <n v="123"/>
    <n v="0"/>
  </r>
  <r>
    <s v="16Worker Retraining - Variable (AC1)"/>
    <x v="1"/>
    <x v="9"/>
    <b v="1"/>
    <x v="9"/>
    <x v="0"/>
    <n v="101"/>
    <s v="AC1"/>
    <x v="12"/>
    <s v="001AC1"/>
    <x v="57"/>
    <n v="220375"/>
    <n v="-220375"/>
    <n v="123"/>
    <n v="0"/>
  </r>
  <r>
    <s v="00Worker Retraining Emergency Fund "/>
    <x v="1"/>
    <x v="4"/>
    <b v="1"/>
    <x v="4"/>
    <x v="0"/>
    <s v="AC1"/>
    <s v="AC1"/>
    <x v="12"/>
    <s v="001AC1"/>
    <x v="58"/>
    <n v="0"/>
    <n v="33683"/>
    <n v="123"/>
    <n v="33683"/>
  </r>
  <r>
    <s v="28Workers Compensation Changes"/>
    <x v="1"/>
    <x v="1"/>
    <b v="1"/>
    <x v="1"/>
    <x v="0"/>
    <n v="101"/>
    <s v="011"/>
    <x v="0"/>
    <s v="001011"/>
    <x v="59"/>
    <m/>
    <n v="10609"/>
    <n v="101"/>
    <n v="10609"/>
  </r>
  <r>
    <s v="8Workers Compensation Changes"/>
    <x v="1"/>
    <x v="27"/>
    <b v="1"/>
    <x v="27"/>
    <x v="0"/>
    <n v="101"/>
    <s v="011"/>
    <x v="0"/>
    <s v="001011"/>
    <x v="59"/>
    <m/>
    <n v="24238"/>
    <n v="101"/>
    <n v="24238"/>
  </r>
  <r>
    <s v="25Workers Compensation Changes"/>
    <x v="1"/>
    <x v="10"/>
    <b v="1"/>
    <x v="10"/>
    <x v="0"/>
    <n v="101"/>
    <s v="011"/>
    <x v="0"/>
    <s v="001011"/>
    <x v="59"/>
    <m/>
    <n v="182"/>
    <n v="101"/>
    <n v="182"/>
  </r>
  <r>
    <s v="18Workers Compensation Changes"/>
    <x v="1"/>
    <x v="11"/>
    <b v="1"/>
    <x v="11"/>
    <x v="0"/>
    <n v="101"/>
    <s v="011"/>
    <x v="0"/>
    <s v="001011"/>
    <x v="59"/>
    <m/>
    <n v="-2702"/>
    <n v="101"/>
    <n v="-2702"/>
  </r>
  <r>
    <s v="30Workers Compensation Changes"/>
    <x v="1"/>
    <x v="28"/>
    <b v="1"/>
    <x v="28"/>
    <x v="0"/>
    <n v="101"/>
    <s v="011"/>
    <x v="0"/>
    <s v="001011"/>
    <x v="59"/>
    <m/>
    <n v="-627"/>
    <n v="101"/>
    <n v="-627"/>
  </r>
  <r>
    <s v="12Workers Compensation Changes"/>
    <x v="1"/>
    <x v="29"/>
    <b v="1"/>
    <x v="29"/>
    <x v="0"/>
    <n v="101"/>
    <s v="011"/>
    <x v="0"/>
    <s v="001011"/>
    <x v="59"/>
    <m/>
    <n v="7879"/>
    <n v="101"/>
    <n v="7879"/>
  </r>
  <r>
    <s v="14Workers Compensation Changes"/>
    <x v="1"/>
    <x v="12"/>
    <b v="1"/>
    <x v="12"/>
    <x v="0"/>
    <n v="101"/>
    <s v="011"/>
    <x v="0"/>
    <s v="001011"/>
    <x v="59"/>
    <m/>
    <n v="-5722"/>
    <n v="101"/>
    <n v="-5722"/>
  </r>
  <r>
    <s v="29Workers Compensation Changes"/>
    <x v="1"/>
    <x v="13"/>
    <b v="1"/>
    <x v="13"/>
    <x v="0"/>
    <n v="101"/>
    <s v="011"/>
    <x v="0"/>
    <s v="001011"/>
    <x v="59"/>
    <m/>
    <n v="-2909"/>
    <n v="101"/>
    <n v="-2909"/>
  </r>
  <r>
    <s v="19Workers Compensation Changes"/>
    <x v="1"/>
    <x v="2"/>
    <b v="1"/>
    <x v="2"/>
    <x v="0"/>
    <n v="101"/>
    <s v="011"/>
    <x v="0"/>
    <s v="001011"/>
    <x v="59"/>
    <m/>
    <n v="-4187"/>
    <n v="101"/>
    <n v="-4187"/>
  </r>
  <r>
    <s v="23Workers Compensation Changes"/>
    <x v="1"/>
    <x v="14"/>
    <b v="1"/>
    <x v="14"/>
    <x v="0"/>
    <n v="101"/>
    <s v="011"/>
    <x v="0"/>
    <s v="001011"/>
    <x v="59"/>
    <m/>
    <n v="-10369"/>
    <n v="101"/>
    <n v="-10369"/>
  </r>
  <r>
    <s v="5Workers Compensation Changes"/>
    <x v="1"/>
    <x v="3"/>
    <b v="1"/>
    <x v="3"/>
    <x v="0"/>
    <n v="101"/>
    <s v="011"/>
    <x v="0"/>
    <s v="001011"/>
    <x v="59"/>
    <m/>
    <n v="12172"/>
    <n v="101"/>
    <n v="12172"/>
  </r>
  <r>
    <s v="2Workers Compensation Changes"/>
    <x v="1"/>
    <x v="30"/>
    <b v="1"/>
    <x v="30"/>
    <x v="0"/>
    <n v="101"/>
    <s v="011"/>
    <x v="0"/>
    <s v="001011"/>
    <x v="59"/>
    <m/>
    <n v="9200"/>
    <n v="101"/>
    <n v="9200"/>
  </r>
  <r>
    <s v="10Workers Compensation Changes"/>
    <x v="1"/>
    <x v="15"/>
    <b v="1"/>
    <x v="15"/>
    <x v="0"/>
    <n v="101"/>
    <s v="011"/>
    <x v="0"/>
    <s v="001011"/>
    <x v="59"/>
    <m/>
    <n v="13271"/>
    <n v="101"/>
    <n v="13271"/>
  </r>
  <r>
    <s v="9Workers Compensation Changes"/>
    <x v="1"/>
    <x v="16"/>
    <b v="1"/>
    <x v="16"/>
    <x v="0"/>
    <n v="101"/>
    <s v="011"/>
    <x v="0"/>
    <s v="001011"/>
    <x v="59"/>
    <m/>
    <n v="-4418"/>
    <n v="101"/>
    <n v="-4418"/>
  </r>
  <r>
    <s v="26Workers Compensation Changes"/>
    <x v="1"/>
    <x v="17"/>
    <b v="1"/>
    <x v="17"/>
    <x v="0"/>
    <n v="101"/>
    <s v="011"/>
    <x v="0"/>
    <s v="001011"/>
    <x v="59"/>
    <m/>
    <n v="1149"/>
    <n v="101"/>
    <n v="1149"/>
  </r>
  <r>
    <s v="13Workers Compensation Changes"/>
    <x v="1"/>
    <x v="26"/>
    <b v="1"/>
    <x v="26"/>
    <x v="0"/>
    <n v="101"/>
    <s v="011"/>
    <x v="0"/>
    <s v="001011"/>
    <x v="59"/>
    <m/>
    <n v="2707"/>
    <n v="101"/>
    <n v="2707"/>
  </r>
  <r>
    <s v="3Workers Compensation Changes"/>
    <x v="1"/>
    <x v="18"/>
    <b v="1"/>
    <x v="18"/>
    <x v="0"/>
    <n v="101"/>
    <s v="011"/>
    <x v="0"/>
    <s v="001011"/>
    <x v="59"/>
    <m/>
    <n v="12556"/>
    <n v="101"/>
    <n v="12556"/>
  </r>
  <r>
    <s v="1Workers Compensation Changes"/>
    <x v="1"/>
    <x v="19"/>
    <b v="1"/>
    <x v="19"/>
    <x v="0"/>
    <n v="101"/>
    <s v="011"/>
    <x v="0"/>
    <s v="001011"/>
    <x v="59"/>
    <m/>
    <n v="-1197"/>
    <n v="101"/>
    <n v="-1197"/>
  </r>
  <r>
    <s v="11Workers Compensation Changes"/>
    <x v="1"/>
    <x v="31"/>
    <b v="1"/>
    <x v="31"/>
    <x v="0"/>
    <n v="101"/>
    <s v="011"/>
    <x v="0"/>
    <s v="001011"/>
    <x v="59"/>
    <m/>
    <n v="9578"/>
    <n v="101"/>
    <n v="9578"/>
  </r>
  <r>
    <s v="27Workers Compensation Changes"/>
    <x v="1"/>
    <x v="5"/>
    <b v="1"/>
    <x v="5"/>
    <x v="0"/>
    <n v="101"/>
    <s v="011"/>
    <x v="0"/>
    <s v="001011"/>
    <x v="59"/>
    <m/>
    <n v="4133"/>
    <n v="101"/>
    <n v="4133"/>
  </r>
  <r>
    <s v="89Workers Compensation Changes"/>
    <x v="1"/>
    <x v="6"/>
    <b v="1"/>
    <x v="6"/>
    <x v="0"/>
    <s v="011"/>
    <s v="011"/>
    <x v="0"/>
    <s v="001011"/>
    <x v="59"/>
    <m/>
    <n v="1591"/>
    <n v="101"/>
    <n v="1591"/>
  </r>
  <r>
    <s v="6Workers Compensation Changes"/>
    <x v="1"/>
    <x v="7"/>
    <b v="1"/>
    <x v="7"/>
    <x v="0"/>
    <n v="101"/>
    <s v="011"/>
    <x v="0"/>
    <s v="001011"/>
    <x v="59"/>
    <m/>
    <n v="29115"/>
    <n v="101"/>
    <n v="29115"/>
  </r>
  <r>
    <s v="7Workers Compensation Changes"/>
    <x v="1"/>
    <x v="20"/>
    <b v="1"/>
    <x v="20"/>
    <x v="0"/>
    <n v="101"/>
    <s v="011"/>
    <x v="0"/>
    <s v="001011"/>
    <x v="59"/>
    <m/>
    <n v="9431"/>
    <n v="101"/>
    <n v="9431"/>
  </r>
  <r>
    <s v="4Workers Compensation Changes"/>
    <x v="1"/>
    <x v="21"/>
    <b v="1"/>
    <x v="21"/>
    <x v="0"/>
    <n v="101"/>
    <s v="011"/>
    <x v="0"/>
    <s v="001011"/>
    <x v="59"/>
    <m/>
    <n v="15696"/>
    <n v="101"/>
    <n v="15696"/>
  </r>
  <r>
    <s v="24Workers Compensation Changes"/>
    <x v="1"/>
    <x v="22"/>
    <b v="1"/>
    <x v="22"/>
    <x v="0"/>
    <n v="101"/>
    <s v="011"/>
    <x v="0"/>
    <s v="001011"/>
    <x v="59"/>
    <m/>
    <n v="9707"/>
    <n v="101"/>
    <n v="9707"/>
  </r>
  <r>
    <s v="17Workers Compensation Changes"/>
    <x v="1"/>
    <x v="8"/>
    <b v="1"/>
    <x v="8"/>
    <x v="0"/>
    <n v="101"/>
    <s v="011"/>
    <x v="0"/>
    <s v="001011"/>
    <x v="59"/>
    <m/>
    <n v="24054"/>
    <n v="101"/>
    <n v="24054"/>
  </r>
  <r>
    <s v="22Workers Compensation Changes"/>
    <x v="1"/>
    <x v="23"/>
    <b v="1"/>
    <x v="23"/>
    <x v="0"/>
    <n v="101"/>
    <s v="011"/>
    <x v="0"/>
    <s v="001011"/>
    <x v="59"/>
    <m/>
    <n v="8089"/>
    <n v="101"/>
    <n v="8089"/>
  </r>
  <r>
    <s v="20Workers Compensation Changes"/>
    <x v="1"/>
    <x v="25"/>
    <b v="1"/>
    <x v="25"/>
    <x v="0"/>
    <n v="101"/>
    <s v="011"/>
    <x v="0"/>
    <s v="001011"/>
    <x v="59"/>
    <m/>
    <n v="5917"/>
    <n v="101"/>
    <n v="5917"/>
  </r>
  <r>
    <s v="15Workers Compensation Changes"/>
    <x v="1"/>
    <x v="24"/>
    <b v="1"/>
    <x v="24"/>
    <x v="0"/>
    <n v="101"/>
    <s v="011"/>
    <x v="0"/>
    <s v="001011"/>
    <x v="59"/>
    <m/>
    <n v="-2057"/>
    <n v="101"/>
    <n v="-2057"/>
  </r>
  <r>
    <s v="21Workers Compensation Changes"/>
    <x v="1"/>
    <x v="32"/>
    <b v="1"/>
    <x v="32"/>
    <x v="0"/>
    <n v="101"/>
    <s v="011"/>
    <x v="0"/>
    <s v="001011"/>
    <x v="59"/>
    <m/>
    <n v="3951"/>
    <n v="101"/>
    <n v="3951"/>
  </r>
  <r>
    <s v="16Workers Compensation Changes"/>
    <x v="1"/>
    <x v="9"/>
    <b v="1"/>
    <x v="9"/>
    <x v="0"/>
    <n v="101"/>
    <s v="011"/>
    <x v="0"/>
    <s v="001011"/>
    <x v="59"/>
    <m/>
    <n v="1963"/>
    <n v="101"/>
    <n v="1963"/>
  </r>
  <r>
    <s v="28Workforce Development Projects"/>
    <x v="1"/>
    <x v="1"/>
    <b v="1"/>
    <x v="1"/>
    <x v="0"/>
    <n v="101"/>
    <s v="011"/>
    <x v="0"/>
    <s v="001011"/>
    <x v="60"/>
    <n v="5000"/>
    <n v="-5000"/>
    <n v="101"/>
    <n v="0"/>
  </r>
  <r>
    <s v="00Workforce Development Projects"/>
    <x v="1"/>
    <x v="4"/>
    <b v="1"/>
    <x v="4"/>
    <x v="0"/>
    <n v="101"/>
    <s v="011"/>
    <x v="0"/>
    <s v="001011"/>
    <x v="60"/>
    <n v="48545"/>
    <n v="1521400"/>
    <n v="101"/>
    <n v="1569945"/>
  </r>
  <r>
    <s v="89Workforce Development Projects"/>
    <x v="1"/>
    <x v="6"/>
    <b v="1"/>
    <x v="6"/>
    <x v="0"/>
    <s v="011"/>
    <s v="011"/>
    <x v="0"/>
    <s v="001011"/>
    <x v="60"/>
    <n v="1000"/>
    <n v="-1000"/>
    <n v="101"/>
    <n v="0"/>
  </r>
  <r>
    <s v="00Workforce Training/Aerospace"/>
    <x v="1"/>
    <x v="4"/>
    <b v="1"/>
    <x v="4"/>
    <x v="0"/>
    <n v="101"/>
    <s v="011"/>
    <x v="0"/>
    <s v="001011"/>
    <x v="61"/>
    <n v="0"/>
    <m/>
    <n v="101"/>
    <n v="0"/>
  </r>
  <r>
    <s v="89Workforce Training/Aerospace"/>
    <x v="1"/>
    <x v="6"/>
    <b v="1"/>
    <x v="6"/>
    <x v="0"/>
    <s v="011"/>
    <s v="011"/>
    <x v="0"/>
    <s v="001011"/>
    <x v="61"/>
    <n v="132000"/>
    <n v="-132000"/>
    <n v="101"/>
    <n v="0"/>
  </r>
  <r>
    <s v="89Workforce Training/Aerospace"/>
    <x v="1"/>
    <x v="6"/>
    <b v="1"/>
    <x v="6"/>
    <x v="0"/>
    <s v="011"/>
    <s v="011"/>
    <x v="0"/>
    <s v="001011"/>
    <x v="61"/>
    <n v="132000"/>
    <n v="-132000"/>
    <n v="101"/>
    <n v="0"/>
  </r>
  <r>
    <s v="8WPEA Agreement  (001)"/>
    <x v="1"/>
    <x v="27"/>
    <b v="1"/>
    <x v="27"/>
    <x v="0"/>
    <n v="101"/>
    <s v="011"/>
    <x v="0"/>
    <s v="001011"/>
    <x v="62"/>
    <m/>
    <n v="158401"/>
    <n v="101"/>
    <n v="158401"/>
  </r>
  <r>
    <s v="30WPEA Agreement  (001)"/>
    <x v="1"/>
    <x v="28"/>
    <b v="1"/>
    <x v="28"/>
    <x v="0"/>
    <n v="101"/>
    <s v="011"/>
    <x v="0"/>
    <s v="001011"/>
    <x v="62"/>
    <m/>
    <n v="32302"/>
    <n v="101"/>
    <n v="32302"/>
  </r>
  <r>
    <s v="14WPEA Agreement  (001)"/>
    <x v="1"/>
    <x v="12"/>
    <b v="1"/>
    <x v="12"/>
    <x v="0"/>
    <n v="101"/>
    <s v="011"/>
    <x v="0"/>
    <s v="001011"/>
    <x v="62"/>
    <m/>
    <n v="257891"/>
    <n v="101"/>
    <n v="257891"/>
  </r>
  <r>
    <s v="19WPEA Agreement  (001)"/>
    <x v="1"/>
    <x v="2"/>
    <b v="1"/>
    <x v="2"/>
    <x v="0"/>
    <n v="101"/>
    <s v="011"/>
    <x v="0"/>
    <s v="001011"/>
    <x v="62"/>
    <m/>
    <n v="91113"/>
    <n v="101"/>
    <n v="91113"/>
  </r>
  <r>
    <s v="23WPEA Agreement  (001)"/>
    <x v="1"/>
    <x v="14"/>
    <b v="1"/>
    <x v="14"/>
    <x v="0"/>
    <n v="101"/>
    <s v="011"/>
    <x v="0"/>
    <s v="001011"/>
    <x v="62"/>
    <m/>
    <n v="179433"/>
    <n v="101"/>
    <n v="179433"/>
  </r>
  <r>
    <s v="2WPEA Agreement  (001)"/>
    <x v="1"/>
    <x v="30"/>
    <b v="1"/>
    <x v="30"/>
    <x v="0"/>
    <n v="101"/>
    <s v="011"/>
    <x v="0"/>
    <s v="001011"/>
    <x v="62"/>
    <m/>
    <n v="41292"/>
    <n v="101"/>
    <n v="41292"/>
  </r>
  <r>
    <s v="3WPEA Agreement  (001)"/>
    <x v="1"/>
    <x v="18"/>
    <b v="1"/>
    <x v="18"/>
    <x v="0"/>
    <n v="101"/>
    <s v="011"/>
    <x v="0"/>
    <s v="001011"/>
    <x v="62"/>
    <m/>
    <n v="117965"/>
    <n v="101"/>
    <n v="117965"/>
  </r>
  <r>
    <s v="11WPEA Agreement  (001)"/>
    <x v="1"/>
    <x v="31"/>
    <b v="1"/>
    <x v="31"/>
    <x v="0"/>
    <n v="101"/>
    <s v="011"/>
    <x v="0"/>
    <s v="001011"/>
    <x v="62"/>
    <m/>
    <n v="212691"/>
    <n v="101"/>
    <n v="212691"/>
  </r>
  <r>
    <s v="4WPEA Agreement  (001)"/>
    <x v="1"/>
    <x v="21"/>
    <b v="1"/>
    <x v="21"/>
    <x v="0"/>
    <n v="101"/>
    <s v="011"/>
    <x v="0"/>
    <s v="001011"/>
    <x v="62"/>
    <m/>
    <n v="92665"/>
    <n v="101"/>
    <n v="92665"/>
  </r>
  <r>
    <s v="20WPEA Agreement  (001)"/>
    <x v="1"/>
    <x v="25"/>
    <b v="1"/>
    <x v="25"/>
    <x v="0"/>
    <n v="101"/>
    <s v="011"/>
    <x v="0"/>
    <s v="001011"/>
    <x v="62"/>
    <m/>
    <n v="81054"/>
    <n v="101"/>
    <n v="81054"/>
  </r>
  <r>
    <s v="15WPEA Agreement  (001)"/>
    <x v="1"/>
    <x v="24"/>
    <b v="1"/>
    <x v="24"/>
    <x v="0"/>
    <n v="101"/>
    <s v="011"/>
    <x v="0"/>
    <s v="001011"/>
    <x v="62"/>
    <m/>
    <n v="68193"/>
    <n v="101"/>
    <n v="68193"/>
  </r>
  <r>
    <s v="9WPEA Agreement- Highline"/>
    <x v="1"/>
    <x v="16"/>
    <b v="1"/>
    <x v="16"/>
    <x v="0"/>
    <n v="101"/>
    <s v="011"/>
    <x v="0"/>
    <s v="001011"/>
    <x v="63"/>
    <n v="0"/>
    <n v="145000"/>
    <n v="101"/>
    <n v="145000"/>
  </r>
  <r>
    <s v="16WPEA Agreement- Yakima (001)"/>
    <x v="1"/>
    <x v="9"/>
    <b v="1"/>
    <x v="9"/>
    <x v="0"/>
    <n v="101"/>
    <s v="011"/>
    <x v="0"/>
    <s v="001011"/>
    <x v="64"/>
    <n v="0"/>
    <n v="272000"/>
    <n v="101"/>
    <n v="272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78">
  <r>
    <s v="28Basic Food Employment and Training Grant128-BFET-15"/>
    <s v="28"/>
    <x v="0"/>
    <x v="0"/>
    <x v="0"/>
    <n v="0"/>
    <n v="250480"/>
    <n v="250480"/>
    <d v="2014-10-01T00:00:00"/>
    <d v="2015-09-30T00:00:00"/>
  </r>
  <r>
    <s v="28BEdA Leadership Block Grant128-BLBG-16"/>
    <s v="28"/>
    <x v="0"/>
    <x v="1"/>
    <x v="1"/>
    <n v="0"/>
    <n v="5563"/>
    <n v="5563"/>
    <d v="2015-07-01T00:00:00"/>
    <d v="2016-06-30T00:00:00"/>
  </r>
  <r>
    <s v="28BEdA Master Grant128-BEDA-16"/>
    <s v="28"/>
    <x v="0"/>
    <x v="2"/>
    <x v="2"/>
    <n v="0"/>
    <n v="151570"/>
    <n v="151570"/>
    <d v="2015-07-01T00:00:00"/>
    <d v="2016-06-30T00:00:00"/>
  </r>
  <r>
    <s v="28BEdA State Plan Innovations Grant128-BSPI-15"/>
    <s v="28"/>
    <x v="0"/>
    <x v="3"/>
    <x v="3"/>
    <n v="0"/>
    <n v="60000"/>
    <n v="60000"/>
    <d v="2014-11-01T00:00:00"/>
    <d v="2016-06-30T00:00:00"/>
  </r>
  <r>
    <s v="28Early Achievers Opportunity Grant Application128-EAOG-16"/>
    <s v="28"/>
    <x v="0"/>
    <x v="4"/>
    <x v="4"/>
    <n v="0"/>
    <n v="98150"/>
    <n v="98150"/>
    <d v="2015-07-01T00:00:00"/>
    <d v="2016-06-30T00:00:00"/>
  </r>
  <r>
    <s v="28Perkins Leadership Block Grant128-PLB-16"/>
    <s v="28"/>
    <x v="0"/>
    <x v="5"/>
    <x v="5"/>
    <n v="0"/>
    <n v="16000"/>
    <n v="16000"/>
    <d v="2015-07-01T00:00:00"/>
    <d v="2016-06-30T00:00:00"/>
  </r>
  <r>
    <s v="28Perkins Plan128-PRK-16"/>
    <s v="28"/>
    <x v="0"/>
    <x v="6"/>
    <x v="6"/>
    <n v="0"/>
    <n v="248893"/>
    <n v="248893"/>
    <d v="2015-07-01T00:00:00"/>
    <d v="2016-06-30T00:00:00"/>
  </r>
  <r>
    <s v="28WorkFirst Delivery Agreement128-WFDA-16"/>
    <s v="28"/>
    <x v="0"/>
    <x v="7"/>
    <x v="7"/>
    <n v="0"/>
    <n v="550778"/>
    <n v="550778"/>
    <d v="2015-07-01T00:00:00"/>
    <d v="2016-06-30T00:00:00"/>
  </r>
  <r>
    <s v="28"/>
    <s v="28"/>
    <x v="0"/>
    <x v="8"/>
    <x v="8"/>
    <m/>
    <m/>
    <m/>
    <m/>
    <m/>
  </r>
  <r>
    <s v="8Basic Food Employment and Training Grant108-BFET-15"/>
    <s v="8"/>
    <x v="1"/>
    <x v="0"/>
    <x v="9"/>
    <n v="0"/>
    <n v="1676699"/>
    <n v="1676699"/>
    <d v="2014-10-01T00:00:00"/>
    <d v="2015-09-30T00:00:00"/>
  </r>
  <r>
    <s v="8BEdA Leadership Block Grant108-BLBG-16"/>
    <s v="8"/>
    <x v="1"/>
    <x v="1"/>
    <x v="10"/>
    <n v="0"/>
    <n v="5563"/>
    <n v="5563"/>
    <d v="2015-07-01T00:00:00"/>
    <d v="2016-06-30T00:00:00"/>
  </r>
  <r>
    <s v="8BEdA Master Grant108-BEDA-16"/>
    <s v="8"/>
    <x v="1"/>
    <x v="2"/>
    <x v="11"/>
    <n v="0"/>
    <n v="181995"/>
    <n v="181995"/>
    <d v="2015-07-01T00:00:00"/>
    <d v="2016-06-30T00:00:00"/>
  </r>
  <r>
    <s v="8BEdA Program – EL Civics Grant Budget108-ELC-16"/>
    <s v="8"/>
    <x v="1"/>
    <x v="9"/>
    <x v="12"/>
    <n v="0"/>
    <n v="45819"/>
    <n v="45819"/>
    <d v="2015-07-01T00:00:00"/>
    <d v="2016-06-30T00:00:00"/>
  </r>
  <r>
    <s v="8Early Achievers Opportunity Grant Application108-EAOG-16"/>
    <s v="8"/>
    <x v="1"/>
    <x v="4"/>
    <x v="13"/>
    <n v="0"/>
    <n v="45300"/>
    <n v="45300"/>
    <d v="2015-07-01T00:00:00"/>
    <d v="2016-06-30T00:00:00"/>
  </r>
  <r>
    <s v="8Perkins Leadership Block Grant108-PLB-16"/>
    <s v="8"/>
    <x v="1"/>
    <x v="5"/>
    <x v="14"/>
    <n v="0"/>
    <n v="16000"/>
    <n v="16000"/>
    <d v="2015-07-01T00:00:00"/>
    <d v="2016-06-30T00:00:00"/>
  </r>
  <r>
    <s v="8Perkins Plan108-PRK-16"/>
    <s v="8"/>
    <x v="1"/>
    <x v="6"/>
    <x v="15"/>
    <n v="0"/>
    <n v="292741"/>
    <n v="292741"/>
    <d v="2015-07-01T00:00:00"/>
    <d v="2016-06-30T00:00:00"/>
  </r>
  <r>
    <s v="8Phase III I-DEA Grant108-IDEA-16"/>
    <s v="8"/>
    <x v="1"/>
    <x v="10"/>
    <x v="16"/>
    <n v="0"/>
    <n v="51235"/>
    <n v="51235"/>
    <d v="2015-07-01T00:00:00"/>
    <d v="2016-06-30T00:00:00"/>
  </r>
  <r>
    <s v="8Transcript Grid for Placement Project108-TG-15"/>
    <s v="8"/>
    <x v="1"/>
    <x v="11"/>
    <x v="17"/>
    <n v="0"/>
    <n v="29000"/>
    <n v="29000"/>
    <d v="2015-01-01T00:00:00"/>
    <d v="2015-08-31T00:00:00"/>
  </r>
  <r>
    <s v="8WorkFirst Delivery Agreement108-WFDA-16"/>
    <s v="8"/>
    <x v="1"/>
    <x v="7"/>
    <x v="18"/>
    <n v="0"/>
    <n v="280505"/>
    <n v="280505"/>
    <d v="2015-07-01T00:00:00"/>
    <d v="2016-06-30T00:00:00"/>
  </r>
  <r>
    <s v="8"/>
    <s v="8"/>
    <x v="1"/>
    <x v="8"/>
    <x v="8"/>
    <m/>
    <m/>
    <m/>
    <m/>
    <m/>
  </r>
  <r>
    <s v="25Basic Food Employment and Training Grant125-BFET-15"/>
    <s v="25"/>
    <x v="2"/>
    <x v="0"/>
    <x v="19"/>
    <m/>
    <n v="524200"/>
    <n v="524200"/>
    <d v="2014-10-01T00:00:00"/>
    <d v="2015-09-30T00:00:00"/>
  </r>
  <r>
    <s v="25BEdA Leadership Block Grant125-BLBG-16"/>
    <s v="25"/>
    <x v="2"/>
    <x v="1"/>
    <x v="20"/>
    <m/>
    <n v="5563"/>
    <n v="5563"/>
    <d v="2015-07-01T00:00:00"/>
    <d v="2016-06-30T00:00:00"/>
  </r>
  <r>
    <s v="25BEdA Master Grant125-BEDA-16"/>
    <s v="25"/>
    <x v="2"/>
    <x v="2"/>
    <x v="21"/>
    <m/>
    <n v="95406"/>
    <n v="95406"/>
    <d v="2015-07-01T00:00:00"/>
    <d v="2016-06-30T00:00:00"/>
  </r>
  <r>
    <s v="25BEdA Program – EL Civics Grant Budget125-ELC-16"/>
    <s v="25"/>
    <x v="2"/>
    <x v="9"/>
    <x v="22"/>
    <m/>
    <n v="18233"/>
    <n v="18233"/>
    <d v="2015-07-01T00:00:00"/>
    <d v="2016-06-30T00:00:00"/>
  </r>
  <r>
    <s v="25I-DEA Grant125-IDEA-15"/>
    <s v="25"/>
    <x v="2"/>
    <x v="12"/>
    <x v="23"/>
    <m/>
    <n v="95435"/>
    <n v="95435"/>
    <d v="2014-07-01T00:00:00"/>
    <d v="2016-06-30T00:00:00"/>
  </r>
  <r>
    <s v="25Perkins Leadership Block Grant125-PLB-16"/>
    <s v="25"/>
    <x v="2"/>
    <x v="5"/>
    <x v="24"/>
    <m/>
    <n v="16000"/>
    <n v="16000"/>
    <d v="2015-07-23T00:00:00"/>
    <d v="2016-06-30T00:00:00"/>
  </r>
  <r>
    <s v="25Perkins Plan125-PRK-16"/>
    <s v="25"/>
    <x v="2"/>
    <x v="6"/>
    <x v="25"/>
    <m/>
    <n v="386196"/>
    <n v="386196"/>
    <d v="2015-07-01T00:00:00"/>
    <d v="2016-06-30T00:00:00"/>
  </r>
  <r>
    <s v="25WorkFirst Delivery Agreement125-WFDA-16"/>
    <s v="25"/>
    <x v="2"/>
    <x v="7"/>
    <x v="26"/>
    <m/>
    <n v="165280"/>
    <n v="165280"/>
    <d v="2015-07-01T00:00:00"/>
    <d v="2016-06-30T00:00:00"/>
  </r>
  <r>
    <s v="25"/>
    <s v="25"/>
    <x v="2"/>
    <x v="8"/>
    <x v="8"/>
    <m/>
    <m/>
    <m/>
    <m/>
    <m/>
  </r>
  <r>
    <s v="18Basic Food Employment and Training Grant118-BFET-15"/>
    <s v="18"/>
    <x v="3"/>
    <x v="0"/>
    <x v="27"/>
    <m/>
    <n v="372755"/>
    <n v="372755"/>
    <d v="2014-10-01T00:00:00"/>
    <d v="2015-09-30T00:00:00"/>
  </r>
  <r>
    <s v="18BEdA Leadership Block Grant118-BLBG-16"/>
    <s v="18"/>
    <x v="3"/>
    <x v="1"/>
    <x v="28"/>
    <m/>
    <n v="5563"/>
    <n v="5563"/>
    <d v="2015-07-01T00:00:00"/>
    <d v="2016-06-30T00:00:00"/>
  </r>
  <r>
    <s v="18BEdA Master Grant118-BEDA-16"/>
    <s v="18"/>
    <x v="3"/>
    <x v="2"/>
    <x v="29"/>
    <m/>
    <n v="102978"/>
    <n v="102978"/>
    <d v="2015-07-01T00:00:00"/>
    <d v="2016-06-30T00:00:00"/>
  </r>
  <r>
    <s v="18BEdA Program – EL Civics Grant Budget118-ELC-16"/>
    <s v="18"/>
    <x v="3"/>
    <x v="9"/>
    <x v="30"/>
    <m/>
    <n v="19395"/>
    <n v="19395"/>
    <d v="2015-07-01T00:00:00"/>
    <d v="2016-06-30T00:00:00"/>
  </r>
  <r>
    <s v="18BEdA State Plan Innovations Grant118-BSPI-15"/>
    <s v="18"/>
    <x v="3"/>
    <x v="3"/>
    <x v="31"/>
    <m/>
    <n v="60000"/>
    <n v="60000"/>
    <d v="2014-11-01T00:00:00"/>
    <d v="2016-06-30T00:00:00"/>
  </r>
  <r>
    <s v="18I-DEA Grant118-IDEA-13"/>
    <s v="18"/>
    <x v="3"/>
    <x v="12"/>
    <x v="32"/>
    <m/>
    <n v="154635"/>
    <n v="154635"/>
    <d v="2013-01-01T00:00:00"/>
    <d v="2016-06-30T00:00:00"/>
  </r>
  <r>
    <s v="18Job Skills Program Grant118-JSP-16SH"/>
    <s v="18"/>
    <x v="3"/>
    <x v="13"/>
    <x v="33"/>
    <m/>
    <n v="140541"/>
    <n v="140541"/>
    <d v="2015-07-01T00:00:00"/>
    <d v="2017-06-30T00:00:00"/>
  </r>
  <r>
    <s v="18Perkins Plan118-PRK-16"/>
    <s v="18"/>
    <x v="3"/>
    <x v="6"/>
    <x v="34"/>
    <m/>
    <n v="151106"/>
    <n v="151106"/>
    <d v="2015-07-01T00:00:00"/>
    <d v="2016-06-30T00:00:00"/>
  </r>
  <r>
    <s v="18Transcript Grid for Placement Project118-TG-15"/>
    <s v="18"/>
    <x v="3"/>
    <x v="11"/>
    <x v="35"/>
    <m/>
    <n v="26200"/>
    <n v="26200"/>
    <d v="2015-01-01T00:00:00"/>
    <d v="2015-08-31T00:00:00"/>
  </r>
  <r>
    <s v="18WorkFirst Delivery Agreement118-WFDA-16"/>
    <s v="18"/>
    <x v="3"/>
    <x v="7"/>
    <x v="36"/>
    <m/>
    <n v="179763"/>
    <n v="179763"/>
    <d v="2015-07-01T00:00:00"/>
    <d v="2016-06-30T00:00:00"/>
  </r>
  <r>
    <s v="18"/>
    <s v="18"/>
    <x v="3"/>
    <x v="8"/>
    <x v="8"/>
    <m/>
    <m/>
    <m/>
    <m/>
    <m/>
  </r>
  <r>
    <s v="30Basic Food Employment and Training Grant130-BFET-15"/>
    <s v="30"/>
    <x v="4"/>
    <x v="0"/>
    <x v="37"/>
    <m/>
    <n v="68515"/>
    <n v="68515"/>
    <d v="2014-10-01T00:00:00"/>
    <d v="2015-09-30T00:00:00"/>
  </r>
  <r>
    <s v="30BEdA Leadership Block Grant130-BLBG-16"/>
    <s v="30"/>
    <x v="4"/>
    <x v="1"/>
    <x v="38"/>
    <m/>
    <n v="6076"/>
    <n v="6076"/>
    <d v="2015-07-01T00:00:00"/>
    <d v="2016-06-30T00:00:00"/>
  </r>
  <r>
    <s v="30BEdA Master Grant130-BEDA-16"/>
    <s v="30"/>
    <x v="4"/>
    <x v="2"/>
    <x v="39"/>
    <m/>
    <n v="74463"/>
    <n v="74463"/>
    <d v="2015-07-01T00:00:00"/>
    <d v="2016-06-30T00:00:00"/>
  </r>
  <r>
    <s v="30BEdA Program – EL Civics Grant Budget130-ELC-16"/>
    <s v="30"/>
    <x v="4"/>
    <x v="9"/>
    <x v="40"/>
    <m/>
    <n v="16591"/>
    <n v="16591"/>
    <d v="2015-07-01T00:00:00"/>
    <d v="2016-06-30T00:00:00"/>
  </r>
  <r>
    <s v="30Misc. General Grant130-B2C-15"/>
    <s v="30"/>
    <x v="4"/>
    <x v="14"/>
    <x v="41"/>
    <m/>
    <n v="39500"/>
    <n v="39500"/>
    <d v="2014-12-04T00:00:00"/>
    <d v="2016-06-30T00:00:00"/>
  </r>
  <r>
    <s v="30Misc. General Grant130-ELRN-16"/>
    <s v="30"/>
    <x v="4"/>
    <x v="14"/>
    <x v="42"/>
    <m/>
    <n v="2500"/>
    <n v="2500"/>
    <d v="2015-09-01T00:00:00"/>
    <d v="2016-06-30T00:00:00"/>
  </r>
  <r>
    <s v="30Perkins Leadership Block Grant130-PLB-16"/>
    <s v="30"/>
    <x v="4"/>
    <x v="5"/>
    <x v="43"/>
    <m/>
    <n v="16000"/>
    <n v="16000"/>
    <d v="2015-07-01T00:00:00"/>
    <d v="2016-06-30T00:00:00"/>
  </r>
  <r>
    <s v="30Phase III I-DEA Grant130-IDEA-16"/>
    <s v="30"/>
    <x v="4"/>
    <x v="10"/>
    <x v="44"/>
    <m/>
    <n v="51235"/>
    <n v="51235"/>
    <d v="2015-07-01T00:00:00"/>
    <d v="2016-06-30T00:00:00"/>
  </r>
  <r>
    <s v="30"/>
    <s v="30"/>
    <x v="4"/>
    <x v="8"/>
    <x v="8"/>
    <m/>
    <m/>
    <m/>
    <m/>
    <m/>
  </r>
  <r>
    <s v="12Basic Food Employment and Training Grant112-BFET-15"/>
    <s v="12"/>
    <x v="5"/>
    <x v="0"/>
    <x v="45"/>
    <m/>
    <n v="375006"/>
    <n v="375006"/>
    <d v="2014-10-01T00:00:00"/>
    <d v="2015-09-30T00:00:00"/>
  </r>
  <r>
    <s v="12BEdA Leadership Block Grant112-BLBG-16"/>
    <s v="12"/>
    <x v="5"/>
    <x v="1"/>
    <x v="46"/>
    <m/>
    <n v="6588"/>
    <n v="6588"/>
    <d v="2015-07-01T00:00:00"/>
    <d v="2016-06-30T00:00:00"/>
  </r>
  <r>
    <s v="12BEdA Master Grant112-BEDA-16"/>
    <s v="12"/>
    <x v="5"/>
    <x v="2"/>
    <x v="47"/>
    <m/>
    <n v="126492"/>
    <n v="126492"/>
    <d v="2015-07-01T00:00:00"/>
    <d v="2016-06-30T00:00:00"/>
  </r>
  <r>
    <s v="12BEdA Program – EL Civics Grant Budget112-ELC-16"/>
    <s v="12"/>
    <x v="5"/>
    <x v="9"/>
    <x v="48"/>
    <m/>
    <n v="25744"/>
    <n v="25744"/>
    <d v="2015-07-01T00:00:00"/>
    <d v="2016-06-30T00:00:00"/>
  </r>
  <r>
    <s v="12Correctional Education Grant112-CE-16"/>
    <s v="12"/>
    <x v="5"/>
    <x v="15"/>
    <x v="49"/>
    <m/>
    <n v="1620874"/>
    <n v="1620874"/>
    <d v="2015-07-01T00:00:00"/>
    <d v="2016-06-30T00:00:00"/>
  </r>
  <r>
    <s v="12Early Achievers Opportunity Grant Application112-EAOG-16"/>
    <s v="12"/>
    <x v="5"/>
    <x v="4"/>
    <x v="50"/>
    <m/>
    <n v="15100"/>
    <n v="15100"/>
    <d v="2015-07-01T00:00:00"/>
    <d v="2016-06-30T00:00:00"/>
  </r>
  <r>
    <s v="12Perkins Innovation Project112-PIP-16"/>
    <s v="12"/>
    <x v="5"/>
    <x v="16"/>
    <x v="51"/>
    <m/>
    <n v="15000"/>
    <n v="15000"/>
    <d v="2015-07-01T00:00:00"/>
    <d v="2016-06-30T00:00:00"/>
  </r>
  <r>
    <s v="12Perkins Leadership Block Grant112-PLB-16"/>
    <s v="12"/>
    <x v="5"/>
    <x v="5"/>
    <x v="52"/>
    <m/>
    <n v="16000"/>
    <n v="16000"/>
    <d v="2015-07-01T00:00:00"/>
    <d v="2016-06-30T00:00:00"/>
  </r>
  <r>
    <s v="12Perkins Plan112-PRK-16"/>
    <s v="12"/>
    <x v="5"/>
    <x v="6"/>
    <x v="53"/>
    <m/>
    <n v="204803"/>
    <n v="204803"/>
    <d v="2015-07-01T00:00:00"/>
    <d v="2016-06-30T00:00:00"/>
  </r>
  <r>
    <s v="12Phase III I-DEA Grant112-IDEA-16"/>
    <s v="12"/>
    <x v="5"/>
    <x v="10"/>
    <x v="54"/>
    <m/>
    <n v="51235"/>
    <n v="51235"/>
    <d v="2015-07-01T00:00:00"/>
    <d v="2016-06-30T00:00:00"/>
  </r>
  <r>
    <s v="12WorkFirst Delivery Agreement112-WFDA-16"/>
    <s v="12"/>
    <x v="5"/>
    <x v="7"/>
    <x v="55"/>
    <m/>
    <n v="500299"/>
    <n v="500299"/>
    <d v="2015-07-01T00:00:00"/>
    <d v="2016-06-30T00:00:00"/>
  </r>
  <r>
    <s v="12"/>
    <s v="12"/>
    <x v="5"/>
    <x v="8"/>
    <x v="8"/>
    <m/>
    <m/>
    <m/>
    <m/>
    <m/>
  </r>
  <r>
    <s v="14Basic Food Employment and Training Grant114-BFET-15"/>
    <s v="14"/>
    <x v="6"/>
    <x v="0"/>
    <x v="56"/>
    <m/>
    <n v="318517"/>
    <n v="318517"/>
    <d v="2014-10-01T00:00:00"/>
    <d v="2015-09-30T00:00:00"/>
  </r>
  <r>
    <s v="14BEdA Leadership Block Grant114-BLBG-16"/>
    <s v="14"/>
    <x v="6"/>
    <x v="1"/>
    <x v="57"/>
    <m/>
    <n v="6588"/>
    <n v="6588"/>
    <d v="2015-07-01T00:00:00"/>
    <d v="2016-06-30T00:00:00"/>
  </r>
  <r>
    <s v="14BEdA Master Grant114-BEDA-16"/>
    <s v="14"/>
    <x v="6"/>
    <x v="2"/>
    <x v="58"/>
    <m/>
    <n v="248433"/>
    <n v="248433"/>
    <d v="2015-07-01T00:00:00"/>
    <d v="2016-06-30T00:00:00"/>
  </r>
  <r>
    <s v="14BEdA Program – EL Civics Grant Budget114-ELC-16"/>
    <s v="14"/>
    <x v="6"/>
    <x v="9"/>
    <x v="59"/>
    <m/>
    <n v="52865"/>
    <n v="52865"/>
    <d v="2015-07-01T00:00:00"/>
    <d v="2016-06-30T00:00:00"/>
  </r>
  <r>
    <s v="14Correctional Education Grant114-CE-16"/>
    <s v="14"/>
    <x v="6"/>
    <x v="15"/>
    <x v="60"/>
    <m/>
    <n v="288117"/>
    <n v="288117"/>
    <d v="2015-07-01T00:00:00"/>
    <d v="2016-06-30T00:00:00"/>
  </r>
  <r>
    <s v="14Early Achievers Opportunity Grant Application114-EAOG-16"/>
    <s v="14"/>
    <x v="6"/>
    <x v="4"/>
    <x v="61"/>
    <m/>
    <n v="22650"/>
    <n v="22650"/>
    <d v="2015-07-01T00:00:00"/>
    <d v="2016-06-30T00:00:00"/>
  </r>
  <r>
    <s v="14Faculty Learning Communities Initiative Grant114-FLCA-16IL"/>
    <s v="14"/>
    <x v="6"/>
    <x v="17"/>
    <x v="62"/>
    <m/>
    <n v="5000"/>
    <n v="5000"/>
    <d v="2015-07-01T00:00:00"/>
    <d v="2016-06-30T00:00:00"/>
  </r>
  <r>
    <s v="14I-DEA Grant114-IDEA-15"/>
    <s v="14"/>
    <x v="6"/>
    <x v="12"/>
    <x v="63"/>
    <m/>
    <n v="95435"/>
    <n v="95435"/>
    <d v="2014-07-01T00:00:00"/>
    <d v="2016-06-30T00:00:00"/>
  </r>
  <r>
    <s v="14Perkins Leadership Block Grant114-PLB-16"/>
    <s v="14"/>
    <x v="6"/>
    <x v="5"/>
    <x v="64"/>
    <m/>
    <n v="16000"/>
    <n v="16000"/>
    <d v="2015-07-01T00:00:00"/>
    <d v="2016-06-30T00:00:00"/>
  </r>
  <r>
    <s v="14Perkins Plan114-PRK-16"/>
    <s v="14"/>
    <x v="6"/>
    <x v="6"/>
    <x v="65"/>
    <m/>
    <n v="607288"/>
    <n v="607288"/>
    <d v="2015-07-01T00:00:00"/>
    <d v="2016-06-30T00:00:00"/>
  </r>
  <r>
    <s v="14WorkFirst Delivery Agreement114-WFDA-16"/>
    <s v="14"/>
    <x v="6"/>
    <x v="7"/>
    <x v="66"/>
    <m/>
    <n v="636473"/>
    <n v="636473"/>
    <d v="2015-07-01T00:00:00"/>
    <d v="2016-06-30T00:00:00"/>
  </r>
  <r>
    <s v="14"/>
    <s v="14"/>
    <x v="6"/>
    <x v="8"/>
    <x v="8"/>
    <m/>
    <m/>
    <m/>
    <m/>
    <m/>
  </r>
  <r>
    <s v="29Basic Food Employment and Training Grant129-BFET-15"/>
    <s v="29"/>
    <x v="7"/>
    <x v="0"/>
    <x v="67"/>
    <m/>
    <n v="405234"/>
    <n v="405234"/>
    <d v="2014-10-01T00:00:00"/>
    <d v="2015-09-30T00:00:00"/>
  </r>
  <r>
    <s v="29BEdA Leadership Block Grant129-BLBG-16"/>
    <s v="29"/>
    <x v="7"/>
    <x v="1"/>
    <x v="68"/>
    <m/>
    <n v="6076"/>
    <n v="6076"/>
    <d v="2015-07-01T00:00:00"/>
    <d v="2016-06-30T00:00:00"/>
  </r>
  <r>
    <s v="29BEdA Master Grant129-BEDA-16"/>
    <s v="29"/>
    <x v="7"/>
    <x v="2"/>
    <x v="69"/>
    <m/>
    <n v="124417"/>
    <n v="124417"/>
    <d v="2015-07-01T00:00:00"/>
    <d v="2016-06-30T00:00:00"/>
  </r>
  <r>
    <s v="29BEdA Program – EL Civics Grant Budget129-ELC-16"/>
    <s v="29"/>
    <x v="7"/>
    <x v="9"/>
    <x v="70"/>
    <m/>
    <n v="26151"/>
    <n v="26151"/>
    <d v="2015-07-01T00:00:00"/>
    <d v="2016-06-30T00:00:00"/>
  </r>
  <r>
    <s v="29BEdA State Plan Innovations Grant129-BSPI-15"/>
    <s v="29"/>
    <x v="7"/>
    <x v="3"/>
    <x v="71"/>
    <m/>
    <n v="58984"/>
    <n v="58984"/>
    <d v="2014-11-01T00:00:00"/>
    <d v="2016-06-30T00:00:00"/>
  </r>
  <r>
    <s v="29Perkins Plan129-PRK-16"/>
    <s v="29"/>
    <x v="7"/>
    <x v="6"/>
    <x v="72"/>
    <m/>
    <n v="438781"/>
    <n v="438781"/>
    <d v="2015-07-01T00:00:00"/>
    <d v="2016-06-30T00:00:00"/>
  </r>
  <r>
    <s v="29Phase III I-DEA Grant129-IDEA-16"/>
    <s v="29"/>
    <x v="7"/>
    <x v="10"/>
    <x v="73"/>
    <m/>
    <n v="51235"/>
    <n v="51235"/>
    <d v="2015-07-01T00:00:00"/>
    <d v="2016-06-30T00:00:00"/>
  </r>
  <r>
    <s v="29WorkFirst Delivery Agreement129-WFDA-16"/>
    <s v="29"/>
    <x v="7"/>
    <x v="7"/>
    <x v="74"/>
    <m/>
    <n v="642964"/>
    <n v="642964"/>
    <d v="2015-07-01T00:00:00"/>
    <d v="2016-06-30T00:00:00"/>
  </r>
  <r>
    <s v="29"/>
    <s v="29"/>
    <x v="7"/>
    <x v="8"/>
    <x v="8"/>
    <m/>
    <m/>
    <m/>
    <m/>
    <m/>
  </r>
  <r>
    <s v="19Basic Food Employment and Training Grant119-BFET-15"/>
    <s v="19"/>
    <x v="8"/>
    <x v="0"/>
    <x v="75"/>
    <m/>
    <n v="226736"/>
    <n v="226736"/>
    <d v="2014-10-01T00:00:00"/>
    <d v="2015-09-30T00:00:00"/>
  </r>
  <r>
    <s v="19BEdA Leadership Block Grant119-BLBG-16"/>
    <s v="19"/>
    <x v="8"/>
    <x v="1"/>
    <x v="76"/>
    <m/>
    <n v="5563"/>
    <n v="5563"/>
    <d v="2015-07-01T00:00:00"/>
    <d v="2016-06-30T00:00:00"/>
  </r>
  <r>
    <s v="19BEdA Master Grant119-BEDA-16"/>
    <s v="19"/>
    <x v="8"/>
    <x v="2"/>
    <x v="77"/>
    <m/>
    <n v="168727"/>
    <n v="168727"/>
    <d v="2015-07-01T00:00:00"/>
    <d v="2016-06-30T00:00:00"/>
  </r>
  <r>
    <s v="19BEdA Program – EL Civics Grant Budget119-ELC-16"/>
    <s v="19"/>
    <x v="8"/>
    <x v="9"/>
    <x v="78"/>
    <m/>
    <n v="37982"/>
    <n v="37982"/>
    <d v="2015-07-01T00:00:00"/>
    <d v="2016-06-30T00:00:00"/>
  </r>
  <r>
    <s v="19Perkins Plan119-PRK-16"/>
    <s v="19"/>
    <x v="8"/>
    <x v="6"/>
    <x v="79"/>
    <m/>
    <n v="281246"/>
    <n v="281246"/>
    <d v="2015-07-01T00:00:00"/>
    <d v="2016-06-30T00:00:00"/>
  </r>
  <r>
    <s v="19Phase III I-DEA Grant119-IDEA-16"/>
    <s v="19"/>
    <x v="8"/>
    <x v="10"/>
    <x v="80"/>
    <m/>
    <n v="51235"/>
    <n v="51235"/>
    <d v="2015-07-01T00:00:00"/>
    <d v="2016-06-30T00:00:00"/>
  </r>
  <r>
    <s v="19WorkFirst Delivery Agreement119-WFDA-16"/>
    <s v="19"/>
    <x v="8"/>
    <x v="7"/>
    <x v="81"/>
    <m/>
    <n v="224913"/>
    <n v="224913"/>
    <d v="2015-07-01T00:00:00"/>
    <d v="2016-06-30T00:00:00"/>
  </r>
  <r>
    <s v="19"/>
    <s v="19"/>
    <x v="8"/>
    <x v="8"/>
    <x v="8"/>
    <m/>
    <m/>
    <m/>
    <m/>
    <m/>
  </r>
  <r>
    <s v="23Basic Food Employment and Training Grant123-BFET-15"/>
    <s v="23"/>
    <x v="9"/>
    <x v="0"/>
    <x v="82"/>
    <m/>
    <n v="540105"/>
    <n v="540105"/>
    <d v="2014-10-01T00:00:00"/>
    <d v="2015-09-30T00:00:00"/>
  </r>
  <r>
    <s v="23BEdA Leadership Block Grant123-BLBG-16"/>
    <s v="23"/>
    <x v="9"/>
    <x v="1"/>
    <x v="83"/>
    <m/>
    <n v="6588"/>
    <n v="6588"/>
    <d v="2015-07-01T00:00:00"/>
    <d v="2016-06-30T00:00:00"/>
  </r>
  <r>
    <s v="23BEdA Master Grant123-BEDA-16"/>
    <s v="23"/>
    <x v="9"/>
    <x v="2"/>
    <x v="84"/>
    <m/>
    <n v="247247"/>
    <n v="247247"/>
    <d v="2015-07-01T00:00:00"/>
    <d v="2016-06-30T00:00:00"/>
  </r>
  <r>
    <s v="23BEdA Program – EL Civics Grant Budget123-ELC-16"/>
    <s v="23"/>
    <x v="9"/>
    <x v="9"/>
    <x v="85"/>
    <m/>
    <n v="60555"/>
    <n v="60555"/>
    <d v="2015-07-01T00:00:00"/>
    <d v="2016-06-30T00:00:00"/>
  </r>
  <r>
    <s v="23Correctional Education Grant123-CE-16"/>
    <s v="23"/>
    <x v="9"/>
    <x v="15"/>
    <x v="86"/>
    <m/>
    <n v="1485308"/>
    <n v="1485308"/>
    <d v="2015-07-01T00:00:00"/>
    <d v="2016-06-30T00:00:00"/>
  </r>
  <r>
    <s v="23Early Achievers Opportunity Grant Application123-EAOG-16"/>
    <s v="23"/>
    <x v="9"/>
    <x v="4"/>
    <x v="87"/>
    <m/>
    <n v="45300"/>
    <n v="45300"/>
    <d v="2015-07-01T00:00:00"/>
    <d v="2016-06-30T00:00:00"/>
  </r>
  <r>
    <s v="23I-DEA Grant123-IDEA-15"/>
    <s v="23"/>
    <x v="9"/>
    <x v="12"/>
    <x v="88"/>
    <m/>
    <n v="95435"/>
    <n v="95435"/>
    <d v="2014-07-01T00:00:00"/>
    <d v="2016-06-30T00:00:00"/>
  </r>
  <r>
    <s v="23Misc. Detailed Grant123-B2C-15"/>
    <s v="23"/>
    <x v="9"/>
    <x v="18"/>
    <x v="89"/>
    <m/>
    <n v="191333"/>
    <n v="191333"/>
    <d v="2015-03-02T00:00:00"/>
    <d v="2016-06-30T00:00:00"/>
  </r>
  <r>
    <s v="23Perkins Leadership Block Grant123-PLB-16"/>
    <s v="23"/>
    <x v="9"/>
    <x v="5"/>
    <x v="90"/>
    <m/>
    <n v="16000"/>
    <n v="16000"/>
    <d v="2015-07-01T00:00:00"/>
    <d v="2016-06-30T00:00:00"/>
  </r>
  <r>
    <s v="23Perkins Plan123-PRK-16"/>
    <s v="23"/>
    <x v="9"/>
    <x v="6"/>
    <x v="91"/>
    <m/>
    <n v="250030"/>
    <n v="250030"/>
    <d v="2015-07-01T00:00:00"/>
    <d v="2016-06-30T00:00:00"/>
  </r>
  <r>
    <s v="23WorkFirst Delivery Agreement123-WFDA-16"/>
    <s v="23"/>
    <x v="9"/>
    <x v="7"/>
    <x v="92"/>
    <m/>
    <n v="477982"/>
    <n v="477982"/>
    <d v="2015-07-01T00:00:00"/>
    <d v="2016-06-30T00:00:00"/>
  </r>
  <r>
    <s v="23"/>
    <s v="23"/>
    <x v="9"/>
    <x v="8"/>
    <x v="8"/>
    <m/>
    <m/>
    <m/>
    <m/>
    <m/>
  </r>
  <r>
    <s v="5Basic Food Employment and Training Grant105-BFET-15"/>
    <s v="5"/>
    <x v="10"/>
    <x v="0"/>
    <x v="93"/>
    <m/>
    <n v="317865"/>
    <n v="317865"/>
    <d v="2014-10-01T00:00:00"/>
    <d v="2015-09-30T00:00:00"/>
  </r>
  <r>
    <s v="5BEdA Leadership Block Grant105-BLBG-16"/>
    <s v="5"/>
    <x v="10"/>
    <x v="1"/>
    <x v="94"/>
    <m/>
    <n v="5563"/>
    <n v="5563"/>
    <d v="2015-07-01T00:00:00"/>
    <d v="2016-06-30T00:00:00"/>
  </r>
  <r>
    <s v="5BEdA Master Grant105-BEDA-16"/>
    <s v="5"/>
    <x v="10"/>
    <x v="2"/>
    <x v="95"/>
    <m/>
    <n v="199948"/>
    <n v="199948"/>
    <d v="2015-07-01T00:00:00"/>
    <d v="2016-06-30T00:00:00"/>
  </r>
  <r>
    <s v="5BEdA Program – EL Civics Grant Budget105-ELC-16"/>
    <s v="5"/>
    <x v="10"/>
    <x v="9"/>
    <x v="96"/>
    <m/>
    <n v="46468"/>
    <n v="46468"/>
    <d v="2015-07-01T00:00:00"/>
    <d v="2016-06-30T00:00:00"/>
  </r>
  <r>
    <s v="5Early Achievers Opportunity Grant Application105-EAOG-16"/>
    <s v="5"/>
    <x v="10"/>
    <x v="4"/>
    <x v="97"/>
    <m/>
    <n v="15100"/>
    <n v="15100"/>
    <d v="2015-07-01T00:00:00"/>
    <d v="2016-06-30T00:00:00"/>
  </r>
  <r>
    <s v="5Misc. General Grant105-NGCC-15"/>
    <s v="5"/>
    <x v="10"/>
    <x v="14"/>
    <x v="98"/>
    <m/>
    <n v="5000"/>
    <n v="5000"/>
    <d v="2015-02-02T00:00:00"/>
    <d v="2016-12-31T00:00:00"/>
  </r>
  <r>
    <s v="5Misc. General Grant105-NGST-15"/>
    <s v="5"/>
    <x v="10"/>
    <x v="14"/>
    <x v="99"/>
    <m/>
    <n v="5000"/>
    <n v="5000"/>
    <d v="2015-02-02T00:00:00"/>
    <d v="2016-06-30T00:00:00"/>
  </r>
  <r>
    <s v="5Perkins Leadership Block Grant105-PLB-16"/>
    <s v="5"/>
    <x v="10"/>
    <x v="5"/>
    <x v="100"/>
    <m/>
    <n v="16000"/>
    <n v="16000"/>
    <d v="2015-07-01T00:00:00"/>
    <d v="2016-06-30T00:00:00"/>
  </r>
  <r>
    <s v="5Perkins Non-Traditional Employment &amp; Training Gran105-PNT-16"/>
    <s v="5"/>
    <x v="10"/>
    <x v="19"/>
    <x v="101"/>
    <m/>
    <n v="5000"/>
    <n v="5000"/>
    <d v="2015-07-01T00:00:00"/>
    <d v="2016-06-30T00:00:00"/>
  </r>
  <r>
    <s v="5Perkins Plan105-PRK-16"/>
    <s v="5"/>
    <x v="10"/>
    <x v="6"/>
    <x v="102"/>
    <m/>
    <n v="293541"/>
    <n v="293541"/>
    <d v="2015-07-01T00:00:00"/>
    <d v="2016-06-30T00:00:00"/>
  </r>
  <r>
    <s v="5Phase III I-DEA Grant105-IDEA-16"/>
    <s v="5"/>
    <x v="10"/>
    <x v="10"/>
    <x v="103"/>
    <m/>
    <n v="51235"/>
    <n v="51235"/>
    <d v="2015-07-01T00:00:00"/>
    <d v="2016-06-30T00:00:00"/>
  </r>
  <r>
    <s v="5WorkFirst Delivery Agreement105-WFDA-16"/>
    <s v="5"/>
    <x v="10"/>
    <x v="7"/>
    <x v="104"/>
    <m/>
    <n v="501899"/>
    <n v="501899"/>
    <d v="2015-07-01T00:00:00"/>
    <d v="2016-06-30T00:00:00"/>
  </r>
  <r>
    <s v="5WorkFirst Delivery Agreement"/>
    <s v="5"/>
    <x v="10"/>
    <x v="8"/>
    <x v="8"/>
    <m/>
    <m/>
    <m/>
    <m/>
    <m/>
  </r>
  <r>
    <s v="2Basic Food Employment and Training Grant102-BFET-15"/>
    <s v="2"/>
    <x v="11"/>
    <x v="0"/>
    <x v="105"/>
    <m/>
    <n v="221442"/>
    <n v="221442"/>
    <d v="2014-10-01T00:00:00"/>
    <d v="2015-09-30T00:00:00"/>
  </r>
  <r>
    <s v="2BEdA Master Grant102-BEDA-16"/>
    <s v="2"/>
    <x v="11"/>
    <x v="2"/>
    <x v="106"/>
    <m/>
    <n v="115011"/>
    <n v="115011"/>
    <d v="2015-07-01T00:00:00"/>
    <d v="2016-06-30T00:00:00"/>
  </r>
  <r>
    <s v="2BEdA Program – EL Civics Grant Budget102-ELC-16"/>
    <s v="2"/>
    <x v="11"/>
    <x v="9"/>
    <x v="107"/>
    <m/>
    <n v="22866"/>
    <n v="22866"/>
    <d v="2015-07-01T00:00:00"/>
    <d v="2016-06-30T00:00:00"/>
  </r>
  <r>
    <s v="2BEdA State Plan Innovations Grant102-BPSI-15"/>
    <s v="2"/>
    <x v="11"/>
    <x v="3"/>
    <x v="108"/>
    <m/>
    <n v="60000"/>
    <n v="60000"/>
    <d v="2014-11-01T00:00:00"/>
    <d v="2016-06-30T00:00:00"/>
  </r>
  <r>
    <s v="2Correctional Education Grant102-CE-16"/>
    <s v="2"/>
    <x v="11"/>
    <x v="15"/>
    <x v="109"/>
    <m/>
    <n v="1729789"/>
    <n v="1729789"/>
    <d v="2015-07-01T00:00:00"/>
    <d v="2016-06-30T00:00:00"/>
  </r>
  <r>
    <s v="2I-DEA Grant102-IDEA-15"/>
    <s v="2"/>
    <x v="11"/>
    <x v="12"/>
    <x v="110"/>
    <m/>
    <n v="95435"/>
    <n v="95435"/>
    <d v="2014-07-01T00:00:00"/>
    <d v="2016-06-30T00:00:00"/>
  </r>
  <r>
    <s v="2Misc. General Grant102-IDRV4-15"/>
    <s v="2"/>
    <x v="11"/>
    <x v="14"/>
    <x v="111"/>
    <m/>
    <n v="15600"/>
    <n v="15600"/>
    <d v="2015-05-22T00:00:00"/>
    <d v="2015-09-30T00:00:00"/>
  </r>
  <r>
    <s v="2Perkins Leadership Block Grant102-PLB-16"/>
    <s v="2"/>
    <x v="11"/>
    <x v="5"/>
    <x v="112"/>
    <m/>
    <n v="14480"/>
    <n v="14480"/>
    <d v="2015-07-08T00:00:00"/>
    <d v="2016-06-30T00:00:00"/>
  </r>
  <r>
    <s v="2Perkins Plan102-PRK-16"/>
    <s v="2"/>
    <x v="11"/>
    <x v="6"/>
    <x v="113"/>
    <m/>
    <n v="190438"/>
    <n v="190438"/>
    <d v="2015-07-01T00:00:00"/>
    <d v="2016-06-30T00:00:00"/>
  </r>
  <r>
    <s v="2WorkFirst Delivery Agreement102-WFDA-16"/>
    <s v="2"/>
    <x v="11"/>
    <x v="7"/>
    <x v="114"/>
    <m/>
    <n v="398657"/>
    <n v="398657"/>
    <d v="2015-07-01T00:00:00"/>
    <d v="2016-06-30T00:00:00"/>
  </r>
  <r>
    <s v="2"/>
    <s v="2"/>
    <x v="11"/>
    <x v="8"/>
    <x v="8"/>
    <m/>
    <m/>
    <m/>
    <m/>
    <m/>
  </r>
  <r>
    <s v="10Basic Food Employment and Training Grant110-BFET-15"/>
    <s v="10"/>
    <x v="12"/>
    <x v="0"/>
    <x v="115"/>
    <m/>
    <n v="511692"/>
    <n v="511692"/>
    <d v="2014-10-01T00:00:00"/>
    <d v="2015-09-30T00:00:00"/>
  </r>
  <r>
    <s v="10BEdA Leadership Block Grant110-BLBG-16"/>
    <s v="10"/>
    <x v="12"/>
    <x v="1"/>
    <x v="116"/>
    <m/>
    <n v="5563"/>
    <n v="5563"/>
    <d v="2015-07-01T00:00:00"/>
    <d v="2016-06-30T00:00:00"/>
  </r>
  <r>
    <s v="10BEdA Master Grant110-BEDA-16"/>
    <s v="10"/>
    <x v="12"/>
    <x v="2"/>
    <x v="117"/>
    <m/>
    <n v="249795"/>
    <n v="249795"/>
    <d v="2015-07-01T00:00:00"/>
    <d v="2016-06-30T00:00:00"/>
  </r>
  <r>
    <s v="10BEdA Program – EL Civics Grant Budget110-ELC-16"/>
    <s v="10"/>
    <x v="12"/>
    <x v="9"/>
    <x v="118"/>
    <m/>
    <n v="52548"/>
    <n v="52548"/>
    <d v="2015-07-01T00:00:00"/>
    <d v="2016-06-30T00:00:00"/>
  </r>
  <r>
    <s v="10BEdA State Plan Innovations Grant110-BSPI-15"/>
    <s v="10"/>
    <x v="12"/>
    <x v="3"/>
    <x v="119"/>
    <m/>
    <n v="35000"/>
    <n v="35000"/>
    <d v="2014-11-01T00:00:00"/>
    <d v="2016-06-30T00:00:00"/>
  </r>
  <r>
    <s v="10Early Achievers Opportunity Grant Application110-EAOG-16"/>
    <s v="10"/>
    <x v="12"/>
    <x v="4"/>
    <x v="120"/>
    <m/>
    <n v="67950"/>
    <n v="67950"/>
    <d v="2015-07-01T00:00:00"/>
    <d v="2016-06-30T00:00:00"/>
  </r>
  <r>
    <s v="10I-DEA Grant110-IDEA-15"/>
    <s v="10"/>
    <x v="12"/>
    <x v="12"/>
    <x v="121"/>
    <m/>
    <n v="92235"/>
    <n v="92235"/>
    <d v="2014-07-01T00:00:00"/>
    <d v="2016-06-30T00:00:00"/>
  </r>
  <r>
    <s v="10Job Skills Program Grant110-JSP-16BC"/>
    <s v="10"/>
    <x v="12"/>
    <x v="13"/>
    <x v="122"/>
    <m/>
    <n v="88700"/>
    <n v="88700"/>
    <d v="2015-08-01T00:00:00"/>
    <d v="2017-06-30T00:00:00"/>
  </r>
  <r>
    <s v="10Job Skills Program Grant110-JSP-16CG"/>
    <s v="10"/>
    <x v="12"/>
    <x v="13"/>
    <x v="123"/>
    <m/>
    <n v="63000"/>
    <n v="63000"/>
    <d v="2015-07-15T00:00:00"/>
    <d v="2017-06-30T00:00:00"/>
  </r>
  <r>
    <s v="10Job Skills Program Grant110-JSP-16EK"/>
    <s v="10"/>
    <x v="12"/>
    <x v="13"/>
    <x v="124"/>
    <m/>
    <n v="89700"/>
    <n v="89700"/>
    <d v="2015-07-20T00:00:00"/>
    <d v="2017-06-30T00:00:00"/>
  </r>
  <r>
    <s v="10Job Skills Program Grant110-JSP-16HC"/>
    <s v="10"/>
    <x v="12"/>
    <x v="13"/>
    <x v="125"/>
    <m/>
    <n v="49500"/>
    <n v="49500"/>
    <d v="2015-07-15T00:00:00"/>
    <d v="2017-06-30T00:00:00"/>
  </r>
  <r>
    <s v="10Job Skills Program Grant110-JSP-16TAS"/>
    <s v="10"/>
    <x v="12"/>
    <x v="13"/>
    <x v="126"/>
    <m/>
    <n v="84900"/>
    <n v="84900"/>
    <d v="2015-07-25T00:00:00"/>
    <d v="2017-06-30T00:00:00"/>
  </r>
  <r>
    <s v="10Perkins Plan110-PRK-16"/>
    <s v="10"/>
    <x v="12"/>
    <x v="6"/>
    <x v="127"/>
    <m/>
    <n v="308738"/>
    <n v="308738"/>
    <d v="2015-07-01T00:00:00"/>
    <d v="2016-06-30T00:00:00"/>
  </r>
  <r>
    <s v="10Perkins Special Project110-PSP-16"/>
    <s v="10"/>
    <x v="12"/>
    <x v="20"/>
    <x v="128"/>
    <m/>
    <n v="17666"/>
    <n v="17666"/>
    <d v="2015-07-22T00:00:00"/>
    <d v="2016-06-30T00:00:00"/>
  </r>
  <r>
    <s v="10Transcript Grid for Placement Project110-TG-15"/>
    <s v="10"/>
    <x v="12"/>
    <x v="11"/>
    <x v="129"/>
    <m/>
    <n v="47214"/>
    <n v="47214"/>
    <d v="2014-09-01T00:00:00"/>
    <d v="2015-08-31T00:00:00"/>
  </r>
  <r>
    <s v="10WorkFirst Delivery Agreement110-WFDA-16"/>
    <s v="10"/>
    <x v="12"/>
    <x v="7"/>
    <x v="130"/>
    <m/>
    <n v="710876"/>
    <n v="710876"/>
    <d v="2015-07-01T00:00:00"/>
    <d v="2016-06-30T00:00:00"/>
  </r>
  <r>
    <s v="10"/>
    <s v="10"/>
    <x v="12"/>
    <x v="8"/>
    <x v="8"/>
    <m/>
    <m/>
    <m/>
    <m/>
    <m/>
  </r>
  <r>
    <s v="9Basic Food Employment and Training Grant109-BFET-15"/>
    <s v="9"/>
    <x v="13"/>
    <x v="0"/>
    <x v="131"/>
    <m/>
    <n v="240407"/>
    <n v="240407"/>
    <d v="2014-10-01T00:00:00"/>
    <d v="2015-09-30T00:00:00"/>
  </r>
  <r>
    <s v="9BEdA Leadership Block Grant109-BLBG-16"/>
    <s v="9"/>
    <x v="13"/>
    <x v="1"/>
    <x v="132"/>
    <m/>
    <n v="5050"/>
    <n v="5050"/>
    <d v="2015-07-01T00:00:00"/>
    <d v="2016-06-30T00:00:00"/>
  </r>
  <r>
    <s v="9BEdA Master Grant109-BEDA-16"/>
    <s v="9"/>
    <x v="13"/>
    <x v="2"/>
    <x v="133"/>
    <m/>
    <n v="436150"/>
    <n v="436150"/>
    <d v="2015-07-01T00:00:00"/>
    <d v="2016-06-30T00:00:00"/>
  </r>
  <r>
    <s v="9BEdA Program – EL Civics Grant Budget109-ELC-16"/>
    <s v="9"/>
    <x v="13"/>
    <x v="9"/>
    <x v="134"/>
    <m/>
    <n v="104326"/>
    <n v="104326"/>
    <d v="2015-07-01T00:00:00"/>
    <d v="2016-06-30T00:00:00"/>
  </r>
  <r>
    <s v="9BEdA State Plan Innovations Grant109-BSPI-15"/>
    <s v="9"/>
    <x v="13"/>
    <x v="3"/>
    <x v="135"/>
    <m/>
    <n v="22480"/>
    <n v="22480"/>
    <d v="2014-11-01T00:00:00"/>
    <d v="2016-06-30T00:00:00"/>
  </r>
  <r>
    <s v="9Early Achievers Opportunity Grant Application109-EAOG-16"/>
    <s v="9"/>
    <x v="13"/>
    <x v="4"/>
    <x v="136"/>
    <m/>
    <n v="30200"/>
    <n v="30200"/>
    <d v="2015-07-01T00:00:00"/>
    <d v="2016-06-30T00:00:00"/>
  </r>
  <r>
    <s v="9Faculty Learning Communities Initiative Grant109-FLCA-16CRE"/>
    <s v="9"/>
    <x v="13"/>
    <x v="17"/>
    <x v="137"/>
    <m/>
    <n v="5000"/>
    <n v="5000"/>
    <d v="2015-07-01T00:00:00"/>
    <d v="2016-06-30T00:00:00"/>
  </r>
  <r>
    <s v="9Faculty Learning Communities Initiative Grant109-FLCE-16OER"/>
    <s v="9"/>
    <x v="13"/>
    <x v="17"/>
    <x v="138"/>
    <m/>
    <n v="5000"/>
    <n v="5000"/>
    <d v="2015-07-01T00:00:00"/>
    <d v="2016-06-30T00:00:00"/>
  </r>
  <r>
    <s v="9Perkins Leadership Block Grant109-PLB-16"/>
    <s v="9"/>
    <x v="13"/>
    <x v="5"/>
    <x v="139"/>
    <m/>
    <n v="16000"/>
    <n v="16000"/>
    <d v="2015-07-01T00:00:00"/>
    <d v="2016-06-30T00:00:00"/>
  </r>
  <r>
    <s v="9Perkins Plan109-PRK-16"/>
    <s v="9"/>
    <x v="13"/>
    <x v="6"/>
    <x v="140"/>
    <m/>
    <n v="264907"/>
    <n v="264907"/>
    <d v="2015-07-01T00:00:00"/>
    <d v="2016-06-30T00:00:00"/>
  </r>
  <r>
    <s v="9WorkFirst Delivery Agreement109-WFDA-16"/>
    <s v="9"/>
    <x v="13"/>
    <x v="7"/>
    <x v="141"/>
    <m/>
    <n v="805980"/>
    <n v="805980"/>
    <d v="2015-07-01T00:00:00"/>
    <d v="2016-06-30T00:00:00"/>
  </r>
  <r>
    <s v="9"/>
    <s v="9"/>
    <x v="13"/>
    <x v="8"/>
    <x v="8"/>
    <m/>
    <m/>
    <m/>
    <m/>
    <m/>
  </r>
  <r>
    <s v="26Basic Food Employment and Training Grant126-BFET-15"/>
    <s v="26"/>
    <x v="14"/>
    <x v="0"/>
    <x v="142"/>
    <m/>
    <n v="279108"/>
    <n v="279108"/>
    <d v="2014-10-01T00:00:00"/>
    <d v="2015-09-30T00:00:00"/>
  </r>
  <r>
    <s v="26BEdA Leadership Block Grant126-BLBG-16"/>
    <s v="26"/>
    <x v="14"/>
    <x v="1"/>
    <x v="143"/>
    <m/>
    <n v="5563"/>
    <n v="5563"/>
    <d v="2015-07-01T00:00:00"/>
    <d v="2016-06-30T00:00:00"/>
  </r>
  <r>
    <s v="26BEdA Master Grant126-BEDA-16"/>
    <s v="26"/>
    <x v="14"/>
    <x v="2"/>
    <x v="144"/>
    <m/>
    <n v="182743"/>
    <n v="182743"/>
    <d v="2015-07-01T00:00:00"/>
    <d v="2016-06-30T00:00:00"/>
  </r>
  <r>
    <s v="26BEdA Program – EL Civics Grant Budget126-ELC-16"/>
    <s v="26"/>
    <x v="14"/>
    <x v="9"/>
    <x v="145"/>
    <m/>
    <n v="39784"/>
    <n v="39784"/>
    <d v="2015-07-01T00:00:00"/>
    <d v="2016-06-30T00:00:00"/>
  </r>
  <r>
    <s v="26BEdA State Plan Innovations Grant126-BSPI-15"/>
    <s v="26"/>
    <x v="14"/>
    <x v="3"/>
    <x v="146"/>
    <m/>
    <n v="59825"/>
    <n v="59825"/>
    <d v="2014-11-01T00:00:00"/>
    <d v="2016-06-30T00:00:00"/>
  </r>
  <r>
    <s v="26Early Achievers Opportunity Grant Application126-EAOG-16"/>
    <s v="26"/>
    <x v="14"/>
    <x v="4"/>
    <x v="147"/>
    <m/>
    <n v="45300"/>
    <n v="45300"/>
    <d v="2015-07-01T00:00:00"/>
    <d v="2016-06-30T00:00:00"/>
  </r>
  <r>
    <s v="26Faculty Learning Communities Initiative Grant126-FLCA-16"/>
    <s v="26"/>
    <x v="14"/>
    <x v="17"/>
    <x v="148"/>
    <m/>
    <n v="4566"/>
    <n v="4566"/>
    <d v="2015-07-01T00:00:00"/>
    <d v="2016-06-30T00:00:00"/>
  </r>
  <r>
    <s v="26I-DEA Grant126-IDEA-13"/>
    <s v="26"/>
    <x v="14"/>
    <x v="12"/>
    <x v="149"/>
    <m/>
    <n v="154635"/>
    <n v="154635"/>
    <d v="2013-01-01T00:00:00"/>
    <d v="2016-06-30T00:00:00"/>
  </r>
  <r>
    <s v="26Perkins Plan126-PRK-16"/>
    <s v="26"/>
    <x v="14"/>
    <x v="6"/>
    <x v="150"/>
    <m/>
    <n v="286675"/>
    <n v="286675"/>
    <d v="2015-07-01T00:00:00"/>
    <d v="2016-06-30T00:00:00"/>
  </r>
  <r>
    <s v="26WorkFirst Delivery Agreement126-WFDA-16"/>
    <s v="26"/>
    <x v="14"/>
    <x v="7"/>
    <x v="151"/>
    <m/>
    <n v="105185"/>
    <n v="105185"/>
    <d v="2015-07-01T00:00:00"/>
    <d v="2016-06-30T00:00:00"/>
  </r>
  <r>
    <s v="26"/>
    <s v="26"/>
    <x v="14"/>
    <x v="8"/>
    <x v="8"/>
    <m/>
    <m/>
    <m/>
    <m/>
    <m/>
  </r>
  <r>
    <s v="13Basic Food Employment and Training Grant113-BFET-15"/>
    <s v="13"/>
    <x v="15"/>
    <x v="0"/>
    <x v="152"/>
    <m/>
    <n v="229526"/>
    <n v="229526"/>
    <d v="2014-10-01T00:00:00"/>
    <d v="2015-09-30T00:00:00"/>
  </r>
  <r>
    <s v="13BEdA Leadership Block Grant113-BLBG-16"/>
    <s v="13"/>
    <x v="15"/>
    <x v="1"/>
    <x v="153"/>
    <m/>
    <n v="5563"/>
    <n v="5563"/>
    <d v="2015-07-01T00:00:00"/>
    <d v="2016-06-30T00:00:00"/>
  </r>
  <r>
    <s v="13BEdA Master Grant113-BEDA-16"/>
    <s v="13"/>
    <x v="15"/>
    <x v="2"/>
    <x v="154"/>
    <m/>
    <n v="182922"/>
    <n v="182922"/>
    <d v="2015-07-01T00:00:00"/>
    <d v="2016-06-30T00:00:00"/>
  </r>
  <r>
    <s v="13BEdA Program – EL Civics Grant Budget113-ELC-16"/>
    <s v="13"/>
    <x v="15"/>
    <x v="9"/>
    <x v="155"/>
    <m/>
    <n v="36046"/>
    <n v="36046"/>
    <d v="2015-07-01T00:00:00"/>
    <d v="2016-06-30T00:00:00"/>
  </r>
  <r>
    <s v="13Early Achievers Opportunity Grant Application113-EAOG-16"/>
    <s v="13"/>
    <x v="15"/>
    <x v="4"/>
    <x v="156"/>
    <m/>
    <n v="15100"/>
    <n v="15100"/>
    <d v="2015-07-01T00:00:00"/>
    <d v="2016-06-30T00:00:00"/>
  </r>
  <r>
    <s v="13I-DEA Grant113-IDEA-15"/>
    <s v="13"/>
    <x v="15"/>
    <x v="12"/>
    <x v="157"/>
    <m/>
    <n v="95435"/>
    <n v="95435"/>
    <d v="2014-07-01T00:00:00"/>
    <d v="2016-06-30T00:00:00"/>
  </r>
  <r>
    <s v="13Perkins Non-Traditional Employment &amp; Training Gran113-PNT-16"/>
    <s v="13"/>
    <x v="15"/>
    <x v="19"/>
    <x v="158"/>
    <m/>
    <n v="5000"/>
    <n v="5000"/>
    <d v="2015-07-01T00:00:00"/>
    <d v="2016-06-30T00:00:00"/>
  </r>
  <r>
    <s v="13Perkins Plan113-PRK-16"/>
    <s v="13"/>
    <x v="15"/>
    <x v="6"/>
    <x v="159"/>
    <m/>
    <n v="313052"/>
    <n v="313052"/>
    <d v="2015-07-01T00:00:00"/>
    <d v="2016-06-30T00:00:00"/>
  </r>
  <r>
    <s v="13WorkFirst Delivery Agreement113-WFDA-16"/>
    <s v="13"/>
    <x v="15"/>
    <x v="7"/>
    <x v="160"/>
    <m/>
    <n v="830405"/>
    <n v="830405"/>
    <d v="2015-07-01T00:00:00"/>
    <d v="2016-06-30T00:00:00"/>
  </r>
  <r>
    <s v="13"/>
    <s v="13"/>
    <x v="15"/>
    <x v="8"/>
    <x v="8"/>
    <m/>
    <m/>
    <m/>
    <m/>
    <m/>
  </r>
  <r>
    <s v="6Basic Food Employment and Training Grant132-BFET-15"/>
    <s v="6"/>
    <x v="16"/>
    <x v="0"/>
    <x v="161"/>
    <m/>
    <n v="696083"/>
    <n v="696083"/>
    <d v="2014-10-01T00:00:00"/>
    <d v="2015-09-30T00:00:00"/>
  </r>
  <r>
    <s v="6BEdA Leadership Block Grant132-BLBG-16"/>
    <s v="6"/>
    <x v="16"/>
    <x v="1"/>
    <x v="162"/>
    <m/>
    <n v="6588"/>
    <n v="6588"/>
    <d v="2015-07-01T00:00:00"/>
    <d v="2016-06-30T00:00:00"/>
  </r>
  <r>
    <s v="6BEdA Master Grant132-BEDA-16"/>
    <s v="6"/>
    <x v="16"/>
    <x v="2"/>
    <x v="163"/>
    <m/>
    <n v="159099"/>
    <n v="159099"/>
    <d v="2015-07-01T00:00:00"/>
    <d v="2016-06-30T00:00:00"/>
  </r>
  <r>
    <s v="6BEdA Program – EL Civics Grant Budget132-ELC-16"/>
    <s v="6"/>
    <x v="16"/>
    <x v="9"/>
    <x v="164"/>
    <m/>
    <n v="40392"/>
    <n v="40392"/>
    <d v="2015-07-01T00:00:00"/>
    <d v="2016-06-30T00:00:00"/>
  </r>
  <r>
    <s v="6Early Achievers Opportunity Grant Application132-EAOG-16"/>
    <s v="6"/>
    <x v="16"/>
    <x v="4"/>
    <x v="165"/>
    <m/>
    <n v="15100"/>
    <n v="15100"/>
    <d v="2015-07-01T00:00:00"/>
    <d v="2016-06-30T00:00:00"/>
  </r>
  <r>
    <s v="6I-DEA Grant132-IDEA-13"/>
    <s v="6"/>
    <x v="16"/>
    <x v="12"/>
    <x v="166"/>
    <m/>
    <n v="154635"/>
    <n v="154635"/>
    <d v="2013-01-01T00:00:00"/>
    <d v="2016-06-30T00:00:00"/>
  </r>
  <r>
    <s v="6Misc. General Grant132-IDRV-15"/>
    <s v="6"/>
    <x v="16"/>
    <x v="14"/>
    <x v="167"/>
    <m/>
    <n v="11700"/>
    <n v="11700"/>
    <d v="2015-06-16T00:00:00"/>
    <d v="2015-09-30T00:00:00"/>
  </r>
  <r>
    <s v="6Perkins Plan132-PRK-16"/>
    <s v="6"/>
    <x v="16"/>
    <x v="6"/>
    <x v="168"/>
    <m/>
    <n v="161887"/>
    <n v="161887"/>
    <d v="2015-07-01T00:00:00"/>
    <d v="2016-06-30T00:00:00"/>
  </r>
  <r>
    <s v="6WorkFirst Delivery Agreement132-WFDA-16"/>
    <s v="6"/>
    <x v="16"/>
    <x v="7"/>
    <x v="169"/>
    <m/>
    <n v="181187"/>
    <n v="181187"/>
    <d v="2015-07-01T00:00:00"/>
    <d v="2016-06-30T00:00:00"/>
  </r>
  <r>
    <s v="6"/>
    <s v="6"/>
    <x v="16"/>
    <x v="8"/>
    <x v="8"/>
    <m/>
    <m/>
    <m/>
    <m/>
    <m/>
  </r>
  <r>
    <s v="3Basic Food Employment and Training Grant103-BFET-15"/>
    <s v="3"/>
    <x v="17"/>
    <x v="0"/>
    <x v="170"/>
    <m/>
    <n v="237182"/>
    <n v="237182"/>
    <d v="2014-10-01T00:00:00"/>
    <d v="2015-09-30T00:00:00"/>
  </r>
  <r>
    <s v="3BEdA Leadership Block Grant103-BLBG-16"/>
    <s v="3"/>
    <x v="17"/>
    <x v="1"/>
    <x v="171"/>
    <m/>
    <n v="6588"/>
    <n v="6588"/>
    <d v="2015-07-01T00:00:00"/>
    <d v="2016-06-30T00:00:00"/>
  </r>
  <r>
    <s v="3BEdA Master Grant103-BEDA-16"/>
    <s v="3"/>
    <x v="17"/>
    <x v="2"/>
    <x v="172"/>
    <m/>
    <n v="84095"/>
    <n v="84095"/>
    <d v="2015-07-01T00:00:00"/>
    <d v="2016-06-30T00:00:00"/>
  </r>
  <r>
    <s v="3BEdA Program – EL Civics Grant Budget103-ELC-16"/>
    <s v="3"/>
    <x v="17"/>
    <x v="9"/>
    <x v="173"/>
    <m/>
    <n v="16549"/>
    <n v="16549"/>
    <d v="2015-07-01T00:00:00"/>
    <d v="2016-06-30T00:00:00"/>
  </r>
  <r>
    <s v="3Early Achievers Opportunity Grant Application103-EAOG-16"/>
    <s v="3"/>
    <x v="17"/>
    <x v="4"/>
    <x v="174"/>
    <m/>
    <n v="30200"/>
    <n v="30200"/>
    <d v="2015-07-01T00:00:00"/>
    <d v="2016-06-30T00:00:00"/>
  </r>
  <r>
    <s v="3I-DEA Grant103-IDEA-15"/>
    <s v="3"/>
    <x v="17"/>
    <x v="12"/>
    <x v="175"/>
    <m/>
    <n v="95435"/>
    <n v="95435"/>
    <d v="2014-07-01T00:00:00"/>
    <d v="2016-06-30T00:00:00"/>
  </r>
  <r>
    <s v="3Misc. General Grant103-D2L-15"/>
    <s v="3"/>
    <x v="17"/>
    <x v="14"/>
    <x v="176"/>
    <m/>
    <n v="11827"/>
    <n v="11827"/>
    <d v="2015-06-01T00:00:00"/>
    <d v="2015-12-31T00:00:00"/>
  </r>
  <r>
    <s v="3Perkins Leadership Block Grant103-PLB-16"/>
    <s v="3"/>
    <x v="17"/>
    <x v="5"/>
    <x v="177"/>
    <m/>
    <n v="16000"/>
    <n v="16000"/>
    <d v="2015-07-01T00:00:00"/>
    <d v="2016-06-30T00:00:00"/>
  </r>
  <r>
    <s v="3Perkins Non-Traditional Employment &amp; Training Gran103-PNT-16"/>
    <s v="3"/>
    <x v="17"/>
    <x v="19"/>
    <x v="178"/>
    <m/>
    <n v="5000"/>
    <n v="5000"/>
    <d v="2015-07-01T00:00:00"/>
    <d v="2016-06-30T00:00:00"/>
  </r>
  <r>
    <s v="3Perkins Plan103-PRK-16"/>
    <s v="3"/>
    <x v="17"/>
    <x v="6"/>
    <x v="179"/>
    <m/>
    <n v="392820"/>
    <n v="392820"/>
    <d v="2015-07-01T00:00:00"/>
    <d v="2016-06-30T00:00:00"/>
  </r>
  <r>
    <s v="3Perkins Special Project103-PSP-16"/>
    <s v="3"/>
    <x v="17"/>
    <x v="20"/>
    <x v="180"/>
    <m/>
    <n v="85245"/>
    <n v="85245"/>
    <d v="2015-07-22T00:00:00"/>
    <d v="2016-06-30T00:00:00"/>
  </r>
  <r>
    <s v="3WorkFirst Delivery Agreement103-WFDA-16"/>
    <s v="3"/>
    <x v="17"/>
    <x v="7"/>
    <x v="181"/>
    <m/>
    <n v="687485"/>
    <n v="687485"/>
    <d v="2015-07-01T00:00:00"/>
    <d v="2016-06-30T00:00:00"/>
  </r>
  <r>
    <s v="3"/>
    <s v="3"/>
    <x v="17"/>
    <x v="8"/>
    <x v="8"/>
    <m/>
    <m/>
    <m/>
    <m/>
    <m/>
  </r>
  <r>
    <s v="1Basic Food Employment and Training Grant101-BFET-15"/>
    <s v="1"/>
    <x v="18"/>
    <x v="0"/>
    <x v="182"/>
    <m/>
    <n v="229356"/>
    <n v="229356"/>
    <d v="2014-10-01T00:00:00"/>
    <d v="2015-09-30T00:00:00"/>
  </r>
  <r>
    <s v="1BEdA Leadership Block Grant101-BLBG-16"/>
    <s v="1"/>
    <x v="18"/>
    <x v="1"/>
    <x v="183"/>
    <m/>
    <n v="5563"/>
    <n v="5563"/>
    <d v="2015-07-01T00:00:00"/>
    <d v="2016-06-30T00:00:00"/>
  </r>
  <r>
    <s v="1BEdA Master Grant101-BEDA-16"/>
    <s v="1"/>
    <x v="18"/>
    <x v="2"/>
    <x v="184"/>
    <m/>
    <n v="157090"/>
    <n v="157090"/>
    <d v="2015-07-01T00:00:00"/>
    <d v="2016-06-30T00:00:00"/>
  </r>
  <r>
    <s v="1BEdA Program – EL Civics Grant Budget101-ELC-16"/>
    <s v="1"/>
    <x v="18"/>
    <x v="9"/>
    <x v="185"/>
    <m/>
    <n v="27679"/>
    <n v="27679"/>
    <d v="2015-07-01T00:00:00"/>
    <d v="2016-06-30T00:00:00"/>
  </r>
  <r>
    <s v="1BEdA State Plan Innovations Grant101-BSPI-15"/>
    <s v="1"/>
    <x v="18"/>
    <x v="3"/>
    <x v="186"/>
    <m/>
    <n v="24000"/>
    <n v="24000"/>
    <d v="2014-11-01T00:00:00"/>
    <d v="2016-06-30T00:00:00"/>
  </r>
  <r>
    <s v="1Correctional Education Grant101-CE-16"/>
    <s v="1"/>
    <x v="18"/>
    <x v="15"/>
    <x v="187"/>
    <m/>
    <n v="1383943"/>
    <n v="1383943"/>
    <d v="2015-07-01T00:00:00"/>
    <d v="2016-06-30T00:00:00"/>
  </r>
  <r>
    <s v="1Early Achievers Opportunity Grant Application101-EAOG-16"/>
    <s v="1"/>
    <x v="18"/>
    <x v="4"/>
    <x v="188"/>
    <m/>
    <n v="15100"/>
    <n v="15100"/>
    <d v="2015-07-01T00:00:00"/>
    <d v="2016-06-30T00:00:00"/>
  </r>
  <r>
    <s v="1Faculty Learning Communities Initiative Grant101-FLCA-16"/>
    <s v="1"/>
    <x v="18"/>
    <x v="17"/>
    <x v="189"/>
    <m/>
    <n v="4459"/>
    <n v="4459"/>
    <d v="2015-07-01T00:00:00"/>
    <d v="2016-06-30T00:00:00"/>
  </r>
  <r>
    <s v="1I-DEA Grant101-IDEA-15"/>
    <s v="1"/>
    <x v="18"/>
    <x v="12"/>
    <x v="190"/>
    <m/>
    <n v="95435"/>
    <n v="95435"/>
    <d v="2014-07-01T00:00:00"/>
    <d v="2016-06-30T00:00:00"/>
  </r>
  <r>
    <s v="1Perkins Leadership Block Grant101-PLB-16"/>
    <s v="1"/>
    <x v="18"/>
    <x v="5"/>
    <x v="191"/>
    <m/>
    <n v="16000"/>
    <n v="16000"/>
    <d v="2015-07-01T00:00:00"/>
    <d v="2016-06-30T00:00:00"/>
  </r>
  <r>
    <s v="1Perkins Plan101-PRK-16"/>
    <s v="1"/>
    <x v="18"/>
    <x v="6"/>
    <x v="192"/>
    <m/>
    <n v="178509"/>
    <n v="178509"/>
    <d v="2015-07-01T00:00:00"/>
    <d v="2016-06-30T00:00:00"/>
  </r>
  <r>
    <s v="1Transcript Grid for Placement Project101-TG-15"/>
    <s v="1"/>
    <x v="18"/>
    <x v="11"/>
    <x v="193"/>
    <m/>
    <n v="13900"/>
    <n v="13900"/>
    <d v="2015-01-01T00:00:00"/>
    <d v="2015-10-31T00:00:00"/>
  </r>
  <r>
    <s v="1WorkFirst Delivery Agreement101-WFDA-16"/>
    <s v="1"/>
    <x v="18"/>
    <x v="7"/>
    <x v="194"/>
    <m/>
    <n v="291241"/>
    <n v="291241"/>
    <d v="2015-07-01T00:00:00"/>
    <d v="2016-06-30T00:00:00"/>
  </r>
  <r>
    <s v="1"/>
    <s v="1"/>
    <x v="18"/>
    <x v="8"/>
    <x v="8"/>
    <m/>
    <m/>
    <m/>
    <m/>
    <m/>
  </r>
  <r>
    <s v="11Basic Food Employment and Training Grant111-BFET-15"/>
    <s v="11"/>
    <x v="19"/>
    <x v="0"/>
    <x v="195"/>
    <m/>
    <n v="183411"/>
    <n v="183411"/>
    <d v="2014-10-01T00:00:00"/>
    <d v="2015-09-30T00:00:00"/>
  </r>
  <r>
    <s v="11BEdA Leadership Block Grant111-BLBG-16"/>
    <s v="11"/>
    <x v="19"/>
    <x v="1"/>
    <x v="196"/>
    <m/>
    <n v="11126"/>
    <n v="11126"/>
    <d v="2015-07-01T00:00:00"/>
    <d v="2016-06-30T00:00:00"/>
  </r>
  <r>
    <s v="11BEdA Master Grant111-BEDA-16"/>
    <s v="11"/>
    <x v="19"/>
    <x v="2"/>
    <x v="197"/>
    <m/>
    <n v="209209"/>
    <n v="209209"/>
    <d v="2015-07-01T00:00:00"/>
    <d v="2016-06-30T00:00:00"/>
  </r>
  <r>
    <s v="11BEdA Program – EL Civics Grant Budget111-ELC-16"/>
    <s v="11"/>
    <x v="19"/>
    <x v="9"/>
    <x v="198"/>
    <m/>
    <n v="45585"/>
    <n v="45585"/>
    <d v="2015-07-01T00:00:00"/>
    <d v="2016-06-30T00:00:00"/>
  </r>
  <r>
    <s v="11BEdA State Plan Innovations Grant111-BSPI-15"/>
    <s v="11"/>
    <x v="19"/>
    <x v="3"/>
    <x v="199"/>
    <m/>
    <n v="55060"/>
    <n v="55060"/>
    <d v="2014-11-01T00:00:00"/>
    <d v="2016-06-30T00:00:00"/>
  </r>
  <r>
    <s v="11Early Achievers Opportunity Grant Application111-EAOG-16"/>
    <s v="11"/>
    <x v="19"/>
    <x v="4"/>
    <x v="200"/>
    <m/>
    <n v="120800"/>
    <n v="120800"/>
    <d v="2015-07-01T00:00:00"/>
    <d v="2016-06-30T00:00:00"/>
  </r>
  <r>
    <s v="11Faculty Learning Communities Initiative Grant111-FLCA-16"/>
    <s v="11"/>
    <x v="19"/>
    <x v="17"/>
    <x v="201"/>
    <m/>
    <n v="5000"/>
    <n v="5000"/>
    <d v="2015-07-01T00:00:00"/>
    <d v="2016-06-30T00:00:00"/>
  </r>
  <r>
    <s v="11Misc. General Grant111-ELRN-16"/>
    <s v="11"/>
    <x v="19"/>
    <x v="14"/>
    <x v="202"/>
    <m/>
    <n v="2750"/>
    <n v="2750"/>
    <d v="2015-08-01T00:00:00"/>
    <d v="2016-06-30T00:00:00"/>
  </r>
  <r>
    <s v="11Perkins Leadership Block Grant111-PLB-16"/>
    <s v="11"/>
    <x v="19"/>
    <x v="5"/>
    <x v="203"/>
    <m/>
    <n v="32000"/>
    <n v="32000"/>
    <d v="2015-07-01T00:00:00"/>
    <d v="2016-06-30T00:00:00"/>
  </r>
  <r>
    <s v="11Perkins Non-Traditional Employment &amp; Training Gran111-PNT-16"/>
    <s v="11"/>
    <x v="19"/>
    <x v="19"/>
    <x v="204"/>
    <m/>
    <n v="5000"/>
    <n v="5000"/>
    <d v="2015-07-01T00:00:00"/>
    <d v="2016-06-30T00:00:00"/>
  </r>
  <r>
    <s v="11Perkins Plan111-PRK-16"/>
    <s v="11"/>
    <x v="19"/>
    <x v="6"/>
    <x v="205"/>
    <m/>
    <n v="459747"/>
    <n v="459747"/>
    <d v="2015-07-01T00:00:00"/>
    <d v="2016-06-30T00:00:00"/>
  </r>
  <r>
    <s v="11Perkins Special Project111-PSP-16"/>
    <s v="11"/>
    <x v="19"/>
    <x v="20"/>
    <x v="206"/>
    <m/>
    <n v="25032"/>
    <n v="25032"/>
    <d v="2015-07-22T00:00:00"/>
    <d v="2016-06-30T00:00:00"/>
  </r>
  <r>
    <s v="11WorkFirst Delivery Agreement111-WFDA-16"/>
    <s v="11"/>
    <x v="19"/>
    <x v="7"/>
    <x v="207"/>
    <m/>
    <n v="339195"/>
    <n v="339195"/>
    <d v="2015-07-01T00:00:00"/>
    <d v="2016-06-30T00:00:00"/>
  </r>
  <r>
    <s v="11"/>
    <s v="11"/>
    <x v="19"/>
    <x v="8"/>
    <x v="8"/>
    <m/>
    <m/>
    <m/>
    <m/>
    <m/>
  </r>
  <r>
    <s v="11I-DEA Grant135-IDEA-13"/>
    <s v="11"/>
    <x v="20"/>
    <x v="12"/>
    <x v="208"/>
    <m/>
    <n v="149635"/>
    <n v="149635"/>
    <d v="2013-01-01T00:00:00"/>
    <d v="2016-06-30T00:00:00"/>
  </r>
  <r>
    <s v="11"/>
    <s v="11"/>
    <x v="20"/>
    <x v="8"/>
    <x v="8"/>
    <m/>
    <m/>
    <m/>
    <m/>
    <m/>
  </r>
  <r>
    <s v="11"/>
    <s v="11"/>
    <x v="20"/>
    <x v="8"/>
    <x v="8"/>
    <m/>
    <m/>
    <m/>
    <m/>
    <m/>
  </r>
  <r>
    <s v="11I-DEA Grant136-IDEA-15"/>
    <s v="11"/>
    <x v="21"/>
    <x v="12"/>
    <x v="209"/>
    <m/>
    <n v="95435"/>
    <n v="95435"/>
    <d v="2014-07-01T00:00:00"/>
    <d v="2016-06-30T00:00:00"/>
  </r>
  <r>
    <s v="11"/>
    <s v="11"/>
    <x v="21"/>
    <x v="8"/>
    <x v="8"/>
    <m/>
    <m/>
    <m/>
    <m/>
    <m/>
  </r>
  <r>
    <s v="27ABE Special Projects Grant127-ASP-15RA"/>
    <s v="27"/>
    <x v="22"/>
    <x v="21"/>
    <x v="210"/>
    <m/>
    <n v="10000"/>
    <n v="10000"/>
    <d v="2015-02-26T00:00:00"/>
    <d v="2015-12-31T00:00:00"/>
  </r>
  <r>
    <s v="27Basic Food Employment and Training Grant127-BFET-15"/>
    <s v="27"/>
    <x v="22"/>
    <x v="0"/>
    <x v="211"/>
    <m/>
    <n v="263720"/>
    <n v="263720"/>
    <d v="2014-10-01T00:00:00"/>
    <d v="2015-09-30T00:00:00"/>
  </r>
  <r>
    <s v="27BEdA Leadership Block Grant127-BLBG-16"/>
    <s v="27"/>
    <x v="22"/>
    <x v="1"/>
    <x v="212"/>
    <m/>
    <n v="6076"/>
    <n v="6076"/>
    <d v="2015-07-01T00:00:00"/>
    <d v="2016-06-30T00:00:00"/>
  </r>
  <r>
    <s v="27BEdA Master Grant127-BEDA-16"/>
    <s v="27"/>
    <x v="22"/>
    <x v="2"/>
    <x v="213"/>
    <m/>
    <n v="338564"/>
    <n v="338564"/>
    <d v="2015-07-01T00:00:00"/>
    <d v="2016-06-30T00:00:00"/>
  </r>
  <r>
    <s v="27BEdA Program – EL Civics Grant Budget127-ELC-16"/>
    <s v="27"/>
    <x v="22"/>
    <x v="9"/>
    <x v="214"/>
    <m/>
    <n v="71148"/>
    <n v="71148"/>
    <d v="2015-07-01T00:00:00"/>
    <d v="2016-06-30T00:00:00"/>
  </r>
  <r>
    <s v="27Early Achievers Opportunity Grant Application127-EAOG-16"/>
    <s v="27"/>
    <x v="22"/>
    <x v="4"/>
    <x v="215"/>
    <m/>
    <n v="15100"/>
    <n v="15100"/>
    <d v="2015-07-01T00:00:00"/>
    <d v="2016-06-30T00:00:00"/>
  </r>
  <r>
    <s v="27Faculty Learning Communities Initiative Grant127-FLCE-16"/>
    <s v="27"/>
    <x v="22"/>
    <x v="17"/>
    <x v="216"/>
    <m/>
    <n v="5000"/>
    <n v="5000"/>
    <d v="2015-07-01T00:00:00"/>
    <d v="2016-06-30T00:00:00"/>
  </r>
  <r>
    <s v="27I-DEA Grant127-IDEA-13"/>
    <s v="27"/>
    <x v="22"/>
    <x v="12"/>
    <x v="217"/>
    <m/>
    <n v="144635"/>
    <n v="144635"/>
    <d v="2013-01-01T00:00:00"/>
    <d v="2016-06-30T00:00:00"/>
  </r>
  <r>
    <s v="27Perkins Leadership Block Grant127-PLB-16"/>
    <s v="27"/>
    <x v="22"/>
    <x v="5"/>
    <x v="218"/>
    <m/>
    <n v="16000"/>
    <n v="16000"/>
    <d v="2015-07-01T00:00:00"/>
    <d v="2016-06-30T00:00:00"/>
  </r>
  <r>
    <s v="27Perkins Plan127-PRK-16"/>
    <s v="27"/>
    <x v="22"/>
    <x v="6"/>
    <x v="219"/>
    <m/>
    <n v="243055"/>
    <n v="243055"/>
    <d v="2015-07-01T00:00:00"/>
    <d v="2016-06-30T00:00:00"/>
  </r>
  <r>
    <s v="27WorkFirst Delivery Agreement127-WFDA-16"/>
    <s v="27"/>
    <x v="22"/>
    <x v="7"/>
    <x v="220"/>
    <m/>
    <n v="365228"/>
    <n v="365228"/>
    <d v="2015-07-01T00:00:00"/>
    <d v="2016-06-30T00:00:00"/>
  </r>
  <r>
    <s v="27WorkFirst Delivery Agreement127-WFDA-16"/>
    <s v="27"/>
    <x v="22"/>
    <x v="8"/>
    <x v="8"/>
    <m/>
    <m/>
    <m/>
    <m/>
    <m/>
  </r>
  <r>
    <s v="6Basic Food Employment and Training Grant131-BFET-15"/>
    <s v="6"/>
    <x v="23"/>
    <x v="0"/>
    <x v="221"/>
    <m/>
    <n v="470460"/>
    <n v="470460"/>
    <d v="2014-10-01T00:00:00"/>
    <d v="2015-09-30T00:00:00"/>
  </r>
  <r>
    <s v="6BEdA Leadership Block Grant131-BLBG-16"/>
    <s v="6"/>
    <x v="23"/>
    <x v="1"/>
    <x v="222"/>
    <m/>
    <n v="6076"/>
    <n v="6076"/>
    <d v="2015-07-01T00:00:00"/>
    <d v="2016-06-30T00:00:00"/>
  </r>
  <r>
    <s v="6BEdA Master Grant131-BEDA-16"/>
    <s v="6"/>
    <x v="23"/>
    <x v="2"/>
    <x v="223"/>
    <m/>
    <n v="247953"/>
    <n v="247953"/>
    <d v="2015-07-01T00:00:00"/>
    <d v="2016-06-30T00:00:00"/>
  </r>
  <r>
    <s v="6BEdA Program – EL Civics Grant Budget131-ELC-16"/>
    <s v="6"/>
    <x v="23"/>
    <x v="9"/>
    <x v="224"/>
    <m/>
    <n v="59009"/>
    <n v="59009"/>
    <d v="2015-07-01T00:00:00"/>
    <d v="2016-06-30T00:00:00"/>
  </r>
  <r>
    <s v="6I-DEA Grant131-IDEA-13"/>
    <s v="6"/>
    <x v="23"/>
    <x v="12"/>
    <x v="225"/>
    <m/>
    <n v="149635"/>
    <n v="149635"/>
    <d v="2013-01-01T00:00:00"/>
    <d v="2016-06-30T00:00:00"/>
  </r>
  <r>
    <s v="6Perkins Plan131-PRK-16"/>
    <s v="6"/>
    <x v="23"/>
    <x v="6"/>
    <x v="226"/>
    <m/>
    <n v="219476"/>
    <n v="219476"/>
    <d v="2015-07-01T00:00:00"/>
    <d v="2016-06-30T00:00:00"/>
  </r>
  <r>
    <s v="6WorkFirst Delivery Agreement131-WFDA-16"/>
    <s v="6"/>
    <x v="23"/>
    <x v="7"/>
    <x v="227"/>
    <m/>
    <n v="195854"/>
    <n v="195854"/>
    <d v="2015-07-01T00:00:00"/>
    <d v="2016-06-30T00:00:00"/>
  </r>
  <r>
    <s v="6"/>
    <s v="6"/>
    <x v="23"/>
    <x v="8"/>
    <x v="8"/>
    <m/>
    <m/>
    <m/>
    <m/>
    <m/>
  </r>
  <r>
    <s v="6"/>
    <s v="6"/>
    <x v="24"/>
    <x v="8"/>
    <x v="8"/>
    <m/>
    <m/>
    <m/>
    <m/>
    <m/>
  </r>
  <r>
    <s v="6"/>
    <s v="6"/>
    <x v="24"/>
    <x v="8"/>
    <x v="8"/>
    <m/>
    <m/>
    <m/>
    <m/>
    <m/>
  </r>
  <r>
    <s v="6"/>
    <s v="6"/>
    <x v="24"/>
    <x v="8"/>
    <x v="8"/>
    <m/>
    <m/>
    <m/>
    <m/>
    <m/>
  </r>
  <r>
    <s v="6Basic Food Employment and Training Grant134-BFET-15"/>
    <s v="6"/>
    <x v="25"/>
    <x v="0"/>
    <x v="228"/>
    <m/>
    <n v="246011"/>
    <n v="246011"/>
    <d v="2014-10-01T00:00:00"/>
    <d v="2015-09-30T00:00:00"/>
  </r>
  <r>
    <s v="6BEdA Leadership Block Grant134-BLBG-16"/>
    <s v="6"/>
    <x v="25"/>
    <x v="1"/>
    <x v="229"/>
    <m/>
    <n v="6076"/>
    <n v="6076"/>
    <d v="2015-07-01T00:00:00"/>
    <d v="2016-06-30T00:00:00"/>
  </r>
  <r>
    <s v="6BEdA Master Grant134-BEDA-16"/>
    <s v="6"/>
    <x v="25"/>
    <x v="2"/>
    <x v="230"/>
    <m/>
    <n v="95282"/>
    <n v="95282"/>
    <d v="2015-07-01T00:00:00"/>
    <d v="2016-06-30T00:00:00"/>
  </r>
  <r>
    <s v="6Perkins Plan134-PRK-16"/>
    <s v="6"/>
    <x v="25"/>
    <x v="6"/>
    <x v="231"/>
    <m/>
    <n v="66670"/>
    <n v="66670"/>
    <d v="2015-07-01T00:00:00"/>
    <d v="2016-06-30T00:00:00"/>
  </r>
  <r>
    <s v="6WorkFirst Delivery Agreement134-WFDA-16"/>
    <s v="6"/>
    <x v="25"/>
    <x v="7"/>
    <x v="232"/>
    <m/>
    <n v="204712"/>
    <n v="204712"/>
    <d v="2015-07-01T00:00:00"/>
    <d v="2016-06-30T00:00:00"/>
  </r>
  <r>
    <s v="6"/>
    <s v="6"/>
    <x v="25"/>
    <x v="8"/>
    <x v="8"/>
    <m/>
    <m/>
    <m/>
    <m/>
    <m/>
  </r>
  <r>
    <s v="7Basic Food Employment and Training Grant107-BFET-15"/>
    <s v="7"/>
    <x v="26"/>
    <x v="0"/>
    <x v="233"/>
    <m/>
    <n v="392391"/>
    <n v="392391"/>
    <d v="2014-10-01T00:00:00"/>
    <d v="2015-09-30T00:00:00"/>
  </r>
  <r>
    <s v="7BEdA Leadership Block Grant107-BLBG-16"/>
    <s v="7"/>
    <x v="26"/>
    <x v="1"/>
    <x v="234"/>
    <m/>
    <n v="5563"/>
    <n v="5563"/>
    <d v="2015-07-01T00:00:00"/>
    <d v="2016-06-30T00:00:00"/>
  </r>
  <r>
    <s v="7BEdA Master Grant107-BEDA-16"/>
    <s v="7"/>
    <x v="26"/>
    <x v="2"/>
    <x v="235"/>
    <m/>
    <n v="192126"/>
    <n v="192126"/>
    <d v="2015-07-01T00:00:00"/>
    <d v="2016-06-30T00:00:00"/>
  </r>
  <r>
    <s v="7BEdA Program – EL Civics Grant Budget107-ELC-16"/>
    <s v="7"/>
    <x v="26"/>
    <x v="9"/>
    <x v="236"/>
    <m/>
    <n v="42231"/>
    <n v="42231"/>
    <d v="2015-07-01T00:00:00"/>
    <d v="2016-06-30T00:00:00"/>
  </r>
  <r>
    <s v="7Misc. General Grant107-B2C-15"/>
    <s v="7"/>
    <x v="26"/>
    <x v="14"/>
    <x v="237"/>
    <m/>
    <n v="27000"/>
    <n v="27000"/>
    <d v="2014-12-04T00:00:00"/>
    <d v="2015-08-31T00:00:00"/>
  </r>
  <r>
    <s v="7Perkins Plan107-PRK-16"/>
    <s v="7"/>
    <x v="26"/>
    <x v="6"/>
    <x v="238"/>
    <m/>
    <n v="213877"/>
    <n v="213877"/>
    <d v="2015-07-01T00:00:00"/>
    <d v="2016-06-30T00:00:00"/>
  </r>
  <r>
    <s v="7Phase III I-DEA Grant107-IDEA-16"/>
    <s v="7"/>
    <x v="26"/>
    <x v="10"/>
    <x v="239"/>
    <m/>
    <n v="40285"/>
    <n v="40285"/>
    <d v="2015-07-01T00:00:00"/>
    <d v="2016-06-30T00:00:00"/>
  </r>
  <r>
    <s v="7WorkFirst Delivery Agreement107-WFDA-16"/>
    <s v="7"/>
    <x v="26"/>
    <x v="7"/>
    <x v="240"/>
    <m/>
    <n v="250355"/>
    <n v="250355"/>
    <d v="2015-07-01T00:00:00"/>
    <d v="2016-06-30T00:00:00"/>
  </r>
  <r>
    <s v="7"/>
    <s v="7"/>
    <x v="26"/>
    <x v="8"/>
    <x v="8"/>
    <m/>
    <m/>
    <m/>
    <m/>
    <m/>
  </r>
  <r>
    <s v="4Basic Food Employment and Training Grant104-BFET-15"/>
    <s v="4"/>
    <x v="27"/>
    <x v="0"/>
    <x v="241"/>
    <m/>
    <n v="370369"/>
    <n v="370369"/>
    <d v="2014-10-01T00:00:00"/>
    <d v="2015-09-30T00:00:00"/>
  </r>
  <r>
    <s v="4BEdA Leadership Block Grant104-BLBG-16"/>
    <s v="4"/>
    <x v="27"/>
    <x v="1"/>
    <x v="242"/>
    <m/>
    <n v="6076"/>
    <n v="6076"/>
    <d v="2015-07-01T00:00:00"/>
    <d v="2016-06-30T00:00:00"/>
  </r>
  <r>
    <s v="4BEdA Master Grant104-BEDA-16"/>
    <s v="4"/>
    <x v="27"/>
    <x v="2"/>
    <x v="243"/>
    <m/>
    <n v="146197"/>
    <n v="146197"/>
    <d v="2015-07-01T00:00:00"/>
    <d v="2016-06-30T00:00:00"/>
  </r>
  <r>
    <s v="4BEdA Program – EL Civics Grant Budget104-ELC-16"/>
    <s v="4"/>
    <x v="27"/>
    <x v="9"/>
    <x v="244"/>
    <m/>
    <n v="28943"/>
    <n v="28943"/>
    <d v="2015-07-01T00:00:00"/>
    <d v="2016-06-30T00:00:00"/>
  </r>
  <r>
    <s v="4BEdA State Plan Innovations Grant104-BSPI-15"/>
    <s v="4"/>
    <x v="27"/>
    <x v="3"/>
    <x v="245"/>
    <m/>
    <n v="60000"/>
    <n v="60000"/>
    <d v="2014-11-01T00:00:00"/>
    <d v="2016-06-30T00:00:00"/>
  </r>
  <r>
    <s v="4Early Achievers Opportunity Grant Application104-EAOG-16"/>
    <s v="4"/>
    <x v="27"/>
    <x v="4"/>
    <x v="246"/>
    <m/>
    <n v="15100"/>
    <n v="15100"/>
    <d v="2015-07-01T00:00:00"/>
    <d v="2016-06-30T00:00:00"/>
  </r>
  <r>
    <s v="4Perkins Innovation Project104-PIP-16"/>
    <s v="4"/>
    <x v="27"/>
    <x v="16"/>
    <x v="247"/>
    <m/>
    <n v="15000"/>
    <n v="15000"/>
    <d v="2015-07-01T00:00:00"/>
    <d v="2016-06-30T00:00:00"/>
  </r>
  <r>
    <s v="4Perkins Leadership Block Grant104-PLB-16"/>
    <s v="4"/>
    <x v="27"/>
    <x v="5"/>
    <x v="248"/>
    <m/>
    <n v="16000"/>
    <n v="16000"/>
    <d v="2015-07-01T00:00:00"/>
    <d v="2016-06-30T00:00:00"/>
  </r>
  <r>
    <s v="4Perkins Plan104-PRK-16"/>
    <s v="4"/>
    <x v="27"/>
    <x v="6"/>
    <x v="249"/>
    <m/>
    <n v="378342"/>
    <n v="378342"/>
    <d v="2015-07-01T00:00:00"/>
    <d v="2016-06-30T00:00:00"/>
  </r>
  <r>
    <s v="4Phase III I-DEA Grant104-IDEA-16"/>
    <s v="4"/>
    <x v="27"/>
    <x v="10"/>
    <x v="250"/>
    <m/>
    <n v="51235"/>
    <n v="51235"/>
    <d v="2015-07-01T00:00:00"/>
    <d v="2016-06-30T00:00:00"/>
  </r>
  <r>
    <s v="4WorkFirst Delivery Agreement104-WFDA-16"/>
    <s v="4"/>
    <x v="27"/>
    <x v="7"/>
    <x v="251"/>
    <m/>
    <n v="387019"/>
    <n v="387019"/>
    <d v="2015-07-01T00:00:00"/>
    <d v="2016-06-30T00:00:00"/>
  </r>
  <r>
    <s v="4"/>
    <s v="4"/>
    <x v="27"/>
    <x v="8"/>
    <x v="8"/>
    <m/>
    <m/>
    <m/>
    <m/>
    <m/>
  </r>
  <r>
    <s v="24Basic Food Employment and Training Grant124-BFET-15"/>
    <s v="24"/>
    <x v="28"/>
    <x v="0"/>
    <x v="252"/>
    <m/>
    <n v="159756"/>
    <n v="159756"/>
    <d v="2014-10-01T00:00:00"/>
    <d v="2015-09-30T00:00:00"/>
  </r>
  <r>
    <s v="24BEdA Leadership Block Grant124-BLBG-16"/>
    <s v="24"/>
    <x v="28"/>
    <x v="1"/>
    <x v="253"/>
    <m/>
    <n v="6076"/>
    <n v="6076"/>
    <d v="2015-07-01T00:00:00"/>
    <d v="2016-06-30T00:00:00"/>
  </r>
  <r>
    <s v="24BEdA Master Grant124-BEDA-16"/>
    <s v="24"/>
    <x v="28"/>
    <x v="2"/>
    <x v="254"/>
    <m/>
    <n v="96835"/>
    <n v="96835"/>
    <d v="2015-07-01T00:00:00"/>
    <d v="2016-06-30T00:00:00"/>
  </r>
  <r>
    <s v="24Early Achievers Opportunity Grant Application124-EAOG-16"/>
    <s v="24"/>
    <x v="28"/>
    <x v="4"/>
    <x v="255"/>
    <m/>
    <n v="37750"/>
    <n v="37750"/>
    <d v="2015-07-01T00:00:00"/>
    <d v="2016-06-30T00:00:00"/>
  </r>
  <r>
    <s v="24Perkins Plan124-PRK-16"/>
    <s v="24"/>
    <x v="28"/>
    <x v="6"/>
    <x v="256"/>
    <m/>
    <n v="173885"/>
    <n v="173885"/>
    <d v="2015-07-01T00:00:00"/>
    <d v="2016-06-30T00:00:00"/>
  </r>
  <r>
    <s v="24Phase III I-DEA Grant124-IDEA-16"/>
    <s v="24"/>
    <x v="28"/>
    <x v="10"/>
    <x v="257"/>
    <m/>
    <n v="51235"/>
    <n v="51235"/>
    <d v="2015-07-01T00:00:00"/>
    <d v="2016-06-30T00:00:00"/>
  </r>
  <r>
    <s v="24WorkFirst Delivery Agreement124-WFDA-16"/>
    <s v="24"/>
    <x v="28"/>
    <x v="7"/>
    <x v="258"/>
    <m/>
    <n v="367403"/>
    <n v="367403"/>
    <d v="2015-07-01T00:00:00"/>
    <d v="2016-06-30T00:00:00"/>
  </r>
  <r>
    <s v="24"/>
    <s v="24"/>
    <x v="28"/>
    <x v="8"/>
    <x v="8"/>
    <m/>
    <m/>
    <m/>
    <m/>
    <m/>
  </r>
  <r>
    <s v="6Basic Food Employment and Training Grant133-BFET-15"/>
    <s v="6"/>
    <x v="29"/>
    <x v="0"/>
    <x v="259"/>
    <m/>
    <n v="1434702"/>
    <n v="1434702"/>
    <d v="2014-10-01T00:00:00"/>
    <d v="2015-09-30T00:00:00"/>
  </r>
  <r>
    <s v="6BEdA Leadership Block Grant133-BLBG-16"/>
    <s v="6"/>
    <x v="29"/>
    <x v="1"/>
    <x v="260"/>
    <m/>
    <n v="5563"/>
    <n v="5563"/>
    <d v="2015-07-01T00:00:00"/>
    <d v="2016-06-30T00:00:00"/>
  </r>
  <r>
    <s v="6BEdA Master Grant133-BEDA-16"/>
    <s v="6"/>
    <x v="29"/>
    <x v="2"/>
    <x v="261"/>
    <m/>
    <n v="260368"/>
    <n v="260368"/>
    <d v="2015-07-01T00:00:00"/>
    <d v="2016-06-30T00:00:00"/>
  </r>
  <r>
    <s v="6BEdA Program – EL Civics Grant Budget133-ELC-16"/>
    <s v="6"/>
    <x v="29"/>
    <x v="9"/>
    <x v="262"/>
    <m/>
    <n v="58268"/>
    <n v="58268"/>
    <d v="2015-07-01T00:00:00"/>
    <d v="2016-06-30T00:00:00"/>
  </r>
  <r>
    <s v="6Job Skills Program Grant133-JSP-16BP"/>
    <s v="6"/>
    <x v="29"/>
    <x v="13"/>
    <x v="263"/>
    <m/>
    <n v="108913"/>
    <n v="108913"/>
    <d v="2015-07-01T00:00:00"/>
    <d v="2017-06-30T00:00:00"/>
  </r>
  <r>
    <s v="6Job Skills Program Grant133-JSP-16NWH"/>
    <s v="6"/>
    <x v="29"/>
    <x v="13"/>
    <x v="264"/>
    <m/>
    <n v="28181"/>
    <n v="28181"/>
    <d v="2015-07-01T00:00:00"/>
    <d v="2017-06-30T00:00:00"/>
  </r>
  <r>
    <s v="6Perkins Plan133-PRK-16"/>
    <s v="6"/>
    <x v="29"/>
    <x v="6"/>
    <x v="265"/>
    <m/>
    <n v="190202"/>
    <n v="190202"/>
    <d v="2015-07-01T00:00:00"/>
    <d v="2016-06-30T00:00:00"/>
  </r>
  <r>
    <s v="6Phase III I-DEA Grant133-IDEA-16"/>
    <s v="6"/>
    <x v="29"/>
    <x v="10"/>
    <x v="266"/>
    <m/>
    <n v="51235"/>
    <n v="51235"/>
    <d v="2015-07-01T00:00:00"/>
    <d v="2016-06-30T00:00:00"/>
  </r>
  <r>
    <s v="6WorkFirst Delivery Agreement133-WFDA-16"/>
    <s v="6"/>
    <x v="29"/>
    <x v="7"/>
    <x v="267"/>
    <m/>
    <n v="297484"/>
    <n v="297484"/>
    <d v="2015-07-01T00:00:00"/>
    <d v="2016-06-30T00:00:00"/>
  </r>
  <r>
    <s v="6"/>
    <s v="6"/>
    <x v="29"/>
    <x v="8"/>
    <x v="8"/>
    <m/>
    <m/>
    <m/>
    <m/>
    <m/>
  </r>
  <r>
    <s v="17"/>
    <s v="17"/>
    <x v="30"/>
    <x v="8"/>
    <x v="8"/>
    <m/>
    <m/>
    <m/>
    <m/>
    <m/>
  </r>
  <r>
    <s v="17"/>
    <s v="17"/>
    <x v="30"/>
    <x v="8"/>
    <x v="8"/>
    <m/>
    <m/>
    <m/>
    <m/>
    <m/>
  </r>
  <r>
    <s v="17"/>
    <s v="17"/>
    <x v="30"/>
    <x v="8"/>
    <x v="8"/>
    <m/>
    <m/>
    <m/>
    <m/>
    <m/>
  </r>
  <r>
    <s v="17Basic Food Employment and Training Grant117-BFET-15"/>
    <s v="17"/>
    <x v="31"/>
    <x v="0"/>
    <x v="268"/>
    <m/>
    <n v="584887"/>
    <n v="584887"/>
    <d v="2014-10-01T00:00:00"/>
    <d v="2015-09-30T00:00:00"/>
  </r>
  <r>
    <s v="17BEdA Leadership Block Grant117-BLBG-16"/>
    <s v="17"/>
    <x v="31"/>
    <x v="1"/>
    <x v="269"/>
    <m/>
    <n v="9076"/>
    <n v="9076"/>
    <d v="2015-07-01T00:00:00"/>
    <d v="2016-06-30T00:00:00"/>
  </r>
  <r>
    <s v="17BEdA Master Grant117-BEDA-16"/>
    <s v="17"/>
    <x v="31"/>
    <x v="2"/>
    <x v="270"/>
    <m/>
    <n v="501991"/>
    <n v="501991"/>
    <d v="2015-07-01T00:00:00"/>
    <d v="2016-06-30T00:00:00"/>
  </r>
  <r>
    <s v="17BEdA Program – EL Civics Grant Budget117-ELC-16"/>
    <s v="17"/>
    <x v="31"/>
    <x v="9"/>
    <x v="271"/>
    <m/>
    <n v="103550"/>
    <n v="103550"/>
    <d v="2015-07-01T00:00:00"/>
    <d v="2016-06-30T00:00:00"/>
  </r>
  <r>
    <s v="17Correctional Education Grant117-CE-16"/>
    <s v="17"/>
    <x v="31"/>
    <x v="15"/>
    <x v="272"/>
    <m/>
    <n v="1779716"/>
    <n v="1779716"/>
    <d v="2015-07-01T00:00:00"/>
    <d v="2016-06-30T00:00:00"/>
  </r>
  <r>
    <s v="17I-DEA Grant117-IDEA-13"/>
    <s v="17"/>
    <x v="31"/>
    <x v="12"/>
    <x v="273"/>
    <m/>
    <n v="205870"/>
    <n v="205870"/>
    <d v="2013-01-01T00:00:00"/>
    <d v="2016-06-30T00:00:00"/>
  </r>
  <r>
    <s v="17Misc. General Grant117-NGCC-15"/>
    <s v="17"/>
    <x v="31"/>
    <x v="14"/>
    <x v="274"/>
    <m/>
    <n v="15000"/>
    <n v="15000"/>
    <d v="2015-02-02T00:00:00"/>
    <d v="2016-12-31T00:00:00"/>
  </r>
  <r>
    <s v="17Misc. General Grant117-NGST-15"/>
    <s v="17"/>
    <x v="31"/>
    <x v="14"/>
    <x v="275"/>
    <m/>
    <n v="10000"/>
    <n v="10000"/>
    <d v="2015-02-02T00:00:00"/>
    <d v="2016-06-30T00:00:00"/>
  </r>
  <r>
    <s v="17Misc. General Grant117-WAOL-16"/>
    <s v="17"/>
    <x v="31"/>
    <x v="14"/>
    <x v="276"/>
    <m/>
    <n v="24000"/>
    <n v="24000"/>
    <d v="2015-07-01T00:00:00"/>
    <d v="2016-06-30T00:00:00"/>
  </r>
  <r>
    <s v="17Perkins Non-Traditional Employment &amp; Training Gran117-PNT-16"/>
    <s v="17"/>
    <x v="31"/>
    <x v="19"/>
    <x v="277"/>
    <m/>
    <n v="5000"/>
    <n v="5000"/>
    <d v="2015-07-01T00:00:00"/>
    <d v="2016-06-30T00:00:00"/>
  </r>
  <r>
    <s v="17Perkins Plan117-PRK-16"/>
    <s v="17"/>
    <x v="31"/>
    <x v="6"/>
    <x v="278"/>
    <m/>
    <n v="991379"/>
    <n v="991379"/>
    <d v="2015-07-01T00:00:00"/>
    <d v="2016-06-30T00:00:00"/>
  </r>
  <r>
    <s v="17WorkFirst Delivery Agreement117-WFDA-16"/>
    <s v="17"/>
    <x v="31"/>
    <x v="7"/>
    <x v="279"/>
    <m/>
    <n v="1532619"/>
    <n v="1532619"/>
    <d v="2015-07-01T00:00:00"/>
    <d v="2016-06-30T00:00:00"/>
  </r>
  <r>
    <s v="17"/>
    <s v="17"/>
    <x v="31"/>
    <x v="8"/>
    <x v="8"/>
    <m/>
    <m/>
    <m/>
    <m/>
    <m/>
  </r>
  <r>
    <s v="17Perkins Leadership Block Grant138-PLB-16"/>
    <s v="17"/>
    <x v="32"/>
    <x v="5"/>
    <x v="280"/>
    <m/>
    <n v="16000"/>
    <n v="16000"/>
    <d v="2015-07-01T00:00:00"/>
    <d v="2016-06-30T00:00:00"/>
  </r>
  <r>
    <s v="17"/>
    <s v="17"/>
    <x v="32"/>
    <x v="8"/>
    <x v="8"/>
    <m/>
    <m/>
    <m/>
    <m/>
    <m/>
  </r>
  <r>
    <s v="17"/>
    <s v="17"/>
    <x v="32"/>
    <x v="8"/>
    <x v="8"/>
    <m/>
    <m/>
    <m/>
    <m/>
    <m/>
  </r>
  <r>
    <s v="17"/>
    <s v="17"/>
    <x v="33"/>
    <x v="8"/>
    <x v="8"/>
    <m/>
    <m/>
    <m/>
    <m/>
    <m/>
  </r>
  <r>
    <s v="17"/>
    <s v="17"/>
    <x v="33"/>
    <x v="8"/>
    <x v="8"/>
    <m/>
    <m/>
    <m/>
    <m/>
    <m/>
  </r>
  <r>
    <s v="17"/>
    <s v="17"/>
    <x v="33"/>
    <x v="8"/>
    <x v="8"/>
    <m/>
    <m/>
    <m/>
    <m/>
    <m/>
  </r>
  <r>
    <s v="22Basic Food Employment and Training Grant122-BFET-15"/>
    <s v="22"/>
    <x v="34"/>
    <x v="0"/>
    <x v="281"/>
    <m/>
    <n v="262203"/>
    <n v="262203"/>
    <d v="2014-10-01T00:00:00"/>
    <d v="2015-09-30T00:00:00"/>
  </r>
  <r>
    <s v="22BEdA Master Grant122-BEDA-16"/>
    <s v="22"/>
    <x v="34"/>
    <x v="2"/>
    <x v="282"/>
    <m/>
    <n v="143037"/>
    <n v="143037"/>
    <d v="2015-07-01T00:00:00"/>
    <d v="2016-06-30T00:00:00"/>
  </r>
  <r>
    <s v="22BEdA Program – EL Civics Grant Budget122-ELC-16"/>
    <s v="22"/>
    <x v="34"/>
    <x v="9"/>
    <x v="283"/>
    <m/>
    <n v="36714"/>
    <n v="36714"/>
    <d v="2015-07-01T00:00:00"/>
    <d v="2016-06-30T00:00:00"/>
  </r>
  <r>
    <s v="22BEdA State Plan Innovations Grant122-BSPI-15"/>
    <s v="22"/>
    <x v="34"/>
    <x v="3"/>
    <x v="284"/>
    <m/>
    <n v="59891"/>
    <n v="59891"/>
    <d v="2014-11-01T00:00:00"/>
    <d v="2016-06-30T00:00:00"/>
  </r>
  <r>
    <s v="22Correctional Education Grant122-CE-16"/>
    <s v="22"/>
    <x v="34"/>
    <x v="15"/>
    <x v="285"/>
    <m/>
    <n v="1375460"/>
    <n v="1375460"/>
    <d v="2015-07-01T00:00:00"/>
    <d v="2016-06-30T00:00:00"/>
  </r>
  <r>
    <s v="22Faculty Learning Communities Initiative Grant122-FLCE-16"/>
    <s v="22"/>
    <x v="34"/>
    <x v="17"/>
    <x v="286"/>
    <m/>
    <n v="5000"/>
    <n v="5000"/>
    <d v="2015-07-01T00:00:00"/>
    <d v="2016-06-30T00:00:00"/>
  </r>
  <r>
    <s v="22I-DEA Grant122-IDEA-13"/>
    <s v="22"/>
    <x v="34"/>
    <x v="12"/>
    <x v="287"/>
    <m/>
    <n v="154635"/>
    <n v="154635"/>
    <d v="2013-01-01T00:00:00"/>
    <d v="2016-06-30T00:00:00"/>
  </r>
  <r>
    <s v="22Perkins Leadership Block Grant122-PLB-16"/>
    <s v="22"/>
    <x v="34"/>
    <x v="5"/>
    <x v="288"/>
    <m/>
    <n v="16000"/>
    <n v="16000"/>
    <d v="2015-07-01T00:00:00"/>
    <d v="2016-06-30T00:00:00"/>
  </r>
  <r>
    <s v="22Perkins Plan122-PRK-16"/>
    <s v="22"/>
    <x v="34"/>
    <x v="6"/>
    <x v="289"/>
    <m/>
    <n v="390961"/>
    <n v="390961"/>
    <d v="2015-07-01T00:00:00"/>
    <d v="2016-06-30T00:00:00"/>
  </r>
  <r>
    <s v="22Transcript Grid for Placement Project122-TG-15"/>
    <s v="22"/>
    <x v="34"/>
    <x v="11"/>
    <x v="290"/>
    <m/>
    <n v="14500"/>
    <n v="14500"/>
    <d v="2015-01-01T00:00:00"/>
    <d v="2015-08-31T00:00:00"/>
  </r>
  <r>
    <s v="22WorkFirst Delivery Agreement122-WFDA-16"/>
    <s v="22"/>
    <x v="34"/>
    <x v="7"/>
    <x v="291"/>
    <m/>
    <n v="625508"/>
    <n v="625508"/>
    <d v="2015-07-01T00:00:00"/>
    <d v="2016-06-30T00:00:00"/>
  </r>
  <r>
    <s v="22"/>
    <s v="22"/>
    <x v="34"/>
    <x v="8"/>
    <x v="8"/>
    <m/>
    <m/>
    <m/>
    <m/>
    <m/>
  </r>
  <r>
    <s v="20Basic Food Employment and Training Grant120-BFET-15"/>
    <s v="20"/>
    <x v="35"/>
    <x v="0"/>
    <x v="292"/>
    <m/>
    <n v="229837"/>
    <n v="229837"/>
    <d v="2014-10-01T00:00:00"/>
    <d v="2015-09-30T00:00:00"/>
  </r>
  <r>
    <s v="20BEdA Leadership Block Grant120-BLBG-16"/>
    <s v="20"/>
    <x v="35"/>
    <x v="1"/>
    <x v="293"/>
    <m/>
    <n v="5563"/>
    <n v="5563"/>
    <d v="2015-07-01T00:00:00"/>
    <d v="2016-06-30T00:00:00"/>
  </r>
  <r>
    <s v="20BEdA Master Grant120-BEDA-16"/>
    <s v="20"/>
    <x v="35"/>
    <x v="2"/>
    <x v="294"/>
    <m/>
    <n v="113971"/>
    <n v="113971"/>
    <d v="2015-07-01T00:00:00"/>
    <d v="2016-06-30T00:00:00"/>
  </r>
  <r>
    <s v="20BEdA Program – EL Civics Grant Budget120-ELC-16"/>
    <s v="20"/>
    <x v="35"/>
    <x v="9"/>
    <x v="295"/>
    <m/>
    <n v="23328"/>
    <n v="23328"/>
    <d v="2015-07-01T00:00:00"/>
    <d v="2016-06-30T00:00:00"/>
  </r>
  <r>
    <s v="20Correctional Education Grant120-CE-16"/>
    <s v="20"/>
    <x v="35"/>
    <x v="15"/>
    <x v="296"/>
    <m/>
    <n v="6202351"/>
    <n v="6202351"/>
    <d v="2015-07-01T00:00:00"/>
    <d v="2016-06-30T00:00:00"/>
  </r>
  <r>
    <s v="20I-DEA Grant120-IDEA-13"/>
    <s v="20"/>
    <x v="35"/>
    <x v="12"/>
    <x v="297"/>
    <m/>
    <n v="154635"/>
    <n v="154635"/>
    <d v="2013-01-01T00:00:00"/>
    <d v="2016-06-30T00:00:00"/>
  </r>
  <r>
    <s v="20Misc. General Grant120-WFAD-16"/>
    <s v="20"/>
    <x v="35"/>
    <x v="14"/>
    <x v="298"/>
    <m/>
    <n v="1000"/>
    <n v="1000"/>
    <d v="2015-07-01T00:00:00"/>
    <d v="2015-09-30T00:00:00"/>
  </r>
  <r>
    <s v="20Perkins Leadership Block Grant120-PLB-16"/>
    <s v="20"/>
    <x v="35"/>
    <x v="5"/>
    <x v="299"/>
    <m/>
    <n v="16000"/>
    <n v="16000"/>
    <d v="2015-07-01T00:00:00"/>
    <d v="2016-06-30T00:00:00"/>
  </r>
  <r>
    <s v="20Perkins Plan120-PRK-16"/>
    <s v="20"/>
    <x v="35"/>
    <x v="6"/>
    <x v="300"/>
    <m/>
    <n v="396718"/>
    <n v="396718"/>
    <d v="2015-07-01T00:00:00"/>
    <d v="2016-06-30T00:00:00"/>
  </r>
  <r>
    <s v="20WorkFirst Delivery Agreement120-WFDA-16"/>
    <s v="20"/>
    <x v="35"/>
    <x v="7"/>
    <x v="301"/>
    <m/>
    <n v="245409"/>
    <n v="245409"/>
    <d v="2015-07-01T00:00:00"/>
    <d v="2016-06-30T00:00:00"/>
  </r>
  <r>
    <s v="20"/>
    <s v="20"/>
    <x v="35"/>
    <x v="8"/>
    <x v="8"/>
    <m/>
    <m/>
    <m/>
    <m/>
    <m/>
  </r>
  <r>
    <s v="15Basic Food Employment and Training Grant115-BFET-15"/>
    <s v="15"/>
    <x v="36"/>
    <x v="0"/>
    <x v="302"/>
    <m/>
    <n v="113471"/>
    <n v="113471"/>
    <d v="2014-10-01T00:00:00"/>
    <d v="2015-09-30T00:00:00"/>
  </r>
  <r>
    <s v="15BEdA Leadership Block Grant115-BLBG-16"/>
    <s v="15"/>
    <x v="36"/>
    <x v="1"/>
    <x v="303"/>
    <m/>
    <n v="6076"/>
    <n v="6076"/>
    <d v="2015-07-01T00:00:00"/>
    <d v="2016-06-30T00:00:00"/>
  </r>
  <r>
    <s v="15BEdA Master Grant115-BEDA-16"/>
    <s v="15"/>
    <x v="36"/>
    <x v="2"/>
    <x v="304"/>
    <m/>
    <n v="85381"/>
    <n v="85381"/>
    <d v="2015-07-01T00:00:00"/>
    <d v="2016-06-30T00:00:00"/>
  </r>
  <r>
    <s v="15BEdA Program – EL Civics Grant Budget115-ELC-16"/>
    <s v="15"/>
    <x v="36"/>
    <x v="9"/>
    <x v="305"/>
    <m/>
    <n v="18037"/>
    <n v="18037"/>
    <d v="2015-07-01T00:00:00"/>
    <d v="2016-06-30T00:00:00"/>
  </r>
  <r>
    <s v="15I-DEA Grant115-IDEA-15"/>
    <s v="15"/>
    <x v="36"/>
    <x v="12"/>
    <x v="306"/>
    <m/>
    <n v="95435"/>
    <n v="95435"/>
    <d v="2014-07-01T00:00:00"/>
    <d v="2016-06-30T00:00:00"/>
  </r>
  <r>
    <s v="15Perkins Non-Traditional Employment &amp; Training Gran115-PNT-16"/>
    <s v="15"/>
    <x v="36"/>
    <x v="19"/>
    <x v="307"/>
    <m/>
    <n v="1915"/>
    <n v="1915"/>
    <d v="2015-07-01T00:00:00"/>
    <d v="2016-06-30T00:00:00"/>
  </r>
  <r>
    <s v="15Perkins Plan115-PRK-16"/>
    <s v="15"/>
    <x v="36"/>
    <x v="6"/>
    <x v="308"/>
    <m/>
    <n v="241877"/>
    <n v="241877"/>
    <d v="2015-07-01T00:00:00"/>
    <d v="2016-06-30T00:00:00"/>
  </r>
  <r>
    <s v="15WorkFirst Delivery Agreement115-WFDA-16"/>
    <s v="15"/>
    <x v="36"/>
    <x v="7"/>
    <x v="309"/>
    <m/>
    <n v="200238"/>
    <n v="200238"/>
    <d v="2015-07-01T00:00:00"/>
    <d v="2016-06-30T00:00:00"/>
  </r>
  <r>
    <s v="15"/>
    <s v="15"/>
    <x v="36"/>
    <x v="8"/>
    <x v="8"/>
    <m/>
    <m/>
    <m/>
    <m/>
    <m/>
  </r>
  <r>
    <s v="21Basic Food Employment and Training Grant121-BFET-15"/>
    <s v="21"/>
    <x v="37"/>
    <x v="0"/>
    <x v="310"/>
    <m/>
    <n v="157996"/>
    <n v="157996"/>
    <d v="2014-10-01T00:00:00"/>
    <d v="2015-09-30T00:00:00"/>
  </r>
  <r>
    <s v="21BEdA Leadership Block Grant121-BLBG-16"/>
    <s v="21"/>
    <x v="37"/>
    <x v="1"/>
    <x v="311"/>
    <m/>
    <n v="5563"/>
    <n v="5563"/>
    <d v="2015-07-01T00:00:00"/>
    <d v="2016-06-30T00:00:00"/>
  </r>
  <r>
    <s v="21BEdA Master Grant121-BEDA-16"/>
    <s v="21"/>
    <x v="37"/>
    <x v="2"/>
    <x v="312"/>
    <m/>
    <n v="90901"/>
    <n v="90901"/>
    <d v="2015-07-01T00:00:00"/>
    <d v="2016-06-30T00:00:00"/>
  </r>
  <r>
    <s v="21BEdA Program – EL Civics Grant Budget121-ELC-16"/>
    <s v="21"/>
    <x v="37"/>
    <x v="9"/>
    <x v="313"/>
    <m/>
    <n v="18797"/>
    <n v="18797"/>
    <d v="2015-07-01T00:00:00"/>
    <d v="2016-06-30T00:00:00"/>
  </r>
  <r>
    <s v="21Early Achievers Opportunity Grant Application121-EAOG-16"/>
    <s v="21"/>
    <x v="37"/>
    <x v="4"/>
    <x v="314"/>
    <m/>
    <n v="30200"/>
    <n v="30200"/>
    <d v="2015-07-01T00:00:00"/>
    <d v="2016-06-30T00:00:00"/>
  </r>
  <r>
    <s v="21Faculty Learning Communities Initiative Grant121-FLCA-16FF"/>
    <s v="21"/>
    <x v="37"/>
    <x v="17"/>
    <x v="315"/>
    <m/>
    <n v="5000"/>
    <n v="5000"/>
    <d v="2015-07-01T00:00:00"/>
    <d v="2016-06-30T00:00:00"/>
  </r>
  <r>
    <s v="21Faculty Learning Communities Initiative Grant121-FLCA-16SUS"/>
    <s v="21"/>
    <x v="37"/>
    <x v="17"/>
    <x v="316"/>
    <m/>
    <n v="5000"/>
    <n v="5000"/>
    <d v="2015-07-01T00:00:00"/>
    <d v="2016-06-30T00:00:00"/>
  </r>
  <r>
    <s v="21Misc. Detailed Grant121-DEL-16"/>
    <s v="21"/>
    <x v="37"/>
    <x v="18"/>
    <x v="317"/>
    <m/>
    <n v="24000"/>
    <n v="24000"/>
    <d v="2015-07-01T00:00:00"/>
    <d v="2016-01-31T00:00:00"/>
  </r>
  <r>
    <s v="21Perkins Innovation Project121-PIP-16"/>
    <s v="21"/>
    <x v="37"/>
    <x v="16"/>
    <x v="318"/>
    <m/>
    <n v="15000"/>
    <n v="15000"/>
    <d v="2015-07-01T00:00:00"/>
    <d v="2016-06-30T00:00:00"/>
  </r>
  <r>
    <s v="21Perkins Leadership Block Grant121-PLB-16"/>
    <s v="21"/>
    <x v="37"/>
    <x v="5"/>
    <x v="319"/>
    <m/>
    <n v="16000"/>
    <n v="16000"/>
    <d v="2015-07-01T00:00:00"/>
    <d v="2016-06-30T00:00:00"/>
  </r>
  <r>
    <s v="21Perkins Non-Traditional Employment &amp; Training Gran121-PNT-16"/>
    <s v="21"/>
    <x v="37"/>
    <x v="19"/>
    <x v="320"/>
    <m/>
    <n v="5000"/>
    <n v="5000"/>
    <d v="2015-07-01T00:00:00"/>
    <d v="2016-06-30T00:00:00"/>
  </r>
  <r>
    <s v="21Perkins Plan121-PRK-16"/>
    <s v="21"/>
    <x v="37"/>
    <x v="6"/>
    <x v="321"/>
    <m/>
    <n v="186572"/>
    <n v="186572"/>
    <d v="2015-07-01T00:00:00"/>
    <d v="2016-06-30T00:00:00"/>
  </r>
  <r>
    <s v="21Phase III I-DEA Grant121-IDEA-16"/>
    <s v="21"/>
    <x v="37"/>
    <x v="10"/>
    <x v="322"/>
    <m/>
    <n v="51235"/>
    <n v="51235"/>
    <d v="2015-07-01T00:00:00"/>
    <d v="2016-06-30T00:00:00"/>
  </r>
  <r>
    <s v="21WorkFirst Delivery Agreement121-WFDA-16"/>
    <s v="21"/>
    <x v="37"/>
    <x v="7"/>
    <x v="323"/>
    <m/>
    <n v="157240"/>
    <n v="157240"/>
    <d v="2015-07-01T00:00:00"/>
    <d v="2016-06-30T00:00:00"/>
  </r>
  <r>
    <s v="21"/>
    <s v="21"/>
    <x v="37"/>
    <x v="8"/>
    <x v="8"/>
    <m/>
    <m/>
    <m/>
    <m/>
    <m/>
  </r>
  <r>
    <s v="16Basic Food Employment and Training Grant116-BFET-15"/>
    <s v="16"/>
    <x v="38"/>
    <x v="0"/>
    <x v="324"/>
    <m/>
    <n v="114617"/>
    <n v="114617"/>
    <d v="2014-10-01T00:00:00"/>
    <d v="2015-09-30T00:00:00"/>
  </r>
  <r>
    <s v="16BEdA Leadership Block Grant116-BLBG-16"/>
    <s v="16"/>
    <x v="38"/>
    <x v="1"/>
    <x v="325"/>
    <m/>
    <n v="6588"/>
    <n v="6588"/>
    <d v="2015-07-01T00:00:00"/>
    <d v="2016-06-30T00:00:00"/>
  </r>
  <r>
    <s v="16BEdA Master Grant116-BEDA-16"/>
    <s v="16"/>
    <x v="38"/>
    <x v="2"/>
    <x v="326"/>
    <m/>
    <n v="230424"/>
    <n v="230424"/>
    <d v="2015-07-01T00:00:00"/>
    <d v="2016-06-30T00:00:00"/>
  </r>
  <r>
    <s v="16BEdA Program – EL Civics Grant Budget116-ELC-16"/>
    <s v="16"/>
    <x v="38"/>
    <x v="9"/>
    <x v="327"/>
    <m/>
    <n v="44344"/>
    <n v="44344"/>
    <d v="2015-07-01T00:00:00"/>
    <d v="2016-06-30T00:00:00"/>
  </r>
  <r>
    <s v="16BEdA State Plan Innovations Grant116-BSPI-15"/>
    <s v="16"/>
    <x v="38"/>
    <x v="3"/>
    <x v="328"/>
    <m/>
    <n v="60000"/>
    <n v="60000"/>
    <d v="2014-11-01T00:00:00"/>
    <d v="2016-06-30T00:00:00"/>
  </r>
  <r>
    <s v="16Early Achievers Opportunity Grant Application116-EAOG-16"/>
    <s v="16"/>
    <x v="38"/>
    <x v="4"/>
    <x v="329"/>
    <m/>
    <n v="37750"/>
    <n v="37750"/>
    <d v="2015-07-01T00:00:00"/>
    <d v="2016-06-30T00:00:00"/>
  </r>
  <r>
    <s v="16Perkins Plan116-PRK-16"/>
    <s v="16"/>
    <x v="38"/>
    <x v="6"/>
    <x v="330"/>
    <m/>
    <n v="465955"/>
    <n v="465955"/>
    <d v="2015-07-01T00:00:00"/>
    <d v="2016-06-30T00:00:00"/>
  </r>
  <r>
    <s v="16Phase III I-DEA Grant116-IDEA-16"/>
    <s v="16"/>
    <x v="38"/>
    <x v="10"/>
    <x v="331"/>
    <m/>
    <n v="51235"/>
    <n v="51235"/>
    <d v="2015-07-01T00:00:00"/>
    <d v="2016-06-30T00:00:00"/>
  </r>
  <r>
    <s v="16WorkFirst Delivery Agreement116-WFDA-16"/>
    <s v="16"/>
    <x v="38"/>
    <x v="7"/>
    <x v="332"/>
    <m/>
    <n v="752970"/>
    <n v="752970"/>
    <d v="2015-07-01T00:00:00"/>
    <d v="2016-06-30T00:00:0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39">
  <r>
    <x v="0"/>
    <x v="0"/>
    <x v="0"/>
    <n v="0"/>
    <n v="250480"/>
    <d v="2014-10-01T00:00:00"/>
    <d v="2015-09-30T00:00:00"/>
    <d v="2015-10-31T00:00:00"/>
  </r>
  <r>
    <x v="1"/>
    <x v="1"/>
    <x v="1"/>
    <n v="0"/>
    <n v="5563"/>
    <d v="2015-07-01T00:00:00"/>
    <d v="2016-06-30T00:00:00"/>
    <d v="2016-07-14T00:00:00"/>
  </r>
  <r>
    <x v="1"/>
    <x v="2"/>
    <x v="2"/>
    <n v="0"/>
    <n v="151570"/>
    <d v="2015-07-01T00:00:00"/>
    <d v="2016-06-30T00:00:00"/>
    <d v="2016-07-14T00:00:00"/>
  </r>
  <r>
    <x v="1"/>
    <x v="3"/>
    <x v="3"/>
    <n v="0"/>
    <n v="60000"/>
    <d v="2014-11-01T00:00:00"/>
    <d v="2016-06-30T00:00:00"/>
    <d v="2016-07-14T00:00:00"/>
  </r>
  <r>
    <x v="1"/>
    <x v="4"/>
    <x v="4"/>
    <n v="0"/>
    <n v="98150"/>
    <d v="2015-07-01T00:00:00"/>
    <d v="2016-06-30T00:00:00"/>
    <d v="2016-07-14T00:00:00"/>
  </r>
  <r>
    <x v="1"/>
    <x v="5"/>
    <x v="5"/>
    <n v="0"/>
    <n v="16000"/>
    <d v="2015-07-01T00:00:00"/>
    <d v="2016-06-30T00:00:00"/>
    <d v="2016-07-14T00:00:00"/>
  </r>
  <r>
    <x v="1"/>
    <x v="6"/>
    <x v="6"/>
    <n v="0"/>
    <n v="248893"/>
    <d v="2015-07-01T00:00:00"/>
    <d v="2016-06-30T00:00:00"/>
    <d v="2016-07-14T00:00:00"/>
  </r>
  <r>
    <x v="1"/>
    <x v="7"/>
    <x v="7"/>
    <n v="0"/>
    <n v="550778"/>
    <d v="2015-07-01T00:00:00"/>
    <d v="2016-06-30T00:00:00"/>
    <d v="2016-07-14T00:00:00"/>
  </r>
  <r>
    <x v="2"/>
    <x v="0"/>
    <x v="8"/>
    <n v="0"/>
    <n v="1676699"/>
    <d v="2014-10-01T00:00:00"/>
    <d v="2015-09-30T00:00:00"/>
    <d v="2015-10-31T00:00:00"/>
  </r>
  <r>
    <x v="2"/>
    <x v="1"/>
    <x v="9"/>
    <n v="0"/>
    <n v="5563"/>
    <d v="2015-07-01T00:00:00"/>
    <d v="2016-06-30T00:00:00"/>
    <d v="2016-07-14T00:00:00"/>
  </r>
  <r>
    <x v="2"/>
    <x v="2"/>
    <x v="10"/>
    <n v="0"/>
    <n v="181995"/>
    <d v="2015-07-01T00:00:00"/>
    <d v="2016-06-30T00:00:00"/>
    <d v="2016-07-14T00:00:00"/>
  </r>
  <r>
    <x v="2"/>
    <x v="8"/>
    <x v="11"/>
    <n v="0"/>
    <n v="45819"/>
    <d v="2015-07-01T00:00:00"/>
    <d v="2016-06-30T00:00:00"/>
    <d v="2016-07-14T00:00:00"/>
  </r>
  <r>
    <x v="2"/>
    <x v="4"/>
    <x v="12"/>
    <n v="0"/>
    <n v="45300"/>
    <d v="2015-07-01T00:00:00"/>
    <d v="2016-06-30T00:00:00"/>
    <d v="2016-07-14T00:00:00"/>
  </r>
  <r>
    <x v="2"/>
    <x v="5"/>
    <x v="13"/>
    <n v="0"/>
    <n v="16000"/>
    <d v="2015-07-01T00:00:00"/>
    <d v="2016-06-30T00:00:00"/>
    <d v="2016-07-14T00:00:00"/>
  </r>
  <r>
    <x v="2"/>
    <x v="6"/>
    <x v="14"/>
    <n v="0"/>
    <n v="292741"/>
    <d v="2015-07-01T00:00:00"/>
    <d v="2016-06-30T00:00:00"/>
    <d v="2016-07-14T00:00:00"/>
  </r>
  <r>
    <x v="2"/>
    <x v="9"/>
    <x v="15"/>
    <n v="0"/>
    <n v="51235"/>
    <d v="2015-07-01T00:00:00"/>
    <d v="2016-06-30T00:00:00"/>
    <d v="2016-07-14T00:00:00"/>
  </r>
  <r>
    <x v="2"/>
    <x v="10"/>
    <x v="16"/>
    <n v="0"/>
    <n v="29000"/>
    <d v="2015-01-01T00:00:00"/>
    <d v="2015-08-31T00:00:00"/>
    <d v="2015-10-31T00:00:00"/>
  </r>
  <r>
    <x v="2"/>
    <x v="7"/>
    <x v="17"/>
    <n v="0"/>
    <n v="280505"/>
    <d v="2015-07-01T00:00:00"/>
    <d v="2016-06-30T00:00:00"/>
    <d v="2016-07-14T00:00:00"/>
  </r>
  <r>
    <x v="3"/>
    <x v="0"/>
    <x v="18"/>
    <n v="0"/>
    <n v="524200"/>
    <d v="2014-10-01T00:00:00"/>
    <d v="2015-09-30T00:00:00"/>
    <d v="2015-10-31T00:00:00"/>
  </r>
  <r>
    <x v="3"/>
    <x v="1"/>
    <x v="19"/>
    <n v="0"/>
    <n v="5563"/>
    <d v="2015-07-01T00:00:00"/>
    <d v="2016-06-30T00:00:00"/>
    <d v="2016-07-14T00:00:00"/>
  </r>
  <r>
    <x v="3"/>
    <x v="2"/>
    <x v="20"/>
    <n v="0"/>
    <n v="95406"/>
    <d v="2015-07-01T00:00:00"/>
    <d v="2016-06-30T00:00:00"/>
    <d v="2016-07-14T00:00:00"/>
  </r>
  <r>
    <x v="3"/>
    <x v="8"/>
    <x v="21"/>
    <n v="0"/>
    <n v="18233"/>
    <d v="2015-07-01T00:00:00"/>
    <d v="2016-06-30T00:00:00"/>
    <d v="2016-07-14T00:00:00"/>
  </r>
  <r>
    <x v="3"/>
    <x v="11"/>
    <x v="22"/>
    <n v="0"/>
    <n v="95435"/>
    <d v="2014-07-01T00:00:00"/>
    <d v="2016-06-30T00:00:00"/>
    <d v="2016-07-14T00:00:00"/>
  </r>
  <r>
    <x v="3"/>
    <x v="5"/>
    <x v="23"/>
    <n v="0"/>
    <n v="16000"/>
    <d v="2015-07-23T00:00:00"/>
    <d v="2016-06-30T00:00:00"/>
    <d v="2016-07-14T00:00:00"/>
  </r>
  <r>
    <x v="3"/>
    <x v="6"/>
    <x v="24"/>
    <n v="0"/>
    <n v="386196"/>
    <d v="2015-07-01T00:00:00"/>
    <d v="2016-06-30T00:00:00"/>
    <d v="2016-07-14T00:00:00"/>
  </r>
  <r>
    <x v="3"/>
    <x v="7"/>
    <x v="25"/>
    <n v="0"/>
    <n v="165280"/>
    <d v="2015-07-01T00:00:00"/>
    <d v="2016-06-30T00:00:00"/>
    <d v="2016-07-14T00:00:00"/>
  </r>
  <r>
    <x v="4"/>
    <x v="0"/>
    <x v="26"/>
    <n v="0"/>
    <n v="372755"/>
    <d v="2014-10-01T00:00:00"/>
    <d v="2015-09-30T00:00:00"/>
    <d v="2015-10-31T00:00:00"/>
  </r>
  <r>
    <x v="4"/>
    <x v="1"/>
    <x v="27"/>
    <n v="0"/>
    <n v="5563"/>
    <d v="2015-07-01T00:00:00"/>
    <d v="2016-06-30T00:00:00"/>
    <d v="2016-07-14T00:00:00"/>
  </r>
  <r>
    <x v="4"/>
    <x v="2"/>
    <x v="28"/>
    <n v="0"/>
    <n v="102978"/>
    <d v="2015-07-01T00:00:00"/>
    <d v="2016-06-30T00:00:00"/>
    <d v="2016-07-14T00:00:00"/>
  </r>
  <r>
    <x v="4"/>
    <x v="8"/>
    <x v="29"/>
    <n v="0"/>
    <n v="19395"/>
    <d v="2015-07-01T00:00:00"/>
    <d v="2016-06-30T00:00:00"/>
    <d v="2016-07-14T00:00:00"/>
  </r>
  <r>
    <x v="4"/>
    <x v="3"/>
    <x v="30"/>
    <n v="0"/>
    <n v="60000"/>
    <d v="2014-11-01T00:00:00"/>
    <d v="2016-06-30T00:00:00"/>
    <d v="2016-07-14T00:00:00"/>
  </r>
  <r>
    <x v="4"/>
    <x v="11"/>
    <x v="31"/>
    <n v="0"/>
    <n v="154635"/>
    <d v="2013-01-01T00:00:00"/>
    <d v="2016-06-30T00:00:00"/>
    <d v="2016-07-14T00:00:00"/>
  </r>
  <r>
    <x v="4"/>
    <x v="12"/>
    <x v="32"/>
    <n v="0"/>
    <n v="140541"/>
    <d v="2015-07-01T00:00:00"/>
    <d v="2017-06-30T00:00:00"/>
    <d v="2017-07-15T00:00:00"/>
  </r>
  <r>
    <x v="4"/>
    <x v="6"/>
    <x v="33"/>
    <n v="0"/>
    <n v="151106"/>
    <d v="2015-07-01T00:00:00"/>
    <d v="2016-06-30T00:00:00"/>
    <d v="2016-07-14T00:00:00"/>
  </r>
  <r>
    <x v="4"/>
    <x v="10"/>
    <x v="34"/>
    <n v="0"/>
    <n v="26200"/>
    <d v="2015-01-01T00:00:00"/>
    <d v="2015-08-31T00:00:00"/>
    <d v="2015-10-31T00:00:00"/>
  </r>
  <r>
    <x v="4"/>
    <x v="7"/>
    <x v="35"/>
    <n v="0"/>
    <n v="179763"/>
    <d v="2015-07-01T00:00:00"/>
    <d v="2016-06-30T00:00:00"/>
    <d v="2016-07-14T00:00:00"/>
  </r>
  <r>
    <x v="5"/>
    <x v="0"/>
    <x v="36"/>
    <n v="0"/>
    <n v="68515"/>
    <d v="2014-10-01T00:00:00"/>
    <d v="2015-09-30T00:00:00"/>
    <d v="2015-10-31T00:00:00"/>
  </r>
  <r>
    <x v="5"/>
    <x v="1"/>
    <x v="37"/>
    <n v="0"/>
    <n v="6076"/>
    <d v="2015-07-01T00:00:00"/>
    <d v="2016-06-30T00:00:00"/>
    <d v="2016-07-14T00:00:00"/>
  </r>
  <r>
    <x v="5"/>
    <x v="2"/>
    <x v="38"/>
    <n v="0"/>
    <n v="74463"/>
    <d v="2015-07-01T00:00:00"/>
    <d v="2016-06-30T00:00:00"/>
    <d v="2016-07-14T00:00:00"/>
  </r>
  <r>
    <x v="5"/>
    <x v="8"/>
    <x v="39"/>
    <n v="0"/>
    <n v="16591"/>
    <d v="2015-07-01T00:00:00"/>
    <d v="2016-06-30T00:00:00"/>
    <d v="2016-07-14T00:00:00"/>
  </r>
  <r>
    <x v="5"/>
    <x v="13"/>
    <x v="40"/>
    <n v="0"/>
    <n v="39500"/>
    <d v="2014-12-04T00:00:00"/>
    <d v="2016-06-30T00:00:00"/>
    <d v="2016-07-14T00:00:00"/>
  </r>
  <r>
    <x v="5"/>
    <x v="13"/>
    <x v="41"/>
    <n v="0"/>
    <n v="2500"/>
    <d v="2015-09-01T00:00:00"/>
    <d v="2016-06-30T00:00:00"/>
    <d v="2016-07-14T00:00:00"/>
  </r>
  <r>
    <x v="5"/>
    <x v="5"/>
    <x v="42"/>
    <n v="0"/>
    <n v="16000"/>
    <d v="2015-07-01T00:00:00"/>
    <d v="2016-06-30T00:00:00"/>
    <d v="2016-07-14T00:00:00"/>
  </r>
  <r>
    <x v="5"/>
    <x v="9"/>
    <x v="43"/>
    <n v="0"/>
    <n v="51235"/>
    <d v="2015-07-01T00:00:00"/>
    <d v="2016-06-30T00:00:00"/>
    <d v="2016-07-14T00:00:00"/>
  </r>
  <r>
    <x v="6"/>
    <x v="0"/>
    <x v="44"/>
    <n v="0"/>
    <n v="375006"/>
    <d v="2014-10-01T00:00:00"/>
    <d v="2015-09-30T00:00:00"/>
    <d v="2015-10-31T00:00:00"/>
  </r>
  <r>
    <x v="6"/>
    <x v="1"/>
    <x v="45"/>
    <n v="0"/>
    <n v="6588"/>
    <d v="2015-07-01T00:00:00"/>
    <d v="2016-06-30T00:00:00"/>
    <d v="2016-07-14T00:00:00"/>
  </r>
  <r>
    <x v="6"/>
    <x v="2"/>
    <x v="46"/>
    <n v="0"/>
    <n v="126492"/>
    <d v="2015-07-01T00:00:00"/>
    <d v="2016-06-30T00:00:00"/>
    <d v="2016-07-14T00:00:00"/>
  </r>
  <r>
    <x v="6"/>
    <x v="8"/>
    <x v="47"/>
    <n v="0"/>
    <n v="25744"/>
    <d v="2015-07-01T00:00:00"/>
    <d v="2016-06-30T00:00:00"/>
    <d v="2016-07-14T00:00:00"/>
  </r>
  <r>
    <x v="6"/>
    <x v="14"/>
    <x v="48"/>
    <n v="0"/>
    <n v="1620874"/>
    <d v="2015-07-01T00:00:00"/>
    <d v="2016-06-30T00:00:00"/>
    <d v="2016-07-14T00:00:00"/>
  </r>
  <r>
    <x v="6"/>
    <x v="4"/>
    <x v="49"/>
    <n v="0"/>
    <n v="15100"/>
    <d v="2015-07-01T00:00:00"/>
    <d v="2016-06-30T00:00:00"/>
    <d v="2016-07-14T00:00:00"/>
  </r>
  <r>
    <x v="6"/>
    <x v="15"/>
    <x v="50"/>
    <n v="0"/>
    <n v="15000"/>
    <d v="2015-07-01T00:00:00"/>
    <d v="2016-06-30T00:00:00"/>
    <d v="2016-07-14T00:00:00"/>
  </r>
  <r>
    <x v="6"/>
    <x v="5"/>
    <x v="51"/>
    <n v="0"/>
    <n v="16000"/>
    <d v="2015-07-01T00:00:00"/>
    <d v="2016-06-30T00:00:00"/>
    <d v="2016-07-14T00:00:00"/>
  </r>
  <r>
    <x v="6"/>
    <x v="6"/>
    <x v="52"/>
    <n v="0"/>
    <n v="204803"/>
    <d v="2015-07-01T00:00:00"/>
    <d v="2016-06-30T00:00:00"/>
    <d v="2016-07-14T00:00:00"/>
  </r>
  <r>
    <x v="6"/>
    <x v="9"/>
    <x v="53"/>
    <n v="0"/>
    <n v="51235"/>
    <d v="2015-07-01T00:00:00"/>
    <d v="2016-06-30T00:00:00"/>
    <d v="2016-07-14T00:00:00"/>
  </r>
  <r>
    <x v="6"/>
    <x v="7"/>
    <x v="54"/>
    <n v="0"/>
    <n v="500299"/>
    <d v="2015-07-01T00:00:00"/>
    <d v="2016-06-30T00:00:00"/>
    <d v="2016-07-14T00:00:00"/>
  </r>
  <r>
    <x v="7"/>
    <x v="0"/>
    <x v="55"/>
    <n v="0"/>
    <n v="318517"/>
    <d v="2014-10-01T00:00:00"/>
    <d v="2015-09-30T00:00:00"/>
    <d v="2015-10-31T00:00:00"/>
  </r>
  <r>
    <x v="7"/>
    <x v="1"/>
    <x v="56"/>
    <n v="0"/>
    <n v="6588"/>
    <d v="2015-07-01T00:00:00"/>
    <d v="2016-06-30T00:00:00"/>
    <d v="2016-07-14T00:00:00"/>
  </r>
  <r>
    <x v="7"/>
    <x v="2"/>
    <x v="57"/>
    <n v="0"/>
    <n v="248433"/>
    <d v="2015-07-01T00:00:00"/>
    <d v="2016-06-30T00:00:00"/>
    <d v="2016-07-14T00:00:00"/>
  </r>
  <r>
    <x v="7"/>
    <x v="8"/>
    <x v="58"/>
    <n v="0"/>
    <n v="52865"/>
    <d v="2015-07-01T00:00:00"/>
    <d v="2016-06-30T00:00:00"/>
    <d v="2016-07-14T00:00:00"/>
  </r>
  <r>
    <x v="7"/>
    <x v="14"/>
    <x v="59"/>
    <n v="0"/>
    <n v="288117"/>
    <d v="2015-07-01T00:00:00"/>
    <d v="2016-06-30T00:00:00"/>
    <d v="2016-07-14T00:00:00"/>
  </r>
  <r>
    <x v="7"/>
    <x v="4"/>
    <x v="60"/>
    <n v="0"/>
    <n v="22650"/>
    <d v="2015-07-01T00:00:00"/>
    <d v="2016-06-30T00:00:00"/>
    <d v="2016-07-14T00:00:00"/>
  </r>
  <r>
    <x v="7"/>
    <x v="16"/>
    <x v="61"/>
    <n v="0"/>
    <n v="5000"/>
    <d v="2015-07-01T00:00:00"/>
    <d v="2016-06-30T00:00:00"/>
    <d v="2016-07-14T00:00:00"/>
  </r>
  <r>
    <x v="7"/>
    <x v="11"/>
    <x v="62"/>
    <n v="0"/>
    <n v="95435"/>
    <d v="2014-07-01T00:00:00"/>
    <d v="2016-06-30T00:00:00"/>
    <d v="2016-07-14T00:00:00"/>
  </r>
  <r>
    <x v="7"/>
    <x v="5"/>
    <x v="63"/>
    <n v="0"/>
    <n v="16000"/>
    <d v="2015-07-01T00:00:00"/>
    <d v="2016-06-30T00:00:00"/>
    <d v="2016-07-14T00:00:00"/>
  </r>
  <r>
    <x v="7"/>
    <x v="6"/>
    <x v="64"/>
    <n v="0"/>
    <n v="607288"/>
    <d v="2015-07-01T00:00:00"/>
    <d v="2016-06-30T00:00:00"/>
    <d v="2016-07-14T00:00:00"/>
  </r>
  <r>
    <x v="7"/>
    <x v="7"/>
    <x v="65"/>
    <n v="0"/>
    <n v="636473"/>
    <d v="2015-07-01T00:00:00"/>
    <d v="2016-06-30T00:00:00"/>
    <d v="2016-07-14T00:00:00"/>
  </r>
  <r>
    <x v="8"/>
    <x v="0"/>
    <x v="66"/>
    <n v="0"/>
    <n v="405234"/>
    <d v="2014-10-01T00:00:00"/>
    <d v="2015-09-30T00:00:00"/>
    <d v="2015-10-31T00:00:00"/>
  </r>
  <r>
    <x v="8"/>
    <x v="1"/>
    <x v="67"/>
    <n v="0"/>
    <n v="6076"/>
    <d v="2015-07-01T00:00:00"/>
    <d v="2016-06-30T00:00:00"/>
    <d v="2016-07-14T00:00:00"/>
  </r>
  <r>
    <x v="8"/>
    <x v="2"/>
    <x v="68"/>
    <n v="0"/>
    <n v="124417"/>
    <d v="2015-07-01T00:00:00"/>
    <d v="2016-06-30T00:00:00"/>
    <d v="2016-07-14T00:00:00"/>
  </r>
  <r>
    <x v="8"/>
    <x v="8"/>
    <x v="69"/>
    <n v="0"/>
    <n v="26151"/>
    <d v="2015-07-01T00:00:00"/>
    <d v="2016-06-30T00:00:00"/>
    <d v="2016-07-14T00:00:00"/>
  </r>
  <r>
    <x v="8"/>
    <x v="3"/>
    <x v="70"/>
    <n v="0"/>
    <n v="58984"/>
    <d v="2014-11-01T00:00:00"/>
    <d v="2016-06-30T00:00:00"/>
    <d v="2016-07-14T00:00:00"/>
  </r>
  <r>
    <x v="8"/>
    <x v="6"/>
    <x v="71"/>
    <n v="0"/>
    <n v="438781"/>
    <d v="2015-07-01T00:00:00"/>
    <d v="2016-06-30T00:00:00"/>
    <d v="2016-07-14T00:00:00"/>
  </r>
  <r>
    <x v="8"/>
    <x v="9"/>
    <x v="72"/>
    <n v="0"/>
    <n v="51235"/>
    <d v="2015-07-01T00:00:00"/>
    <d v="2016-06-30T00:00:00"/>
    <d v="2016-07-14T00:00:00"/>
  </r>
  <r>
    <x v="8"/>
    <x v="7"/>
    <x v="73"/>
    <n v="0"/>
    <n v="642964"/>
    <d v="2015-07-01T00:00:00"/>
    <d v="2016-06-30T00:00:00"/>
    <d v="2016-07-14T00:00:00"/>
  </r>
  <r>
    <x v="9"/>
    <x v="0"/>
    <x v="74"/>
    <n v="0"/>
    <n v="226736"/>
    <d v="2014-10-01T00:00:00"/>
    <d v="2015-09-30T00:00:00"/>
    <d v="2015-10-31T00:00:00"/>
  </r>
  <r>
    <x v="9"/>
    <x v="1"/>
    <x v="75"/>
    <n v="0"/>
    <n v="5563"/>
    <d v="2015-07-01T00:00:00"/>
    <d v="2016-06-30T00:00:00"/>
    <d v="2016-07-14T00:00:00"/>
  </r>
  <r>
    <x v="9"/>
    <x v="2"/>
    <x v="76"/>
    <n v="0"/>
    <n v="168727"/>
    <d v="2015-07-01T00:00:00"/>
    <d v="2016-06-30T00:00:00"/>
    <d v="2016-07-14T00:00:00"/>
  </r>
  <r>
    <x v="9"/>
    <x v="8"/>
    <x v="77"/>
    <n v="0"/>
    <n v="37982"/>
    <d v="2015-07-01T00:00:00"/>
    <d v="2016-06-30T00:00:00"/>
    <d v="2016-07-14T00:00:00"/>
  </r>
  <r>
    <x v="9"/>
    <x v="6"/>
    <x v="78"/>
    <n v="0"/>
    <n v="281246"/>
    <d v="2015-07-01T00:00:00"/>
    <d v="2016-06-30T00:00:00"/>
    <d v="2016-07-14T00:00:00"/>
  </r>
  <r>
    <x v="9"/>
    <x v="9"/>
    <x v="79"/>
    <n v="0"/>
    <n v="51235"/>
    <d v="2015-07-01T00:00:00"/>
    <d v="2016-06-30T00:00:00"/>
    <d v="2016-07-14T00:00:00"/>
  </r>
  <r>
    <x v="9"/>
    <x v="7"/>
    <x v="80"/>
    <n v="0"/>
    <n v="224913"/>
    <d v="2015-07-01T00:00:00"/>
    <d v="2016-06-30T00:00:00"/>
    <d v="2016-07-14T00:00:00"/>
  </r>
  <r>
    <x v="10"/>
    <x v="0"/>
    <x v="81"/>
    <n v="0"/>
    <n v="540105"/>
    <d v="2014-10-01T00:00:00"/>
    <d v="2015-09-30T00:00:00"/>
    <d v="2015-10-31T00:00:00"/>
  </r>
  <r>
    <x v="10"/>
    <x v="1"/>
    <x v="82"/>
    <n v="0"/>
    <n v="6588"/>
    <d v="2015-07-01T00:00:00"/>
    <d v="2016-06-30T00:00:00"/>
    <d v="2016-07-14T00:00:00"/>
  </r>
  <r>
    <x v="10"/>
    <x v="2"/>
    <x v="83"/>
    <n v="0"/>
    <n v="247247"/>
    <d v="2015-07-01T00:00:00"/>
    <d v="2016-06-30T00:00:00"/>
    <d v="2016-07-14T00:00:00"/>
  </r>
  <r>
    <x v="10"/>
    <x v="8"/>
    <x v="84"/>
    <n v="0"/>
    <n v="60555"/>
    <d v="2015-07-01T00:00:00"/>
    <d v="2016-06-30T00:00:00"/>
    <d v="2016-07-14T00:00:00"/>
  </r>
  <r>
    <x v="10"/>
    <x v="14"/>
    <x v="85"/>
    <n v="0"/>
    <n v="1485308"/>
    <d v="2015-07-01T00:00:00"/>
    <d v="2016-06-30T00:00:00"/>
    <d v="2016-07-14T00:00:00"/>
  </r>
  <r>
    <x v="10"/>
    <x v="4"/>
    <x v="86"/>
    <n v="0"/>
    <n v="45300"/>
    <d v="2015-07-01T00:00:00"/>
    <d v="2016-06-30T00:00:00"/>
    <d v="2016-07-14T00:00:00"/>
  </r>
  <r>
    <x v="10"/>
    <x v="11"/>
    <x v="87"/>
    <n v="0"/>
    <n v="95435"/>
    <d v="2014-07-01T00:00:00"/>
    <d v="2016-06-30T00:00:00"/>
    <d v="2016-07-14T00:00:00"/>
  </r>
  <r>
    <x v="10"/>
    <x v="17"/>
    <x v="88"/>
    <n v="0"/>
    <n v="191333"/>
    <d v="2015-03-02T00:00:00"/>
    <d v="2016-06-30T00:00:00"/>
    <d v="2016-07-14T00:00:00"/>
  </r>
  <r>
    <x v="10"/>
    <x v="5"/>
    <x v="89"/>
    <n v="0"/>
    <n v="16000"/>
    <d v="2015-07-01T00:00:00"/>
    <d v="2016-06-30T00:00:00"/>
    <d v="2016-07-14T00:00:00"/>
  </r>
  <r>
    <x v="10"/>
    <x v="6"/>
    <x v="90"/>
    <n v="0"/>
    <n v="250030"/>
    <d v="2015-07-01T00:00:00"/>
    <d v="2016-06-30T00:00:00"/>
    <d v="2016-07-14T00:00:00"/>
  </r>
  <r>
    <x v="10"/>
    <x v="7"/>
    <x v="91"/>
    <n v="0"/>
    <n v="477982"/>
    <d v="2015-07-01T00:00:00"/>
    <d v="2016-06-30T00:00:00"/>
    <d v="2016-07-14T00:00:00"/>
  </r>
  <r>
    <x v="11"/>
    <x v="0"/>
    <x v="92"/>
    <n v="0"/>
    <n v="317865"/>
    <d v="2014-10-01T00:00:00"/>
    <d v="2015-09-30T00:00:00"/>
    <d v="2015-10-31T00:00:00"/>
  </r>
  <r>
    <x v="11"/>
    <x v="1"/>
    <x v="93"/>
    <n v="0"/>
    <n v="5563"/>
    <d v="2015-07-01T00:00:00"/>
    <d v="2016-06-30T00:00:00"/>
    <d v="2016-07-14T00:00:00"/>
  </r>
  <r>
    <x v="11"/>
    <x v="2"/>
    <x v="94"/>
    <n v="0"/>
    <n v="199948"/>
    <d v="2015-07-01T00:00:00"/>
    <d v="2016-06-30T00:00:00"/>
    <d v="2016-07-14T00:00:00"/>
  </r>
  <r>
    <x v="11"/>
    <x v="8"/>
    <x v="95"/>
    <n v="0"/>
    <n v="46468"/>
    <d v="2015-07-01T00:00:00"/>
    <d v="2016-06-30T00:00:00"/>
    <d v="2016-07-14T00:00:00"/>
  </r>
  <r>
    <x v="11"/>
    <x v="4"/>
    <x v="96"/>
    <n v="0"/>
    <n v="15100"/>
    <d v="2015-07-01T00:00:00"/>
    <d v="2016-06-30T00:00:00"/>
    <d v="2016-07-14T00:00:00"/>
  </r>
  <r>
    <x v="11"/>
    <x v="13"/>
    <x v="97"/>
    <n v="0"/>
    <n v="5000"/>
    <d v="2015-02-02T00:00:00"/>
    <d v="2016-12-31T00:00:00"/>
    <d v="2017-01-31T00:00:00"/>
  </r>
  <r>
    <x v="11"/>
    <x v="13"/>
    <x v="98"/>
    <n v="0"/>
    <n v="5000"/>
    <d v="2015-02-02T00:00:00"/>
    <d v="2016-06-30T00:00:00"/>
    <d v="2016-07-14T00:00:00"/>
  </r>
  <r>
    <x v="11"/>
    <x v="5"/>
    <x v="99"/>
    <n v="0"/>
    <n v="16000"/>
    <d v="2015-07-01T00:00:00"/>
    <d v="2016-06-30T00:00:00"/>
    <d v="2016-07-14T00:00:00"/>
  </r>
  <r>
    <x v="11"/>
    <x v="18"/>
    <x v="100"/>
    <n v="0"/>
    <n v="5000"/>
    <d v="2015-07-01T00:00:00"/>
    <d v="2016-06-30T00:00:00"/>
    <d v="2016-07-14T00:00:00"/>
  </r>
  <r>
    <x v="11"/>
    <x v="6"/>
    <x v="101"/>
    <n v="0"/>
    <n v="293541"/>
    <d v="2015-07-01T00:00:00"/>
    <d v="2016-06-30T00:00:00"/>
    <d v="2016-07-14T00:00:00"/>
  </r>
  <r>
    <x v="11"/>
    <x v="9"/>
    <x v="102"/>
    <n v="0"/>
    <n v="51235"/>
    <d v="2015-07-01T00:00:00"/>
    <d v="2016-06-30T00:00:00"/>
    <d v="2016-07-14T00:00:00"/>
  </r>
  <r>
    <x v="11"/>
    <x v="7"/>
    <x v="103"/>
    <n v="0"/>
    <n v="501899"/>
    <d v="2015-07-01T00:00:00"/>
    <d v="2016-06-30T00:00:00"/>
    <d v="2016-07-14T00:00:00"/>
  </r>
  <r>
    <x v="12"/>
    <x v="0"/>
    <x v="104"/>
    <n v="0"/>
    <n v="221442"/>
    <d v="2014-10-01T00:00:00"/>
    <d v="2015-09-30T00:00:00"/>
    <d v="2015-10-31T00:00:00"/>
  </r>
  <r>
    <x v="12"/>
    <x v="2"/>
    <x v="105"/>
    <n v="0"/>
    <n v="115011"/>
    <d v="2015-07-01T00:00:00"/>
    <d v="2016-06-30T00:00:00"/>
    <d v="2016-07-14T00:00:00"/>
  </r>
  <r>
    <x v="12"/>
    <x v="8"/>
    <x v="106"/>
    <n v="0"/>
    <n v="22866"/>
    <d v="2015-07-01T00:00:00"/>
    <d v="2016-06-30T00:00:00"/>
    <d v="2016-07-14T00:00:00"/>
  </r>
  <r>
    <x v="12"/>
    <x v="3"/>
    <x v="107"/>
    <n v="0"/>
    <n v="60000"/>
    <d v="2014-11-01T00:00:00"/>
    <d v="2016-06-30T00:00:00"/>
    <d v="2016-07-14T00:00:00"/>
  </r>
  <r>
    <x v="12"/>
    <x v="14"/>
    <x v="108"/>
    <n v="0"/>
    <n v="1729789"/>
    <d v="2015-07-01T00:00:00"/>
    <d v="2016-06-30T00:00:00"/>
    <d v="2016-07-14T00:00:00"/>
  </r>
  <r>
    <x v="12"/>
    <x v="11"/>
    <x v="109"/>
    <n v="0"/>
    <n v="95435"/>
    <d v="2014-07-01T00:00:00"/>
    <d v="2016-06-30T00:00:00"/>
    <d v="2016-07-14T00:00:00"/>
  </r>
  <r>
    <x v="12"/>
    <x v="13"/>
    <x v="110"/>
    <n v="0"/>
    <n v="15600"/>
    <d v="2015-05-22T00:00:00"/>
    <d v="2015-09-30T00:00:00"/>
    <d v="2015-10-31T00:00:00"/>
  </r>
  <r>
    <x v="12"/>
    <x v="5"/>
    <x v="111"/>
    <n v="0"/>
    <n v="14480"/>
    <d v="2015-07-08T00:00:00"/>
    <d v="2016-06-30T00:00:00"/>
    <d v="2016-07-14T00:00:00"/>
  </r>
  <r>
    <x v="12"/>
    <x v="6"/>
    <x v="112"/>
    <n v="0"/>
    <n v="190438"/>
    <d v="2015-07-01T00:00:00"/>
    <d v="2016-06-30T00:00:00"/>
    <d v="2016-07-14T00:00:00"/>
  </r>
  <r>
    <x v="12"/>
    <x v="7"/>
    <x v="113"/>
    <n v="0"/>
    <n v="398657"/>
    <d v="2015-07-01T00:00:00"/>
    <d v="2016-06-30T00:00:00"/>
    <d v="2016-07-14T00:00:00"/>
  </r>
  <r>
    <x v="13"/>
    <x v="0"/>
    <x v="114"/>
    <n v="0"/>
    <n v="511692"/>
    <d v="2014-10-01T00:00:00"/>
    <d v="2015-09-30T00:00:00"/>
    <d v="2015-10-31T00:00:00"/>
  </r>
  <r>
    <x v="13"/>
    <x v="1"/>
    <x v="115"/>
    <n v="0"/>
    <n v="5563"/>
    <d v="2015-07-01T00:00:00"/>
    <d v="2016-06-30T00:00:00"/>
    <d v="2016-07-14T00:00:00"/>
  </r>
  <r>
    <x v="13"/>
    <x v="2"/>
    <x v="116"/>
    <n v="0"/>
    <n v="249795"/>
    <d v="2015-07-01T00:00:00"/>
    <d v="2016-06-30T00:00:00"/>
    <d v="2016-07-14T00:00:00"/>
  </r>
  <r>
    <x v="13"/>
    <x v="8"/>
    <x v="117"/>
    <n v="0"/>
    <n v="52548"/>
    <d v="2015-07-01T00:00:00"/>
    <d v="2016-06-30T00:00:00"/>
    <d v="2016-07-14T00:00:00"/>
  </r>
  <r>
    <x v="13"/>
    <x v="3"/>
    <x v="118"/>
    <n v="0"/>
    <n v="35000"/>
    <d v="2014-11-01T00:00:00"/>
    <d v="2016-06-30T00:00:00"/>
    <d v="2016-07-14T00:00:00"/>
  </r>
  <r>
    <x v="13"/>
    <x v="4"/>
    <x v="119"/>
    <n v="0"/>
    <n v="67950"/>
    <d v="2015-07-01T00:00:00"/>
    <d v="2016-06-30T00:00:00"/>
    <d v="2016-07-14T00:00:00"/>
  </r>
  <r>
    <x v="13"/>
    <x v="11"/>
    <x v="120"/>
    <n v="0"/>
    <n v="92235"/>
    <d v="2014-07-01T00:00:00"/>
    <d v="2016-06-30T00:00:00"/>
    <d v="2016-07-14T00:00:00"/>
  </r>
  <r>
    <x v="13"/>
    <x v="12"/>
    <x v="121"/>
    <n v="0"/>
    <n v="88700"/>
    <d v="2015-08-01T00:00:00"/>
    <d v="2017-06-30T00:00:00"/>
    <d v="2017-07-15T00:00:00"/>
  </r>
  <r>
    <x v="13"/>
    <x v="12"/>
    <x v="122"/>
    <n v="0"/>
    <n v="63000"/>
    <d v="2015-07-15T00:00:00"/>
    <d v="2017-06-30T00:00:00"/>
    <d v="2017-07-15T00:00:00"/>
  </r>
  <r>
    <x v="13"/>
    <x v="12"/>
    <x v="123"/>
    <n v="0"/>
    <n v="89700"/>
    <d v="2015-07-20T00:00:00"/>
    <d v="2017-06-30T00:00:00"/>
    <d v="2017-07-15T00:00:00"/>
  </r>
  <r>
    <x v="13"/>
    <x v="12"/>
    <x v="124"/>
    <n v="0"/>
    <n v="49500"/>
    <d v="2015-07-15T00:00:00"/>
    <d v="2017-06-30T00:00:00"/>
    <d v="2017-07-15T00:00:00"/>
  </r>
  <r>
    <x v="13"/>
    <x v="12"/>
    <x v="125"/>
    <n v="0"/>
    <n v="84900"/>
    <d v="2015-07-25T00:00:00"/>
    <d v="2017-06-30T00:00:00"/>
    <d v="2017-07-15T00:00:00"/>
  </r>
  <r>
    <x v="13"/>
    <x v="6"/>
    <x v="126"/>
    <n v="0"/>
    <n v="308738"/>
    <d v="2015-07-01T00:00:00"/>
    <d v="2016-06-30T00:00:00"/>
    <d v="2016-07-14T00:00:00"/>
  </r>
  <r>
    <x v="13"/>
    <x v="19"/>
    <x v="127"/>
    <n v="0"/>
    <n v="17666"/>
    <d v="2015-07-22T00:00:00"/>
    <d v="2016-06-30T00:00:00"/>
    <d v="2016-07-14T00:00:00"/>
  </r>
  <r>
    <x v="13"/>
    <x v="10"/>
    <x v="128"/>
    <n v="0"/>
    <n v="47214"/>
    <d v="2014-09-01T00:00:00"/>
    <d v="2015-08-31T00:00:00"/>
    <d v="2015-10-31T00:00:00"/>
  </r>
  <r>
    <x v="13"/>
    <x v="7"/>
    <x v="129"/>
    <n v="0"/>
    <n v="710876"/>
    <d v="2015-07-01T00:00:00"/>
    <d v="2016-06-30T00:00:00"/>
    <d v="2016-07-14T00:00:00"/>
  </r>
  <r>
    <x v="14"/>
    <x v="0"/>
    <x v="130"/>
    <n v="0"/>
    <n v="240407"/>
    <d v="2014-10-01T00:00:00"/>
    <d v="2015-09-30T00:00:00"/>
    <d v="2015-10-31T00:00:00"/>
  </r>
  <r>
    <x v="14"/>
    <x v="1"/>
    <x v="131"/>
    <n v="0"/>
    <n v="5050"/>
    <d v="2015-07-01T00:00:00"/>
    <d v="2016-06-30T00:00:00"/>
    <d v="2016-07-14T00:00:00"/>
  </r>
  <r>
    <x v="14"/>
    <x v="2"/>
    <x v="132"/>
    <n v="0"/>
    <n v="436150"/>
    <d v="2015-07-01T00:00:00"/>
    <d v="2016-06-30T00:00:00"/>
    <d v="2016-07-14T00:00:00"/>
  </r>
  <r>
    <x v="14"/>
    <x v="8"/>
    <x v="133"/>
    <n v="0"/>
    <n v="104326"/>
    <d v="2015-07-01T00:00:00"/>
    <d v="2016-06-30T00:00:00"/>
    <d v="2016-07-14T00:00:00"/>
  </r>
  <r>
    <x v="14"/>
    <x v="3"/>
    <x v="134"/>
    <n v="0"/>
    <n v="22480"/>
    <d v="2014-11-01T00:00:00"/>
    <d v="2016-06-30T00:00:00"/>
    <d v="2016-07-14T00:00:00"/>
  </r>
  <r>
    <x v="14"/>
    <x v="4"/>
    <x v="135"/>
    <n v="0"/>
    <n v="30200"/>
    <d v="2015-07-01T00:00:00"/>
    <d v="2016-06-30T00:00:00"/>
    <d v="2016-07-14T00:00:00"/>
  </r>
  <r>
    <x v="14"/>
    <x v="16"/>
    <x v="136"/>
    <n v="0"/>
    <n v="5000"/>
    <d v="2015-07-01T00:00:00"/>
    <d v="2016-06-30T00:00:00"/>
    <d v="2016-07-14T00:00:00"/>
  </r>
  <r>
    <x v="14"/>
    <x v="16"/>
    <x v="137"/>
    <n v="0"/>
    <n v="5000"/>
    <d v="2015-07-01T00:00:00"/>
    <d v="2016-06-30T00:00:00"/>
    <d v="2016-07-14T00:00:00"/>
  </r>
  <r>
    <x v="14"/>
    <x v="5"/>
    <x v="138"/>
    <n v="0"/>
    <n v="16000"/>
    <d v="2015-07-01T00:00:00"/>
    <d v="2016-06-30T00:00:00"/>
    <d v="2016-07-14T00:00:00"/>
  </r>
  <r>
    <x v="14"/>
    <x v="6"/>
    <x v="139"/>
    <n v="0"/>
    <n v="264907"/>
    <d v="2015-07-01T00:00:00"/>
    <d v="2016-06-30T00:00:00"/>
    <d v="2016-07-14T00:00:00"/>
  </r>
  <r>
    <x v="14"/>
    <x v="7"/>
    <x v="140"/>
    <n v="0"/>
    <n v="805980"/>
    <d v="2015-07-01T00:00:00"/>
    <d v="2016-06-30T00:00:00"/>
    <d v="2016-07-14T00:00:00"/>
  </r>
  <r>
    <x v="15"/>
    <x v="0"/>
    <x v="141"/>
    <n v="0"/>
    <n v="279108"/>
    <d v="2014-10-01T00:00:00"/>
    <d v="2015-09-30T00:00:00"/>
    <d v="2015-10-31T00:00:00"/>
  </r>
  <r>
    <x v="15"/>
    <x v="1"/>
    <x v="142"/>
    <n v="0"/>
    <n v="5563"/>
    <d v="2015-07-01T00:00:00"/>
    <d v="2016-06-30T00:00:00"/>
    <d v="2016-07-14T00:00:00"/>
  </r>
  <r>
    <x v="15"/>
    <x v="2"/>
    <x v="143"/>
    <n v="0"/>
    <n v="182743"/>
    <d v="2015-07-01T00:00:00"/>
    <d v="2016-06-30T00:00:00"/>
    <d v="2016-07-14T00:00:00"/>
  </r>
  <r>
    <x v="15"/>
    <x v="8"/>
    <x v="144"/>
    <n v="0"/>
    <n v="39784"/>
    <d v="2015-07-01T00:00:00"/>
    <d v="2016-06-30T00:00:00"/>
    <d v="2016-07-14T00:00:00"/>
  </r>
  <r>
    <x v="15"/>
    <x v="3"/>
    <x v="145"/>
    <n v="0"/>
    <n v="59825"/>
    <d v="2014-11-01T00:00:00"/>
    <d v="2016-06-30T00:00:00"/>
    <d v="2016-07-14T00:00:00"/>
  </r>
  <r>
    <x v="15"/>
    <x v="4"/>
    <x v="146"/>
    <n v="0"/>
    <n v="45300"/>
    <d v="2015-07-01T00:00:00"/>
    <d v="2016-06-30T00:00:00"/>
    <d v="2016-07-14T00:00:00"/>
  </r>
  <r>
    <x v="15"/>
    <x v="16"/>
    <x v="147"/>
    <n v="0"/>
    <n v="4566"/>
    <d v="2015-07-01T00:00:00"/>
    <d v="2016-06-30T00:00:00"/>
    <d v="2016-07-14T00:00:00"/>
  </r>
  <r>
    <x v="15"/>
    <x v="11"/>
    <x v="148"/>
    <n v="0"/>
    <n v="154635"/>
    <d v="2013-01-01T00:00:00"/>
    <d v="2016-06-30T00:00:00"/>
    <d v="2016-07-14T00:00:00"/>
  </r>
  <r>
    <x v="15"/>
    <x v="6"/>
    <x v="149"/>
    <n v="0"/>
    <n v="286675"/>
    <d v="2015-07-01T00:00:00"/>
    <d v="2016-06-30T00:00:00"/>
    <d v="2016-07-14T00:00:00"/>
  </r>
  <r>
    <x v="15"/>
    <x v="7"/>
    <x v="150"/>
    <n v="0"/>
    <n v="105185"/>
    <d v="2015-07-01T00:00:00"/>
    <d v="2016-06-30T00:00:00"/>
    <d v="2016-07-14T00:00:00"/>
  </r>
  <r>
    <x v="16"/>
    <x v="0"/>
    <x v="151"/>
    <n v="0"/>
    <n v="229526"/>
    <d v="2014-10-01T00:00:00"/>
    <d v="2015-09-30T00:00:00"/>
    <d v="2015-10-31T00:00:00"/>
  </r>
  <r>
    <x v="16"/>
    <x v="1"/>
    <x v="152"/>
    <n v="0"/>
    <n v="5563"/>
    <d v="2015-07-01T00:00:00"/>
    <d v="2016-06-30T00:00:00"/>
    <d v="2016-07-14T00:00:00"/>
  </r>
  <r>
    <x v="16"/>
    <x v="2"/>
    <x v="153"/>
    <n v="0"/>
    <n v="182922"/>
    <d v="2015-07-01T00:00:00"/>
    <d v="2016-06-30T00:00:00"/>
    <d v="2016-07-14T00:00:00"/>
  </r>
  <r>
    <x v="16"/>
    <x v="8"/>
    <x v="154"/>
    <n v="0"/>
    <n v="36046"/>
    <d v="2015-07-01T00:00:00"/>
    <d v="2016-06-30T00:00:00"/>
    <d v="2016-07-14T00:00:00"/>
  </r>
  <r>
    <x v="16"/>
    <x v="4"/>
    <x v="155"/>
    <n v="0"/>
    <n v="15100"/>
    <d v="2015-07-01T00:00:00"/>
    <d v="2016-06-30T00:00:00"/>
    <d v="2016-07-14T00:00:00"/>
  </r>
  <r>
    <x v="16"/>
    <x v="11"/>
    <x v="156"/>
    <n v="0"/>
    <n v="95435"/>
    <d v="2014-07-01T00:00:00"/>
    <d v="2016-06-30T00:00:00"/>
    <d v="2016-07-14T00:00:00"/>
  </r>
  <r>
    <x v="16"/>
    <x v="18"/>
    <x v="157"/>
    <n v="0"/>
    <n v="5000"/>
    <d v="2015-07-01T00:00:00"/>
    <d v="2016-06-30T00:00:00"/>
    <d v="2016-07-14T00:00:00"/>
  </r>
  <r>
    <x v="16"/>
    <x v="6"/>
    <x v="158"/>
    <n v="0"/>
    <n v="313052"/>
    <d v="2015-07-01T00:00:00"/>
    <d v="2016-06-30T00:00:00"/>
    <d v="2016-07-14T00:00:00"/>
  </r>
  <r>
    <x v="16"/>
    <x v="7"/>
    <x v="159"/>
    <n v="0"/>
    <n v="830405"/>
    <d v="2015-07-01T00:00:00"/>
    <d v="2016-06-30T00:00:00"/>
    <d v="2016-07-14T00:00:00"/>
  </r>
  <r>
    <x v="17"/>
    <x v="0"/>
    <x v="160"/>
    <n v="0"/>
    <n v="696083"/>
    <d v="2014-10-01T00:00:00"/>
    <d v="2015-09-30T00:00:00"/>
    <d v="2015-10-31T00:00:00"/>
  </r>
  <r>
    <x v="17"/>
    <x v="1"/>
    <x v="161"/>
    <n v="0"/>
    <n v="6588"/>
    <d v="2015-07-01T00:00:00"/>
    <d v="2016-06-30T00:00:00"/>
    <d v="2016-07-14T00:00:00"/>
  </r>
  <r>
    <x v="17"/>
    <x v="2"/>
    <x v="162"/>
    <n v="0"/>
    <n v="159099"/>
    <d v="2015-07-01T00:00:00"/>
    <d v="2016-06-30T00:00:00"/>
    <d v="2016-07-14T00:00:00"/>
  </r>
  <r>
    <x v="17"/>
    <x v="8"/>
    <x v="163"/>
    <n v="0"/>
    <n v="40392"/>
    <d v="2015-07-01T00:00:00"/>
    <d v="2016-06-30T00:00:00"/>
    <d v="2016-07-14T00:00:00"/>
  </r>
  <r>
    <x v="17"/>
    <x v="4"/>
    <x v="164"/>
    <n v="0"/>
    <n v="15100"/>
    <d v="2015-07-01T00:00:00"/>
    <d v="2016-06-30T00:00:00"/>
    <d v="2016-07-14T00:00:00"/>
  </r>
  <r>
    <x v="17"/>
    <x v="11"/>
    <x v="165"/>
    <n v="0"/>
    <n v="154635"/>
    <d v="2013-01-01T00:00:00"/>
    <d v="2016-06-30T00:00:00"/>
    <d v="2016-07-14T00:00:00"/>
  </r>
  <r>
    <x v="17"/>
    <x v="13"/>
    <x v="166"/>
    <n v="0"/>
    <n v="11700"/>
    <d v="2015-06-16T00:00:00"/>
    <d v="2015-09-30T00:00:00"/>
    <d v="2015-10-31T00:00:00"/>
  </r>
  <r>
    <x v="17"/>
    <x v="6"/>
    <x v="167"/>
    <n v="0"/>
    <n v="161887"/>
    <d v="2015-07-01T00:00:00"/>
    <d v="2016-06-30T00:00:00"/>
    <d v="2016-07-14T00:00:00"/>
  </r>
  <r>
    <x v="17"/>
    <x v="7"/>
    <x v="168"/>
    <n v="0"/>
    <n v="181187"/>
    <d v="2015-07-01T00:00:00"/>
    <d v="2016-06-30T00:00:00"/>
    <d v="2016-07-14T00:00:00"/>
  </r>
  <r>
    <x v="18"/>
    <x v="0"/>
    <x v="169"/>
    <n v="0"/>
    <n v="237182"/>
    <d v="2014-10-01T00:00:00"/>
    <d v="2015-09-30T00:00:00"/>
    <d v="2015-10-31T00:00:00"/>
  </r>
  <r>
    <x v="18"/>
    <x v="1"/>
    <x v="170"/>
    <n v="0"/>
    <n v="6588"/>
    <d v="2015-07-01T00:00:00"/>
    <d v="2016-06-30T00:00:00"/>
    <d v="2016-07-14T00:00:00"/>
  </r>
  <r>
    <x v="18"/>
    <x v="2"/>
    <x v="171"/>
    <n v="0"/>
    <n v="84095"/>
    <d v="2015-07-01T00:00:00"/>
    <d v="2016-06-30T00:00:00"/>
    <d v="2016-07-14T00:00:00"/>
  </r>
  <r>
    <x v="18"/>
    <x v="8"/>
    <x v="172"/>
    <n v="0"/>
    <n v="16549"/>
    <d v="2015-07-01T00:00:00"/>
    <d v="2016-06-30T00:00:00"/>
    <d v="2016-07-14T00:00:00"/>
  </r>
  <r>
    <x v="18"/>
    <x v="4"/>
    <x v="173"/>
    <n v="0"/>
    <n v="30200"/>
    <d v="2015-07-01T00:00:00"/>
    <d v="2016-06-30T00:00:00"/>
    <d v="2016-07-14T00:00:00"/>
  </r>
  <r>
    <x v="18"/>
    <x v="11"/>
    <x v="174"/>
    <n v="0"/>
    <n v="95435"/>
    <d v="2014-07-01T00:00:00"/>
    <d v="2016-06-30T00:00:00"/>
    <d v="2016-07-14T00:00:00"/>
  </r>
  <r>
    <x v="18"/>
    <x v="13"/>
    <x v="175"/>
    <n v="0"/>
    <n v="11827"/>
    <d v="2015-06-01T00:00:00"/>
    <d v="2015-12-31T00:00:00"/>
    <d v="2016-01-31T00:00:00"/>
  </r>
  <r>
    <x v="18"/>
    <x v="5"/>
    <x v="176"/>
    <n v="0"/>
    <n v="16000"/>
    <d v="2015-07-01T00:00:00"/>
    <d v="2016-06-30T00:00:00"/>
    <d v="2016-07-14T00:00:00"/>
  </r>
  <r>
    <x v="18"/>
    <x v="18"/>
    <x v="177"/>
    <n v="0"/>
    <n v="5000"/>
    <d v="2015-07-01T00:00:00"/>
    <d v="2016-06-30T00:00:00"/>
    <d v="2016-07-14T00:00:00"/>
  </r>
  <r>
    <x v="18"/>
    <x v="6"/>
    <x v="178"/>
    <n v="0"/>
    <n v="392820"/>
    <d v="2015-07-01T00:00:00"/>
    <d v="2016-06-30T00:00:00"/>
    <d v="2016-07-14T00:00:00"/>
  </r>
  <r>
    <x v="18"/>
    <x v="19"/>
    <x v="179"/>
    <n v="0"/>
    <n v="85245"/>
    <d v="2015-07-22T00:00:00"/>
    <d v="2016-06-30T00:00:00"/>
    <d v="2016-07-14T00:00:00"/>
  </r>
  <r>
    <x v="18"/>
    <x v="7"/>
    <x v="180"/>
    <n v="0"/>
    <n v="687485"/>
    <d v="2015-07-01T00:00:00"/>
    <d v="2016-06-30T00:00:00"/>
    <d v="2016-07-14T00:00:00"/>
  </r>
  <r>
    <x v="19"/>
    <x v="0"/>
    <x v="181"/>
    <n v="0"/>
    <n v="229356"/>
    <d v="2014-10-01T00:00:00"/>
    <d v="2015-09-30T00:00:00"/>
    <d v="2015-10-31T00:00:00"/>
  </r>
  <r>
    <x v="19"/>
    <x v="1"/>
    <x v="182"/>
    <n v="0"/>
    <n v="5563"/>
    <d v="2015-07-01T00:00:00"/>
    <d v="2016-06-30T00:00:00"/>
    <d v="2016-07-14T00:00:00"/>
  </r>
  <r>
    <x v="19"/>
    <x v="2"/>
    <x v="183"/>
    <n v="0"/>
    <n v="157090"/>
    <d v="2015-07-01T00:00:00"/>
    <d v="2016-06-30T00:00:00"/>
    <d v="2016-07-14T00:00:00"/>
  </r>
  <r>
    <x v="19"/>
    <x v="8"/>
    <x v="184"/>
    <n v="0"/>
    <n v="27679"/>
    <d v="2015-07-01T00:00:00"/>
    <d v="2016-06-30T00:00:00"/>
    <d v="2016-07-14T00:00:00"/>
  </r>
  <r>
    <x v="19"/>
    <x v="3"/>
    <x v="185"/>
    <n v="0"/>
    <n v="24000"/>
    <d v="2014-11-01T00:00:00"/>
    <d v="2016-06-30T00:00:00"/>
    <d v="2016-07-14T00:00:00"/>
  </r>
  <r>
    <x v="19"/>
    <x v="14"/>
    <x v="186"/>
    <n v="0"/>
    <n v="1383943"/>
    <d v="2015-07-01T00:00:00"/>
    <d v="2016-06-30T00:00:00"/>
    <d v="2016-07-14T00:00:00"/>
  </r>
  <r>
    <x v="19"/>
    <x v="4"/>
    <x v="187"/>
    <n v="0"/>
    <n v="15100"/>
    <d v="2015-07-01T00:00:00"/>
    <d v="2016-06-30T00:00:00"/>
    <d v="2016-07-14T00:00:00"/>
  </r>
  <r>
    <x v="19"/>
    <x v="16"/>
    <x v="188"/>
    <n v="0"/>
    <n v="4459"/>
    <d v="2015-07-01T00:00:00"/>
    <d v="2016-06-30T00:00:00"/>
    <d v="2016-07-14T00:00:00"/>
  </r>
  <r>
    <x v="19"/>
    <x v="11"/>
    <x v="189"/>
    <n v="0"/>
    <n v="95435"/>
    <d v="2014-07-01T00:00:00"/>
    <d v="2016-06-30T00:00:00"/>
    <d v="2016-07-14T00:00:00"/>
  </r>
  <r>
    <x v="19"/>
    <x v="5"/>
    <x v="190"/>
    <n v="0"/>
    <n v="16000"/>
    <d v="2015-07-01T00:00:00"/>
    <d v="2016-06-30T00:00:00"/>
    <d v="2016-07-14T00:00:00"/>
  </r>
  <r>
    <x v="19"/>
    <x v="6"/>
    <x v="191"/>
    <n v="0"/>
    <n v="178509"/>
    <d v="2015-07-01T00:00:00"/>
    <d v="2016-06-30T00:00:00"/>
    <d v="2016-07-14T00:00:00"/>
  </r>
  <r>
    <x v="19"/>
    <x v="10"/>
    <x v="192"/>
    <n v="0"/>
    <n v="13900"/>
    <d v="2015-01-01T00:00:00"/>
    <d v="2015-10-31T00:00:00"/>
    <d v="2015-11-30T00:00:00"/>
  </r>
  <r>
    <x v="19"/>
    <x v="7"/>
    <x v="193"/>
    <n v="0"/>
    <n v="291241"/>
    <d v="2015-07-01T00:00:00"/>
    <d v="2016-06-30T00:00:00"/>
    <d v="2016-07-14T00:00:00"/>
  </r>
  <r>
    <x v="20"/>
    <x v="0"/>
    <x v="194"/>
    <n v="0"/>
    <n v="183411"/>
    <d v="2014-10-01T00:00:00"/>
    <d v="2015-09-30T00:00:00"/>
    <d v="2015-10-31T00:00:00"/>
  </r>
  <r>
    <x v="20"/>
    <x v="1"/>
    <x v="195"/>
    <n v="0"/>
    <n v="11126"/>
    <d v="2015-07-01T00:00:00"/>
    <d v="2016-06-30T00:00:00"/>
    <d v="2016-07-14T00:00:00"/>
  </r>
  <r>
    <x v="20"/>
    <x v="2"/>
    <x v="196"/>
    <n v="0"/>
    <n v="209209"/>
    <d v="2015-07-01T00:00:00"/>
    <d v="2016-06-30T00:00:00"/>
    <d v="2016-07-14T00:00:00"/>
  </r>
  <r>
    <x v="20"/>
    <x v="8"/>
    <x v="197"/>
    <n v="0"/>
    <n v="45585"/>
    <d v="2015-07-01T00:00:00"/>
    <d v="2016-06-30T00:00:00"/>
    <d v="2016-07-14T00:00:00"/>
  </r>
  <r>
    <x v="20"/>
    <x v="3"/>
    <x v="198"/>
    <n v="0"/>
    <n v="55060"/>
    <d v="2014-11-01T00:00:00"/>
    <d v="2016-06-30T00:00:00"/>
    <d v="2016-07-14T00:00:00"/>
  </r>
  <r>
    <x v="20"/>
    <x v="4"/>
    <x v="199"/>
    <n v="0"/>
    <n v="120800"/>
    <d v="2015-07-01T00:00:00"/>
    <d v="2016-06-30T00:00:00"/>
    <d v="2016-07-14T00:00:00"/>
  </r>
  <r>
    <x v="20"/>
    <x v="16"/>
    <x v="200"/>
    <n v="0"/>
    <n v="5000"/>
    <d v="2015-07-01T00:00:00"/>
    <d v="2016-06-30T00:00:00"/>
    <d v="2016-07-14T00:00:00"/>
  </r>
  <r>
    <x v="20"/>
    <x v="13"/>
    <x v="201"/>
    <n v="0"/>
    <n v="2750"/>
    <d v="2015-08-01T00:00:00"/>
    <d v="2016-06-30T00:00:00"/>
    <d v="2016-07-14T00:00:00"/>
  </r>
  <r>
    <x v="20"/>
    <x v="5"/>
    <x v="202"/>
    <n v="0"/>
    <n v="32000"/>
    <d v="2015-07-01T00:00:00"/>
    <d v="2016-06-30T00:00:00"/>
    <d v="2016-07-14T00:00:00"/>
  </r>
  <r>
    <x v="20"/>
    <x v="18"/>
    <x v="203"/>
    <n v="0"/>
    <n v="5000"/>
    <d v="2015-07-01T00:00:00"/>
    <d v="2016-06-30T00:00:00"/>
    <d v="2016-07-14T00:00:00"/>
  </r>
  <r>
    <x v="20"/>
    <x v="6"/>
    <x v="204"/>
    <n v="0"/>
    <n v="459747"/>
    <d v="2015-07-01T00:00:00"/>
    <d v="2016-06-30T00:00:00"/>
    <d v="2016-07-14T00:00:00"/>
  </r>
  <r>
    <x v="20"/>
    <x v="19"/>
    <x v="205"/>
    <n v="0"/>
    <n v="25032"/>
    <d v="2015-07-22T00:00:00"/>
    <d v="2016-06-30T00:00:00"/>
    <d v="2016-07-14T00:00:00"/>
  </r>
  <r>
    <x v="20"/>
    <x v="7"/>
    <x v="206"/>
    <n v="0"/>
    <n v="339195"/>
    <d v="2015-07-01T00:00:00"/>
    <d v="2016-06-30T00:00:00"/>
    <d v="2016-07-14T00:00:00"/>
  </r>
  <r>
    <x v="21"/>
    <x v="11"/>
    <x v="207"/>
    <n v="0"/>
    <n v="149635"/>
    <d v="2013-01-01T00:00:00"/>
    <d v="2016-06-30T00:00:00"/>
    <d v="2016-07-14T00:00:00"/>
  </r>
  <r>
    <x v="22"/>
    <x v="11"/>
    <x v="208"/>
    <n v="0"/>
    <n v="95435"/>
    <d v="2014-07-01T00:00:00"/>
    <d v="2016-06-30T00:00:00"/>
    <d v="2016-07-14T00:00:00"/>
  </r>
  <r>
    <x v="23"/>
    <x v="20"/>
    <x v="209"/>
    <n v="0"/>
    <n v="10000"/>
    <d v="2015-02-26T00:00:00"/>
    <d v="2015-12-31T00:00:00"/>
    <d v="2016-01-31T00:00:00"/>
  </r>
  <r>
    <x v="23"/>
    <x v="0"/>
    <x v="210"/>
    <n v="0"/>
    <n v="263720"/>
    <d v="2014-10-01T00:00:00"/>
    <d v="2015-09-30T00:00:00"/>
    <d v="2015-10-31T00:00:00"/>
  </r>
  <r>
    <x v="23"/>
    <x v="1"/>
    <x v="211"/>
    <n v="0"/>
    <n v="6076"/>
    <d v="2015-07-01T00:00:00"/>
    <d v="2016-06-30T00:00:00"/>
    <d v="2016-07-14T00:00:00"/>
  </r>
  <r>
    <x v="23"/>
    <x v="2"/>
    <x v="212"/>
    <n v="0"/>
    <n v="338564"/>
    <d v="2015-07-01T00:00:00"/>
    <d v="2016-06-30T00:00:00"/>
    <d v="2016-07-14T00:00:00"/>
  </r>
  <r>
    <x v="23"/>
    <x v="8"/>
    <x v="213"/>
    <n v="0"/>
    <n v="71148"/>
    <d v="2015-07-01T00:00:00"/>
    <d v="2016-06-30T00:00:00"/>
    <d v="2016-07-14T00:00:00"/>
  </r>
  <r>
    <x v="23"/>
    <x v="4"/>
    <x v="214"/>
    <n v="0"/>
    <n v="15100"/>
    <d v="2015-07-01T00:00:00"/>
    <d v="2016-06-30T00:00:00"/>
    <d v="2016-07-14T00:00:00"/>
  </r>
  <r>
    <x v="23"/>
    <x v="16"/>
    <x v="215"/>
    <n v="0"/>
    <n v="5000"/>
    <d v="2015-07-01T00:00:00"/>
    <d v="2016-06-30T00:00:00"/>
    <d v="2016-07-14T00:00:00"/>
  </r>
  <r>
    <x v="23"/>
    <x v="11"/>
    <x v="216"/>
    <n v="0"/>
    <n v="144635"/>
    <d v="2013-01-01T00:00:00"/>
    <d v="2016-06-30T00:00:00"/>
    <d v="2016-07-14T00:00:00"/>
  </r>
  <r>
    <x v="23"/>
    <x v="5"/>
    <x v="217"/>
    <n v="0"/>
    <n v="16000"/>
    <d v="2015-07-01T00:00:00"/>
    <d v="2016-06-30T00:00:00"/>
    <d v="2016-07-14T00:00:00"/>
  </r>
  <r>
    <x v="23"/>
    <x v="6"/>
    <x v="218"/>
    <n v="0"/>
    <n v="243055"/>
    <d v="2015-07-01T00:00:00"/>
    <d v="2016-06-30T00:00:00"/>
    <d v="2016-07-14T00:00:00"/>
  </r>
  <r>
    <x v="23"/>
    <x v="7"/>
    <x v="219"/>
    <n v="0"/>
    <n v="365228"/>
    <d v="2015-07-01T00:00:00"/>
    <d v="2016-06-30T00:00:00"/>
    <d v="2016-07-14T00:00:00"/>
  </r>
  <r>
    <x v="24"/>
    <x v="0"/>
    <x v="220"/>
    <n v="0"/>
    <n v="470460"/>
    <d v="2014-10-01T00:00:00"/>
    <d v="2015-09-30T00:00:00"/>
    <d v="2015-10-31T00:00:00"/>
  </r>
  <r>
    <x v="24"/>
    <x v="1"/>
    <x v="221"/>
    <n v="0"/>
    <n v="6076"/>
    <d v="2015-07-01T00:00:00"/>
    <d v="2016-06-30T00:00:00"/>
    <d v="2016-07-14T00:00:00"/>
  </r>
  <r>
    <x v="24"/>
    <x v="2"/>
    <x v="222"/>
    <n v="0"/>
    <n v="247953"/>
    <d v="2015-07-01T00:00:00"/>
    <d v="2016-06-30T00:00:00"/>
    <d v="2016-07-14T00:00:00"/>
  </r>
  <r>
    <x v="24"/>
    <x v="8"/>
    <x v="223"/>
    <n v="0"/>
    <n v="59009"/>
    <d v="2015-07-01T00:00:00"/>
    <d v="2016-06-30T00:00:00"/>
    <d v="2016-07-14T00:00:00"/>
  </r>
  <r>
    <x v="24"/>
    <x v="11"/>
    <x v="224"/>
    <n v="0"/>
    <n v="149635"/>
    <d v="2013-01-01T00:00:00"/>
    <d v="2016-06-30T00:00:00"/>
    <d v="2016-07-14T00:00:00"/>
  </r>
  <r>
    <x v="24"/>
    <x v="6"/>
    <x v="225"/>
    <n v="0"/>
    <n v="219476"/>
    <d v="2015-07-01T00:00:00"/>
    <d v="2016-06-30T00:00:00"/>
    <d v="2016-07-14T00:00:00"/>
  </r>
  <r>
    <x v="24"/>
    <x v="7"/>
    <x v="226"/>
    <n v="0"/>
    <n v="195854"/>
    <d v="2015-07-01T00:00:00"/>
    <d v="2016-06-30T00:00:00"/>
    <d v="2016-07-14T00:00:00"/>
  </r>
  <r>
    <x v="25"/>
    <x v="0"/>
    <x v="227"/>
    <n v="0"/>
    <n v="246011"/>
    <d v="2014-10-01T00:00:00"/>
    <d v="2015-09-30T00:00:00"/>
    <d v="2015-10-31T00:00:00"/>
  </r>
  <r>
    <x v="25"/>
    <x v="1"/>
    <x v="228"/>
    <n v="0"/>
    <n v="6076"/>
    <d v="2015-07-01T00:00:00"/>
    <d v="2016-06-30T00:00:00"/>
    <d v="2016-07-14T00:00:00"/>
  </r>
  <r>
    <x v="25"/>
    <x v="2"/>
    <x v="229"/>
    <n v="0"/>
    <n v="95282"/>
    <d v="2015-07-01T00:00:00"/>
    <d v="2016-06-30T00:00:00"/>
    <d v="2016-07-14T00:00:00"/>
  </r>
  <r>
    <x v="25"/>
    <x v="6"/>
    <x v="230"/>
    <n v="0"/>
    <n v="66670"/>
    <d v="2015-07-01T00:00:00"/>
    <d v="2016-06-30T00:00:00"/>
    <d v="2016-07-14T00:00:00"/>
  </r>
  <r>
    <x v="25"/>
    <x v="7"/>
    <x v="231"/>
    <n v="0"/>
    <n v="204712"/>
    <d v="2015-07-01T00:00:00"/>
    <d v="2016-06-30T00:00:00"/>
    <d v="2016-07-14T00:00:00"/>
  </r>
  <r>
    <x v="26"/>
    <x v="0"/>
    <x v="232"/>
    <n v="0"/>
    <n v="392391"/>
    <d v="2014-10-01T00:00:00"/>
    <d v="2015-09-30T00:00:00"/>
    <d v="2015-10-31T00:00:00"/>
  </r>
  <r>
    <x v="26"/>
    <x v="1"/>
    <x v="233"/>
    <n v="0"/>
    <n v="5563"/>
    <d v="2015-07-01T00:00:00"/>
    <d v="2016-06-30T00:00:00"/>
    <d v="2016-07-14T00:00:00"/>
  </r>
  <r>
    <x v="26"/>
    <x v="2"/>
    <x v="234"/>
    <n v="0"/>
    <n v="192126"/>
    <d v="2015-07-01T00:00:00"/>
    <d v="2016-06-30T00:00:00"/>
    <d v="2016-07-14T00:00:00"/>
  </r>
  <r>
    <x v="26"/>
    <x v="8"/>
    <x v="235"/>
    <n v="0"/>
    <n v="42231"/>
    <d v="2015-07-01T00:00:00"/>
    <d v="2016-06-30T00:00:00"/>
    <d v="2016-07-14T00:00:00"/>
  </r>
  <r>
    <x v="26"/>
    <x v="13"/>
    <x v="236"/>
    <n v="0"/>
    <n v="27000"/>
    <d v="2014-12-04T00:00:00"/>
    <d v="2015-08-31T00:00:00"/>
    <d v="2015-10-31T00:00:00"/>
  </r>
  <r>
    <x v="26"/>
    <x v="6"/>
    <x v="237"/>
    <n v="0"/>
    <n v="213877"/>
    <d v="2015-07-01T00:00:00"/>
    <d v="2016-06-30T00:00:00"/>
    <d v="2016-07-14T00:00:00"/>
  </r>
  <r>
    <x v="26"/>
    <x v="9"/>
    <x v="238"/>
    <n v="0"/>
    <n v="40285"/>
    <d v="2015-07-01T00:00:00"/>
    <d v="2016-06-30T00:00:00"/>
    <d v="2016-07-14T00:00:00"/>
  </r>
  <r>
    <x v="26"/>
    <x v="7"/>
    <x v="239"/>
    <n v="0"/>
    <n v="250355"/>
    <d v="2015-07-01T00:00:00"/>
    <d v="2016-06-30T00:00:00"/>
    <d v="2016-07-14T00:00:00"/>
  </r>
  <r>
    <x v="27"/>
    <x v="0"/>
    <x v="240"/>
    <n v="0"/>
    <n v="370369"/>
    <d v="2014-10-01T00:00:00"/>
    <d v="2015-09-30T00:00:00"/>
    <d v="2015-10-31T00:00:00"/>
  </r>
  <r>
    <x v="27"/>
    <x v="1"/>
    <x v="241"/>
    <n v="0"/>
    <n v="6076"/>
    <d v="2015-07-01T00:00:00"/>
    <d v="2016-06-30T00:00:00"/>
    <d v="2016-07-14T00:00:00"/>
  </r>
  <r>
    <x v="27"/>
    <x v="2"/>
    <x v="242"/>
    <n v="0"/>
    <n v="146197"/>
    <d v="2015-07-01T00:00:00"/>
    <d v="2016-06-30T00:00:00"/>
    <d v="2016-07-14T00:00:00"/>
  </r>
  <r>
    <x v="27"/>
    <x v="8"/>
    <x v="243"/>
    <n v="0"/>
    <n v="28943"/>
    <d v="2015-07-01T00:00:00"/>
    <d v="2016-06-30T00:00:00"/>
    <d v="2016-07-14T00:00:00"/>
  </r>
  <r>
    <x v="27"/>
    <x v="3"/>
    <x v="244"/>
    <n v="0"/>
    <n v="60000"/>
    <d v="2014-11-01T00:00:00"/>
    <d v="2016-06-30T00:00:00"/>
    <d v="2016-07-14T00:00:00"/>
  </r>
  <r>
    <x v="27"/>
    <x v="4"/>
    <x v="245"/>
    <n v="0"/>
    <n v="15100"/>
    <d v="2015-07-01T00:00:00"/>
    <d v="2016-06-30T00:00:00"/>
    <d v="2016-07-14T00:00:00"/>
  </r>
  <r>
    <x v="27"/>
    <x v="15"/>
    <x v="246"/>
    <n v="0"/>
    <n v="15000"/>
    <d v="2015-07-01T00:00:00"/>
    <d v="2016-06-30T00:00:00"/>
    <d v="2016-07-14T00:00:00"/>
  </r>
  <r>
    <x v="27"/>
    <x v="5"/>
    <x v="247"/>
    <n v="0"/>
    <n v="16000"/>
    <d v="2015-07-01T00:00:00"/>
    <d v="2016-06-30T00:00:00"/>
    <d v="2016-07-14T00:00:00"/>
  </r>
  <r>
    <x v="27"/>
    <x v="6"/>
    <x v="248"/>
    <n v="0"/>
    <n v="378342"/>
    <d v="2015-07-01T00:00:00"/>
    <d v="2016-06-30T00:00:00"/>
    <d v="2016-07-14T00:00:00"/>
  </r>
  <r>
    <x v="27"/>
    <x v="9"/>
    <x v="249"/>
    <n v="0"/>
    <n v="51235"/>
    <d v="2015-07-01T00:00:00"/>
    <d v="2016-06-30T00:00:00"/>
    <d v="2016-07-14T00:00:00"/>
  </r>
  <r>
    <x v="27"/>
    <x v="7"/>
    <x v="250"/>
    <n v="0"/>
    <n v="387019"/>
    <d v="2015-07-01T00:00:00"/>
    <d v="2016-06-30T00:00:00"/>
    <d v="2016-07-14T00:00:00"/>
  </r>
  <r>
    <x v="28"/>
    <x v="0"/>
    <x v="251"/>
    <n v="0"/>
    <n v="159756"/>
    <d v="2014-10-01T00:00:00"/>
    <d v="2015-09-30T00:00:00"/>
    <d v="2015-10-31T00:00:00"/>
  </r>
  <r>
    <x v="28"/>
    <x v="1"/>
    <x v="252"/>
    <n v="0"/>
    <n v="6076"/>
    <d v="2015-07-01T00:00:00"/>
    <d v="2016-06-30T00:00:00"/>
    <d v="2016-07-14T00:00:00"/>
  </r>
  <r>
    <x v="28"/>
    <x v="2"/>
    <x v="253"/>
    <n v="0"/>
    <n v="96835"/>
    <d v="2015-07-01T00:00:00"/>
    <d v="2016-06-30T00:00:00"/>
    <d v="2016-07-14T00:00:00"/>
  </r>
  <r>
    <x v="28"/>
    <x v="4"/>
    <x v="254"/>
    <n v="0"/>
    <n v="37750"/>
    <d v="2015-07-01T00:00:00"/>
    <d v="2016-06-30T00:00:00"/>
    <d v="2016-07-14T00:00:00"/>
  </r>
  <r>
    <x v="28"/>
    <x v="6"/>
    <x v="255"/>
    <n v="0"/>
    <n v="173885"/>
    <d v="2015-07-01T00:00:00"/>
    <d v="2016-06-30T00:00:00"/>
    <d v="2016-07-14T00:00:00"/>
  </r>
  <r>
    <x v="28"/>
    <x v="9"/>
    <x v="256"/>
    <n v="0"/>
    <n v="51235"/>
    <d v="2015-07-01T00:00:00"/>
    <d v="2016-06-30T00:00:00"/>
    <d v="2016-07-14T00:00:00"/>
  </r>
  <r>
    <x v="28"/>
    <x v="7"/>
    <x v="257"/>
    <n v="0"/>
    <n v="367403"/>
    <d v="2015-07-01T00:00:00"/>
    <d v="2016-06-30T00:00:00"/>
    <d v="2016-07-14T00:00:00"/>
  </r>
  <r>
    <x v="29"/>
    <x v="0"/>
    <x v="258"/>
    <n v="0"/>
    <n v="1434702"/>
    <d v="2014-10-01T00:00:00"/>
    <d v="2015-09-30T00:00:00"/>
    <d v="2015-10-31T00:00:00"/>
  </r>
  <r>
    <x v="29"/>
    <x v="1"/>
    <x v="259"/>
    <n v="0"/>
    <n v="5563"/>
    <d v="2015-07-01T00:00:00"/>
    <d v="2016-06-30T00:00:00"/>
    <d v="2016-07-14T00:00:00"/>
  </r>
  <r>
    <x v="29"/>
    <x v="2"/>
    <x v="260"/>
    <n v="0"/>
    <n v="260368"/>
    <d v="2015-07-01T00:00:00"/>
    <d v="2016-06-30T00:00:00"/>
    <d v="2016-07-14T00:00:00"/>
  </r>
  <r>
    <x v="29"/>
    <x v="8"/>
    <x v="261"/>
    <n v="0"/>
    <n v="58268"/>
    <d v="2015-07-01T00:00:00"/>
    <d v="2016-06-30T00:00:00"/>
    <d v="2016-07-14T00:00:00"/>
  </r>
  <r>
    <x v="29"/>
    <x v="12"/>
    <x v="262"/>
    <n v="0"/>
    <n v="108913"/>
    <d v="2015-07-01T00:00:00"/>
    <d v="2017-06-30T00:00:00"/>
    <d v="2017-07-15T00:00:00"/>
  </r>
  <r>
    <x v="29"/>
    <x v="12"/>
    <x v="263"/>
    <n v="0"/>
    <n v="28181"/>
    <d v="2015-07-01T00:00:00"/>
    <d v="2017-06-30T00:00:00"/>
    <d v="2017-07-15T00:00:00"/>
  </r>
  <r>
    <x v="29"/>
    <x v="6"/>
    <x v="264"/>
    <n v="0"/>
    <n v="190202"/>
    <d v="2015-07-01T00:00:00"/>
    <d v="2016-06-30T00:00:00"/>
    <d v="2016-07-14T00:00:00"/>
  </r>
  <r>
    <x v="29"/>
    <x v="9"/>
    <x v="265"/>
    <n v="0"/>
    <n v="51235"/>
    <d v="2015-07-01T00:00:00"/>
    <d v="2016-06-30T00:00:00"/>
    <d v="2016-07-14T00:00:00"/>
  </r>
  <r>
    <x v="29"/>
    <x v="7"/>
    <x v="266"/>
    <n v="0"/>
    <n v="297484"/>
    <d v="2015-07-01T00:00:00"/>
    <d v="2016-06-30T00:00:00"/>
    <d v="2016-07-14T00:00:00"/>
  </r>
  <r>
    <x v="30"/>
    <x v="0"/>
    <x v="267"/>
    <n v="0"/>
    <n v="584887"/>
    <d v="2014-10-01T00:00:00"/>
    <d v="2015-09-30T00:00:00"/>
    <d v="2015-10-31T00:00:00"/>
  </r>
  <r>
    <x v="30"/>
    <x v="1"/>
    <x v="268"/>
    <n v="0"/>
    <n v="9076"/>
    <d v="2015-07-01T00:00:00"/>
    <d v="2016-06-30T00:00:00"/>
    <d v="2016-07-14T00:00:00"/>
  </r>
  <r>
    <x v="30"/>
    <x v="2"/>
    <x v="269"/>
    <n v="0"/>
    <n v="501991"/>
    <d v="2015-07-01T00:00:00"/>
    <d v="2016-06-30T00:00:00"/>
    <d v="2016-07-14T00:00:00"/>
  </r>
  <r>
    <x v="30"/>
    <x v="8"/>
    <x v="270"/>
    <n v="0"/>
    <n v="103550"/>
    <d v="2015-07-01T00:00:00"/>
    <d v="2016-06-30T00:00:00"/>
    <d v="2016-07-14T00:00:00"/>
  </r>
  <r>
    <x v="30"/>
    <x v="14"/>
    <x v="271"/>
    <n v="0"/>
    <n v="1779716"/>
    <d v="2015-07-01T00:00:00"/>
    <d v="2016-06-30T00:00:00"/>
    <d v="2016-07-14T00:00:00"/>
  </r>
  <r>
    <x v="30"/>
    <x v="11"/>
    <x v="272"/>
    <n v="0"/>
    <n v="205870"/>
    <d v="2013-01-01T00:00:00"/>
    <d v="2016-06-30T00:00:00"/>
    <d v="2016-07-14T00:00:00"/>
  </r>
  <r>
    <x v="30"/>
    <x v="13"/>
    <x v="273"/>
    <n v="0"/>
    <n v="15000"/>
    <d v="2015-02-02T00:00:00"/>
    <d v="2016-12-31T00:00:00"/>
    <d v="2017-01-31T00:00:00"/>
  </r>
  <r>
    <x v="30"/>
    <x v="13"/>
    <x v="274"/>
    <n v="0"/>
    <n v="10000"/>
    <d v="2015-02-02T00:00:00"/>
    <d v="2016-06-30T00:00:00"/>
    <d v="2016-07-14T00:00:00"/>
  </r>
  <r>
    <x v="30"/>
    <x v="13"/>
    <x v="275"/>
    <n v="0"/>
    <n v="24000"/>
    <d v="2015-07-01T00:00:00"/>
    <d v="2016-06-30T00:00:00"/>
    <d v="2016-07-14T00:00:00"/>
  </r>
  <r>
    <x v="30"/>
    <x v="18"/>
    <x v="276"/>
    <n v="0"/>
    <n v="5000"/>
    <d v="2015-07-01T00:00:00"/>
    <d v="2016-06-30T00:00:00"/>
    <d v="2016-07-14T00:00:00"/>
  </r>
  <r>
    <x v="30"/>
    <x v="6"/>
    <x v="277"/>
    <n v="0"/>
    <n v="991379"/>
    <d v="2015-07-01T00:00:00"/>
    <d v="2016-06-30T00:00:00"/>
    <d v="2016-07-14T00:00:00"/>
  </r>
  <r>
    <x v="30"/>
    <x v="7"/>
    <x v="278"/>
    <n v="0"/>
    <n v="1532619"/>
    <d v="2015-07-01T00:00:00"/>
    <d v="2016-06-30T00:00:00"/>
    <d v="2016-07-14T00:00:00"/>
  </r>
  <r>
    <x v="31"/>
    <x v="5"/>
    <x v="279"/>
    <n v="0"/>
    <n v="16000"/>
    <d v="2015-07-01T00:00:00"/>
    <d v="2016-06-30T00:00:00"/>
    <d v="2016-07-14T00:00:00"/>
  </r>
  <r>
    <x v="32"/>
    <x v="0"/>
    <x v="280"/>
    <n v="0"/>
    <n v="262203"/>
    <d v="2014-10-01T00:00:00"/>
    <d v="2015-09-30T00:00:00"/>
    <d v="2015-10-31T00:00:00"/>
  </r>
  <r>
    <x v="32"/>
    <x v="2"/>
    <x v="281"/>
    <n v="0"/>
    <n v="143037"/>
    <d v="2015-07-01T00:00:00"/>
    <d v="2016-06-30T00:00:00"/>
    <d v="2016-07-14T00:00:00"/>
  </r>
  <r>
    <x v="32"/>
    <x v="8"/>
    <x v="282"/>
    <n v="0"/>
    <n v="36714"/>
    <d v="2015-07-01T00:00:00"/>
    <d v="2016-06-30T00:00:00"/>
    <d v="2016-07-14T00:00:00"/>
  </r>
  <r>
    <x v="32"/>
    <x v="3"/>
    <x v="283"/>
    <n v="0"/>
    <n v="59891"/>
    <d v="2014-11-01T00:00:00"/>
    <d v="2016-06-30T00:00:00"/>
    <d v="2016-07-14T00:00:00"/>
  </r>
  <r>
    <x v="32"/>
    <x v="14"/>
    <x v="284"/>
    <n v="0"/>
    <n v="1375460"/>
    <d v="2015-07-01T00:00:00"/>
    <d v="2016-06-30T00:00:00"/>
    <d v="2016-07-14T00:00:00"/>
  </r>
  <r>
    <x v="32"/>
    <x v="16"/>
    <x v="285"/>
    <n v="0"/>
    <n v="5000"/>
    <d v="2015-07-01T00:00:00"/>
    <d v="2016-06-30T00:00:00"/>
    <d v="2016-07-14T00:00:00"/>
  </r>
  <r>
    <x v="32"/>
    <x v="11"/>
    <x v="286"/>
    <n v="0"/>
    <n v="154635"/>
    <d v="2013-01-01T00:00:00"/>
    <d v="2016-06-30T00:00:00"/>
    <d v="2016-07-14T00:00:00"/>
  </r>
  <r>
    <x v="32"/>
    <x v="5"/>
    <x v="287"/>
    <n v="0"/>
    <n v="16000"/>
    <d v="2015-07-01T00:00:00"/>
    <d v="2016-06-30T00:00:00"/>
    <d v="2016-07-14T00:00:00"/>
  </r>
  <r>
    <x v="32"/>
    <x v="6"/>
    <x v="288"/>
    <n v="0"/>
    <n v="390961"/>
    <d v="2015-07-01T00:00:00"/>
    <d v="2016-06-30T00:00:00"/>
    <d v="2016-07-14T00:00:00"/>
  </r>
  <r>
    <x v="32"/>
    <x v="10"/>
    <x v="289"/>
    <n v="0"/>
    <n v="14500"/>
    <d v="2015-01-01T00:00:00"/>
    <d v="2015-08-31T00:00:00"/>
    <d v="2015-10-31T00:00:00"/>
  </r>
  <r>
    <x v="32"/>
    <x v="7"/>
    <x v="290"/>
    <n v="0"/>
    <n v="625508"/>
    <d v="2015-07-01T00:00:00"/>
    <d v="2016-06-30T00:00:00"/>
    <d v="2016-07-14T00:00:00"/>
  </r>
  <r>
    <x v="33"/>
    <x v="0"/>
    <x v="291"/>
    <n v="0"/>
    <n v="229837"/>
    <d v="2014-10-01T00:00:00"/>
    <d v="2015-09-30T00:00:00"/>
    <d v="2015-10-31T00:00:00"/>
  </r>
  <r>
    <x v="33"/>
    <x v="1"/>
    <x v="292"/>
    <n v="0"/>
    <n v="5563"/>
    <d v="2015-07-01T00:00:00"/>
    <d v="2016-06-30T00:00:00"/>
    <d v="2016-07-14T00:00:00"/>
  </r>
  <r>
    <x v="33"/>
    <x v="2"/>
    <x v="293"/>
    <n v="0"/>
    <n v="113971"/>
    <d v="2015-07-01T00:00:00"/>
    <d v="2016-06-30T00:00:00"/>
    <d v="2016-07-14T00:00:00"/>
  </r>
  <r>
    <x v="33"/>
    <x v="8"/>
    <x v="294"/>
    <n v="0"/>
    <n v="23328"/>
    <d v="2015-07-01T00:00:00"/>
    <d v="2016-06-30T00:00:00"/>
    <d v="2016-07-14T00:00:00"/>
  </r>
  <r>
    <x v="33"/>
    <x v="14"/>
    <x v="295"/>
    <n v="0"/>
    <n v="6202351"/>
    <d v="2015-07-01T00:00:00"/>
    <d v="2016-06-30T00:00:00"/>
    <d v="2016-07-14T00:00:00"/>
  </r>
  <r>
    <x v="33"/>
    <x v="11"/>
    <x v="296"/>
    <n v="0"/>
    <n v="154635"/>
    <d v="2013-01-01T00:00:00"/>
    <d v="2016-06-30T00:00:00"/>
    <d v="2016-07-14T00:00:00"/>
  </r>
  <r>
    <x v="33"/>
    <x v="13"/>
    <x v="297"/>
    <n v="0"/>
    <n v="1000"/>
    <d v="2015-07-01T00:00:00"/>
    <d v="2015-09-30T00:00:00"/>
    <d v="2015-10-31T00:00:00"/>
  </r>
  <r>
    <x v="33"/>
    <x v="5"/>
    <x v="298"/>
    <n v="0"/>
    <n v="16000"/>
    <d v="2015-07-01T00:00:00"/>
    <d v="2016-06-30T00:00:00"/>
    <d v="2016-07-14T00:00:00"/>
  </r>
  <r>
    <x v="33"/>
    <x v="6"/>
    <x v="299"/>
    <n v="0"/>
    <n v="396718"/>
    <d v="2015-07-01T00:00:00"/>
    <d v="2016-06-30T00:00:00"/>
    <d v="2016-07-14T00:00:00"/>
  </r>
  <r>
    <x v="33"/>
    <x v="7"/>
    <x v="300"/>
    <n v="0"/>
    <n v="245409"/>
    <d v="2015-07-01T00:00:00"/>
    <d v="2016-06-30T00:00:00"/>
    <d v="2016-07-14T00:00:00"/>
  </r>
  <r>
    <x v="34"/>
    <x v="0"/>
    <x v="301"/>
    <n v="0"/>
    <n v="113471"/>
    <d v="2014-10-01T00:00:00"/>
    <d v="2015-09-30T00:00:00"/>
    <d v="2015-10-31T00:00:00"/>
  </r>
  <r>
    <x v="34"/>
    <x v="1"/>
    <x v="302"/>
    <n v="0"/>
    <n v="6076"/>
    <d v="2015-07-01T00:00:00"/>
    <d v="2016-06-30T00:00:00"/>
    <d v="2016-07-14T00:00:00"/>
  </r>
  <r>
    <x v="34"/>
    <x v="2"/>
    <x v="303"/>
    <n v="0"/>
    <n v="85381"/>
    <d v="2015-07-01T00:00:00"/>
    <d v="2016-06-30T00:00:00"/>
    <d v="2016-07-14T00:00:00"/>
  </r>
  <r>
    <x v="34"/>
    <x v="8"/>
    <x v="304"/>
    <n v="0"/>
    <n v="18037"/>
    <d v="2015-07-01T00:00:00"/>
    <d v="2016-06-30T00:00:00"/>
    <d v="2016-07-14T00:00:00"/>
  </r>
  <r>
    <x v="34"/>
    <x v="11"/>
    <x v="305"/>
    <n v="0"/>
    <n v="95435"/>
    <d v="2014-07-01T00:00:00"/>
    <d v="2016-06-30T00:00:00"/>
    <d v="2016-07-14T00:00:00"/>
  </r>
  <r>
    <x v="34"/>
    <x v="18"/>
    <x v="306"/>
    <n v="0"/>
    <n v="1915"/>
    <d v="2015-07-01T00:00:00"/>
    <d v="2016-06-30T00:00:00"/>
    <d v="2016-07-14T00:00:00"/>
  </r>
  <r>
    <x v="34"/>
    <x v="6"/>
    <x v="307"/>
    <n v="0"/>
    <n v="241877"/>
    <d v="2015-07-01T00:00:00"/>
    <d v="2016-06-30T00:00:00"/>
    <d v="2016-07-14T00:00:00"/>
  </r>
  <r>
    <x v="34"/>
    <x v="7"/>
    <x v="308"/>
    <n v="0"/>
    <n v="200238"/>
    <d v="2015-07-01T00:00:00"/>
    <d v="2016-06-30T00:00:00"/>
    <d v="2016-07-14T00:00:00"/>
  </r>
  <r>
    <x v="35"/>
    <x v="0"/>
    <x v="309"/>
    <n v="0"/>
    <n v="157996"/>
    <d v="2014-10-01T00:00:00"/>
    <d v="2015-09-30T00:00:00"/>
    <d v="2015-10-31T00:00:00"/>
  </r>
  <r>
    <x v="35"/>
    <x v="1"/>
    <x v="310"/>
    <n v="0"/>
    <n v="5563"/>
    <d v="2015-07-01T00:00:00"/>
    <d v="2016-06-30T00:00:00"/>
    <d v="2016-07-14T00:00:00"/>
  </r>
  <r>
    <x v="35"/>
    <x v="2"/>
    <x v="311"/>
    <n v="0"/>
    <n v="90901"/>
    <d v="2015-07-01T00:00:00"/>
    <d v="2016-06-30T00:00:00"/>
    <d v="2016-07-14T00:00:00"/>
  </r>
  <r>
    <x v="35"/>
    <x v="8"/>
    <x v="312"/>
    <n v="0"/>
    <n v="18797"/>
    <d v="2015-07-01T00:00:00"/>
    <d v="2016-06-30T00:00:00"/>
    <d v="2016-07-14T00:00:00"/>
  </r>
  <r>
    <x v="35"/>
    <x v="4"/>
    <x v="313"/>
    <n v="0"/>
    <n v="30200"/>
    <d v="2015-07-01T00:00:00"/>
    <d v="2016-06-30T00:00:00"/>
    <d v="2016-07-14T00:00:00"/>
  </r>
  <r>
    <x v="35"/>
    <x v="16"/>
    <x v="314"/>
    <n v="0"/>
    <n v="5000"/>
    <d v="2015-07-01T00:00:00"/>
    <d v="2016-06-30T00:00:00"/>
    <d v="2016-07-14T00:00:00"/>
  </r>
  <r>
    <x v="35"/>
    <x v="16"/>
    <x v="315"/>
    <n v="0"/>
    <n v="5000"/>
    <d v="2015-07-01T00:00:00"/>
    <d v="2016-06-30T00:00:00"/>
    <d v="2016-07-14T00:00:00"/>
  </r>
  <r>
    <x v="35"/>
    <x v="17"/>
    <x v="316"/>
    <n v="0"/>
    <n v="24000"/>
    <d v="2015-07-01T00:00:00"/>
    <d v="2016-01-31T00:00:00"/>
    <d v="2016-02-28T00:00:00"/>
  </r>
  <r>
    <x v="35"/>
    <x v="15"/>
    <x v="317"/>
    <n v="0"/>
    <n v="15000"/>
    <d v="2015-07-01T00:00:00"/>
    <d v="2016-06-30T00:00:00"/>
    <d v="2016-07-14T00:00:00"/>
  </r>
  <r>
    <x v="35"/>
    <x v="5"/>
    <x v="318"/>
    <n v="0"/>
    <n v="16000"/>
    <d v="2015-07-01T00:00:00"/>
    <d v="2016-06-30T00:00:00"/>
    <d v="2016-07-14T00:00:00"/>
  </r>
  <r>
    <x v="35"/>
    <x v="18"/>
    <x v="319"/>
    <n v="0"/>
    <n v="5000"/>
    <d v="2015-07-01T00:00:00"/>
    <d v="2016-06-30T00:00:00"/>
    <d v="2016-07-14T00:00:00"/>
  </r>
  <r>
    <x v="35"/>
    <x v="6"/>
    <x v="320"/>
    <n v="0"/>
    <n v="186572"/>
    <d v="2015-07-01T00:00:00"/>
    <d v="2016-06-30T00:00:00"/>
    <d v="2016-07-14T00:00:00"/>
  </r>
  <r>
    <x v="35"/>
    <x v="9"/>
    <x v="321"/>
    <n v="0"/>
    <n v="51235"/>
    <d v="2015-07-01T00:00:00"/>
    <d v="2016-06-30T00:00:00"/>
    <d v="2016-07-14T00:00:00"/>
  </r>
  <r>
    <x v="35"/>
    <x v="7"/>
    <x v="322"/>
    <n v="0"/>
    <n v="157240"/>
    <d v="2015-07-01T00:00:00"/>
    <d v="2016-06-30T00:00:00"/>
    <d v="2016-07-14T00:00:00"/>
  </r>
  <r>
    <x v="36"/>
    <x v="0"/>
    <x v="323"/>
    <n v="0"/>
    <n v="114617"/>
    <d v="2014-10-01T00:00:00"/>
    <d v="2015-09-30T00:00:00"/>
    <d v="2015-10-31T00:00:00"/>
  </r>
  <r>
    <x v="36"/>
    <x v="1"/>
    <x v="324"/>
    <n v="0"/>
    <n v="6588"/>
    <d v="2015-07-01T00:00:00"/>
    <d v="2016-06-30T00:00:00"/>
    <d v="2016-07-14T00:00:00"/>
  </r>
  <r>
    <x v="36"/>
    <x v="2"/>
    <x v="325"/>
    <n v="0"/>
    <n v="230424"/>
    <d v="2015-07-01T00:00:00"/>
    <d v="2016-06-30T00:00:00"/>
    <d v="2016-07-14T00:00:00"/>
  </r>
  <r>
    <x v="36"/>
    <x v="8"/>
    <x v="326"/>
    <n v="0"/>
    <n v="44344"/>
    <d v="2015-07-01T00:00:00"/>
    <d v="2016-06-30T00:00:00"/>
    <d v="2016-07-14T00:00:00"/>
  </r>
  <r>
    <x v="36"/>
    <x v="3"/>
    <x v="327"/>
    <n v="0"/>
    <n v="60000"/>
    <d v="2014-11-01T00:00:00"/>
    <d v="2016-06-30T00:00:00"/>
    <d v="2016-07-14T00:00:00"/>
  </r>
  <r>
    <x v="36"/>
    <x v="4"/>
    <x v="328"/>
    <n v="0"/>
    <n v="37750"/>
    <d v="2015-07-01T00:00:00"/>
    <d v="2016-06-30T00:00:00"/>
    <d v="2016-07-14T00:00:00"/>
  </r>
  <r>
    <x v="36"/>
    <x v="6"/>
    <x v="329"/>
    <n v="0"/>
    <n v="465955"/>
    <d v="2015-07-01T00:00:00"/>
    <d v="2016-06-30T00:00:00"/>
    <d v="2016-07-14T00:00:00"/>
  </r>
  <r>
    <x v="36"/>
    <x v="9"/>
    <x v="330"/>
    <n v="0"/>
    <n v="51235"/>
    <d v="2015-07-01T00:00:00"/>
    <d v="2016-06-30T00:00:00"/>
    <d v="2016-07-14T00:00:00"/>
  </r>
  <r>
    <x v="36"/>
    <x v="7"/>
    <x v="331"/>
    <n v="0"/>
    <n v="752970"/>
    <d v="2015-07-01T00:00:00"/>
    <d v="2016-06-30T00:00:00"/>
    <d v="2016-07-14T00:00:00"/>
  </r>
  <r>
    <x v="37"/>
    <x v="21"/>
    <x v="332"/>
    <m/>
    <n v="66069089"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  <r>
    <x v="37"/>
    <x v="21"/>
    <x v="332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3:E373" firstHeaderRow="1" firstDataRow="2" firstDataCol="3"/>
  <pivotFields count="10"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m="1" x="39"/>
        <item x="20"/>
        <item x="21"/>
        <item x="22"/>
        <item x="23"/>
        <item m="1" x="40"/>
        <item x="24"/>
        <item x="25"/>
        <item x="26"/>
        <item x="27"/>
        <item x="28"/>
        <item x="29"/>
        <item x="31"/>
        <item h="1" x="30"/>
        <item x="32"/>
        <item x="33"/>
        <item x="34"/>
        <item x="35"/>
        <item x="36"/>
        <item x="37"/>
        <item x="38"/>
        <item t="default"/>
      </items>
    </pivotField>
    <pivotField axis="axisRow" compact="0" outline="0" subtotalTop="0" showAll="0" includeNewItemsInFilter="1" sortType="ascending" defaultSubtotal="0">
      <items count="37">
        <item m="1" x="34"/>
        <item m="1" x="32"/>
        <item m="1" x="31"/>
        <item m="1" x="29"/>
        <item m="1" x="24"/>
        <item m="1" x="27"/>
        <item m="1" x="36"/>
        <item x="21"/>
        <item m="1" x="35"/>
        <item x="0"/>
        <item x="1"/>
        <item x="2"/>
        <item x="9"/>
        <item x="3"/>
        <item m="1" x="25"/>
        <item m="1" x="23"/>
        <item m="1" x="22"/>
        <item x="15"/>
        <item x="4"/>
        <item x="17"/>
        <item m="1" x="33"/>
        <item x="12"/>
        <item x="13"/>
        <item x="18"/>
        <item x="14"/>
        <item x="16"/>
        <item x="5"/>
        <item m="1" x="28"/>
        <item x="19"/>
        <item m="1" x="30"/>
        <item x="6"/>
        <item x="20"/>
        <item m="1" x="26"/>
        <item x="10"/>
        <item x="11"/>
        <item x="7"/>
        <item x="8"/>
      </items>
    </pivotField>
    <pivotField axis="axisRow" compact="0" outline="0" subtotalTop="0" showAll="0" includeNewItemsInFilter="1" sortType="ascending" defaultSubtotal="0">
      <items count="706">
        <item m="1" x="414"/>
        <item m="1" x="373"/>
        <item x="184"/>
        <item m="1" x="632"/>
        <item x="182"/>
        <item x="183"/>
        <item x="186"/>
        <item m="1" x="683"/>
        <item x="187"/>
        <item m="1" x="560"/>
        <item x="188"/>
        <item m="1" x="397"/>
        <item x="185"/>
        <item x="189"/>
        <item x="190"/>
        <item x="191"/>
        <item m="1" x="443"/>
        <item x="192"/>
        <item x="193"/>
        <item m="1" x="693"/>
        <item x="194"/>
        <item m="1" x="415"/>
        <item m="1" x="374"/>
        <item m="1" x="528"/>
        <item x="106"/>
        <item m="1" x="634"/>
        <item x="105"/>
        <item x="108"/>
        <item m="1" x="684"/>
        <item x="109"/>
        <item m="1" x="399"/>
        <item x="107"/>
        <item x="110"/>
        <item m="1" x="361"/>
        <item x="111"/>
        <item m="1" x="343"/>
        <item m="1" x="458"/>
        <item x="112"/>
        <item m="1" x="444"/>
        <item x="113"/>
        <item m="1" x="694"/>
        <item x="114"/>
        <item m="1" x="416"/>
        <item m="1" x="375"/>
        <item x="172"/>
        <item m="1" x="636"/>
        <item x="170"/>
        <item x="171"/>
        <item m="1" x="480"/>
        <item x="176"/>
        <item m="1" x="561"/>
        <item x="174"/>
        <item m="1" x="402"/>
        <item x="173"/>
        <item m="1" x="588"/>
        <item m="1" x="337"/>
        <item x="175"/>
        <item m="1" x="459"/>
        <item x="177"/>
        <item m="1" x="475"/>
        <item x="178"/>
        <item m="1" x="445"/>
        <item x="179"/>
        <item m="1" x="555"/>
        <item x="180"/>
        <item m="1" x="695"/>
        <item x="181"/>
        <item m="1" x="417"/>
        <item m="1" x="376"/>
        <item x="243"/>
        <item m="1" x="638"/>
        <item x="241"/>
        <item x="242"/>
        <item x="245"/>
        <item m="1" x="563"/>
        <item x="246"/>
        <item m="1" x="404"/>
        <item x="244"/>
        <item x="250"/>
        <item x="247"/>
        <item m="1" x="460"/>
        <item x="248"/>
        <item m="1" x="446"/>
        <item x="249"/>
        <item m="1" x="696"/>
        <item x="251"/>
        <item m="1" x="418"/>
        <item m="1" x="377"/>
        <item x="95"/>
        <item m="1" x="640"/>
        <item x="93"/>
        <item x="94"/>
        <item m="1" x="564"/>
        <item x="97"/>
        <item m="1" x="406"/>
        <item x="96"/>
        <item m="1" x="579"/>
        <item x="103"/>
        <item x="98"/>
        <item x="99"/>
        <item m="1" x="461"/>
        <item x="100"/>
        <item m="1" x="477"/>
        <item x="101"/>
        <item m="1" x="447"/>
        <item x="102"/>
        <item m="1" x="697"/>
        <item x="104"/>
        <item m="1" x="549"/>
        <item m="1" x="419"/>
        <item m="1" x="379"/>
        <item x="237"/>
        <item x="235"/>
        <item m="1" x="642"/>
        <item x="233"/>
        <item x="234"/>
        <item m="1" x="481"/>
        <item m="1" x="408"/>
        <item x="236"/>
        <item m="1" x="413"/>
        <item m="1" x="678"/>
        <item x="239"/>
        <item m="1" x="448"/>
        <item x="238"/>
        <item m="1" x="698"/>
        <item x="240"/>
        <item m="1" x="421"/>
        <item m="1" x="381"/>
        <item x="11"/>
        <item m="1" x="643"/>
        <item x="9"/>
        <item x="10"/>
        <item m="1" x="565"/>
        <item x="13"/>
        <item m="1" x="409"/>
        <item x="12"/>
        <item m="1" x="581"/>
        <item x="16"/>
        <item m="1" x="539"/>
        <item m="1" x="462"/>
        <item x="14"/>
        <item m="1" x="449"/>
        <item x="15"/>
        <item x="17"/>
        <item m="1" x="699"/>
        <item x="18"/>
        <item m="1" x="422"/>
        <item m="1" x="382"/>
        <item m="1" x="669"/>
        <item x="133"/>
        <item m="1" x="644"/>
        <item x="131"/>
        <item x="132"/>
        <item x="135"/>
        <item m="1" x="566"/>
        <item x="136"/>
        <item m="1" x="410"/>
        <item x="134"/>
        <item m="1" x="582"/>
        <item x="137"/>
        <item m="1" x="679"/>
        <item x="138"/>
        <item m="1" x="685"/>
        <item m="1" x="463"/>
        <item x="139"/>
        <item m="1" x="479"/>
        <item m="1" x="450"/>
        <item x="140"/>
        <item m="1" x="700"/>
        <item x="141"/>
        <item m="1" x="513"/>
        <item m="1" x="664"/>
        <item m="1" x="466"/>
        <item x="117"/>
        <item m="1" x="341"/>
        <item x="115"/>
        <item x="116"/>
        <item x="119"/>
        <item m="1" x="651"/>
        <item x="120"/>
        <item m="1" x="494"/>
        <item x="118"/>
        <item m="1" x="425"/>
        <item x="121"/>
        <item m="1" x="427"/>
        <item m="1" x="617"/>
        <item m="1" x="384"/>
        <item m="1" x="488"/>
        <item m="1" x="618"/>
        <item m="1" x="487"/>
        <item m="1" x="512"/>
        <item m="1" x="622"/>
        <item m="1" x="625"/>
        <item m="1" x="530"/>
        <item m="1" x="692"/>
        <item m="1" x="394"/>
        <item m="1" x="401"/>
        <item m="1" x="548"/>
        <item m="1" x="663"/>
        <item m="1" x="623"/>
        <item m="1" x="645"/>
        <item m="1" x="426"/>
        <item m="1" x="496"/>
        <item m="1" x="626"/>
        <item m="1" x="587"/>
        <item m="1" x="624"/>
        <item m="1" x="646"/>
        <item m="1" x="687"/>
        <item m="1" x="527"/>
        <item m="1" x="649"/>
        <item m="1" x="412"/>
        <item x="122"/>
        <item x="123"/>
        <item x="124"/>
        <item x="125"/>
        <item x="126"/>
        <item m="1" x="602"/>
        <item m="1" x="556"/>
        <item m="1" x="541"/>
        <item x="127"/>
        <item x="128"/>
        <item x="129"/>
        <item m="1" x="391"/>
        <item x="130"/>
        <item m="1" x="514"/>
        <item m="1" x="467"/>
        <item x="197"/>
        <item m="1" x="344"/>
        <item x="195"/>
        <item x="196"/>
        <item x="199"/>
        <item m="1" x="653"/>
        <item x="200"/>
        <item m="1" x="497"/>
        <item x="198"/>
        <item m="1" x="613"/>
        <item x="202"/>
        <item x="201"/>
        <item m="1" x="385"/>
        <item m="1" x="557"/>
        <item x="203"/>
        <item m="1" x="573"/>
        <item x="204"/>
        <item m="1" x="542"/>
        <item x="205"/>
        <item m="1" x="524"/>
        <item x="206"/>
        <item m="1" x="392"/>
        <item x="207"/>
        <item m="1" x="515"/>
        <item m="1" x="468"/>
        <item x="47"/>
        <item m="1" x="345"/>
        <item x="45"/>
        <item x="46"/>
        <item m="1" x="386"/>
        <item x="49"/>
        <item m="1" x="655"/>
        <item x="50"/>
        <item m="1" x="499"/>
        <item x="48"/>
        <item x="54"/>
        <item m="1" x="452"/>
        <item m="1" x="387"/>
        <item m="1" x="529"/>
        <item x="51"/>
        <item m="1" x="558"/>
        <item x="52"/>
        <item m="1" x="543"/>
        <item x="53"/>
        <item m="1" x="357"/>
        <item m="1" x="393"/>
        <item x="55"/>
        <item m="1" x="516"/>
        <item m="1" x="668"/>
        <item m="1" x="469"/>
        <item m="1" x="365"/>
        <item m="1" x="620"/>
        <item x="154"/>
        <item m="1" x="346"/>
        <item x="152"/>
        <item x="153"/>
        <item m="1" x="657"/>
        <item x="156"/>
        <item m="1" x="501"/>
        <item x="155"/>
        <item x="157"/>
        <item m="1" x="616"/>
        <item x="158"/>
        <item m="1" x="544"/>
        <item x="159"/>
        <item m="1" x="395"/>
        <item x="160"/>
        <item m="1" x="517"/>
        <item m="1" x="471"/>
        <item x="58"/>
        <item m="1" x="347"/>
        <item x="56"/>
        <item x="57"/>
        <item m="1" x="583"/>
        <item m="1" x="388"/>
        <item x="60"/>
        <item m="1" x="659"/>
        <item x="61"/>
        <item m="1" x="503"/>
        <item x="59"/>
        <item m="1" x="675"/>
        <item x="62"/>
        <item m="1" x="378"/>
        <item x="63"/>
        <item m="1" x="682"/>
        <item x="64"/>
        <item m="1" x="545"/>
        <item x="65"/>
        <item m="1" x="396"/>
        <item x="66"/>
        <item m="1" x="518"/>
        <item m="1" x="472"/>
        <item x="304"/>
        <item m="1" x="348"/>
        <item x="302"/>
        <item x="303"/>
        <item m="1" x="584"/>
        <item m="1" x="661"/>
        <item m="1" x="505"/>
        <item x="305"/>
        <item x="306"/>
        <item m="1" x="559"/>
        <item x="307"/>
        <item m="1" x="546"/>
        <item x="308"/>
        <item m="1" x="398"/>
        <item x="309"/>
        <item m="1" x="520"/>
        <item m="1" x="473"/>
        <item x="326"/>
        <item m="1" x="349"/>
        <item x="324"/>
        <item x="325"/>
        <item x="328"/>
        <item m="1" x="662"/>
        <item x="329"/>
        <item m="1" x="507"/>
        <item x="327"/>
        <item x="331"/>
        <item m="1" x="621"/>
        <item m="1" x="547"/>
        <item x="330"/>
        <item m="1" x="400"/>
        <item x="332"/>
        <item m="1" x="521"/>
        <item m="1" x="476"/>
        <item x="270"/>
        <item m="1" x="350"/>
        <item x="268"/>
        <item x="269"/>
        <item m="1" x="389"/>
        <item x="272"/>
        <item m="1" x="508"/>
        <item x="271"/>
        <item x="273"/>
        <item m="1" x="585"/>
        <item x="274"/>
        <item x="275"/>
        <item x="277"/>
        <item m="1" x="550"/>
        <item x="278"/>
        <item m="1" x="511"/>
        <item x="276"/>
        <item m="1" x="403"/>
        <item x="279"/>
        <item m="1" x="522"/>
        <item m="1" x="580"/>
        <item x="29"/>
        <item m="1" x="351"/>
        <item x="27"/>
        <item x="28"/>
        <item x="31"/>
        <item m="1" x="509"/>
        <item x="30"/>
        <item x="32"/>
        <item m="1" x="336"/>
        <item m="1" x="680"/>
        <item m="1" x="489"/>
        <item m="1" x="619"/>
        <item x="33"/>
        <item m="1" x="562"/>
        <item m="1" x="551"/>
        <item x="34"/>
        <item x="35"/>
        <item m="1" x="405"/>
        <item x="36"/>
        <item m="1" x="523"/>
        <item m="1" x="478"/>
        <item x="77"/>
        <item m="1" x="352"/>
        <item x="75"/>
        <item x="76"/>
        <item m="1" x="525"/>
        <item m="1" x="333"/>
        <item m="1" x="510"/>
        <item x="78"/>
        <item x="80"/>
        <item m="1" x="534"/>
        <item m="1" x="519"/>
        <item m="1" x="552"/>
        <item x="79"/>
        <item m="1" x="429"/>
        <item m="1" x="407"/>
        <item x="81"/>
        <item m="1" x="603"/>
        <item m="1" x="567"/>
        <item x="294"/>
        <item m="1" x="432"/>
        <item x="292"/>
        <item x="293"/>
        <item m="1" x="484"/>
        <item x="296"/>
        <item m="1" x="355"/>
        <item m="1" x="592"/>
        <item x="295"/>
        <item x="297"/>
        <item m="1" x="554"/>
        <item m="1" x="647"/>
        <item x="299"/>
        <item m="1" x="627"/>
        <item x="300"/>
        <item m="1" x="598"/>
        <item m="1" x="358"/>
        <item x="298"/>
        <item m="1" x="490"/>
        <item x="301"/>
        <item m="1" x="604"/>
        <item m="1" x="366"/>
        <item m="1" x="568"/>
        <item x="312"/>
        <item m="1" x="433"/>
        <item x="310"/>
        <item x="311"/>
        <item m="1" x="423"/>
        <item x="317"/>
        <item m="1" x="356"/>
        <item x="314"/>
        <item m="1" x="594"/>
        <item x="313"/>
        <item x="315"/>
        <item x="316"/>
        <item x="322"/>
        <item m="1" x="482"/>
        <item x="318"/>
        <item m="1" x="648"/>
        <item x="319"/>
        <item m="1" x="672"/>
        <item x="320"/>
        <item m="1" x="451"/>
        <item m="1" x="628"/>
        <item x="321"/>
        <item m="1" x="531"/>
        <item m="1" x="436"/>
        <item m="1" x="491"/>
        <item x="323"/>
        <item m="1" x="605"/>
        <item m="1" x="569"/>
        <item m="1" x="335"/>
        <item x="282"/>
        <item m="1" x="434"/>
        <item x="281"/>
        <item x="284"/>
        <item m="1" x="485"/>
        <item x="285"/>
        <item m="1" x="595"/>
        <item x="283"/>
        <item m="1" x="470"/>
        <item x="286"/>
        <item x="287"/>
        <item m="1" x="453"/>
        <item m="1" x="420"/>
        <item m="1" x="370"/>
        <item m="1" x="686"/>
        <item m="1" x="431"/>
        <item m="1" x="607"/>
        <item m="1" x="650"/>
        <item x="288"/>
        <item m="1" x="629"/>
        <item x="289"/>
        <item m="1" x="455"/>
        <item x="290"/>
        <item m="1" x="492"/>
        <item x="291"/>
        <item m="1" x="606"/>
        <item m="1" x="367"/>
        <item m="1" x="570"/>
        <item m="1" x="457"/>
        <item x="89"/>
        <item x="84"/>
        <item m="1" x="435"/>
        <item x="82"/>
        <item x="83"/>
        <item m="1" x="677"/>
        <item m="1" x="486"/>
        <item x="86"/>
        <item m="1" x="359"/>
        <item x="87"/>
        <item m="1" x="596"/>
        <item x="85"/>
        <item x="88"/>
        <item x="90"/>
        <item m="1" x="630"/>
        <item x="91"/>
        <item m="1" x="493"/>
        <item x="92"/>
        <item m="1" x="608"/>
        <item m="1" x="571"/>
        <item x="254"/>
        <item m="1" x="437"/>
        <item x="252"/>
        <item x="253"/>
        <item m="1" x="360"/>
        <item x="255"/>
        <item x="257"/>
        <item m="1" x="390"/>
        <item m="1" x="428"/>
        <item m="1" x="631"/>
        <item x="256"/>
        <item m="1" x="495"/>
        <item x="258"/>
        <item m="1" x="609"/>
        <item m="1" x="574"/>
        <item x="21"/>
        <item m="1" x="438"/>
        <item x="19"/>
        <item x="20"/>
        <item m="1" x="597"/>
        <item x="22"/>
        <item m="1" x="474"/>
        <item x="23"/>
        <item m="1" x="483"/>
        <item m="1" x="652"/>
        <item x="24"/>
        <item m="1" x="673"/>
        <item m="1" x="633"/>
        <item x="25"/>
        <item m="1" x="498"/>
        <item x="26"/>
        <item m="1" x="610"/>
        <item m="1" x="575"/>
        <item x="144"/>
        <item m="1" x="439"/>
        <item x="142"/>
        <item x="143"/>
        <item x="146"/>
        <item m="1" x="362"/>
        <item x="147"/>
        <item m="1" x="599"/>
        <item x="145"/>
        <item m="1" x="371"/>
        <item x="148"/>
        <item x="149"/>
        <item m="1" x="654"/>
        <item m="1" x="674"/>
        <item m="1" x="635"/>
        <item x="150"/>
        <item m="1" x="500"/>
        <item x="151"/>
        <item m="1" x="611"/>
        <item m="1" x="576"/>
        <item x="210"/>
        <item x="213"/>
        <item m="1" x="440"/>
        <item x="211"/>
        <item x="212"/>
        <item m="1" x="363"/>
        <item x="215"/>
        <item m="1" x="600"/>
        <item x="214"/>
        <item x="216"/>
        <item x="217"/>
        <item m="1" x="656"/>
        <item x="218"/>
        <item m="1" x="637"/>
        <item x="219"/>
        <item m="1" x="502"/>
        <item x="220"/>
        <item m="1" x="612"/>
        <item m="1" x="577"/>
        <item m="1" x="676"/>
        <item x="2"/>
        <item m="1" x="441"/>
        <item x="0"/>
        <item x="1"/>
        <item x="3"/>
        <item m="1" x="364"/>
        <item x="4"/>
        <item m="1" x="658"/>
        <item x="5"/>
        <item m="1" x="639"/>
        <item x="6"/>
        <item m="1" x="504"/>
        <item x="7"/>
        <item m="1" x="614"/>
        <item m="1" x="578"/>
        <item x="69"/>
        <item m="1" x="442"/>
        <item x="67"/>
        <item x="68"/>
        <item x="71"/>
        <item m="1" x="601"/>
        <item x="70"/>
        <item x="73"/>
        <item m="1" x="660"/>
        <item m="1" x="641"/>
        <item x="72"/>
        <item m="1" x="506"/>
        <item x="74"/>
        <item m="1" x="701"/>
        <item m="1" x="665"/>
        <item x="41"/>
        <item x="39"/>
        <item m="1" x="532"/>
        <item x="37"/>
        <item x="38"/>
        <item m="1" x="372"/>
        <item m="1" x="688"/>
        <item x="40"/>
        <item m="1" x="411"/>
        <item x="42"/>
        <item x="44"/>
        <item m="1" x="615"/>
        <item m="1" x="526"/>
        <item m="1" x="334"/>
        <item m="1" x="353"/>
        <item x="43"/>
        <item m="1" x="368"/>
        <item m="1" x="702"/>
        <item m="1" x="666"/>
        <item x="223"/>
        <item m="1" x="533"/>
        <item x="221"/>
        <item x="222"/>
        <item m="1" x="454"/>
        <item m="1" x="689"/>
        <item x="224"/>
        <item m="1" x="464"/>
        <item x="225"/>
        <item m="1" x="354"/>
        <item m="1" x="338"/>
        <item x="226"/>
        <item m="1" x="589"/>
        <item x="227"/>
        <item m="1" x="703"/>
        <item m="1" x="667"/>
        <item m="1" x="424"/>
        <item x="163"/>
        <item m="1" x="535"/>
        <item x="161"/>
        <item x="162"/>
        <item m="1" x="456"/>
        <item x="165"/>
        <item m="1" x="690"/>
        <item x="164"/>
        <item x="166"/>
        <item x="167"/>
        <item m="1" x="681"/>
        <item m="1" x="430"/>
        <item m="1" x="540"/>
        <item m="1" x="339"/>
        <item x="168"/>
        <item m="1" x="590"/>
        <item x="169"/>
        <item m="1" x="704"/>
        <item m="1" x="670"/>
        <item x="261"/>
        <item m="1" x="536"/>
        <item x="259"/>
        <item x="260"/>
        <item m="1" x="691"/>
        <item x="262"/>
        <item m="1" x="572"/>
        <item x="266"/>
        <item m="1" x="553"/>
        <item x="263"/>
        <item x="264"/>
        <item m="1" x="340"/>
        <item x="265"/>
        <item m="1" x="591"/>
        <item x="267"/>
        <item m="1" x="705"/>
        <item m="1" x="671"/>
        <item x="230"/>
        <item m="1" x="538"/>
        <item x="228"/>
        <item x="229"/>
        <item m="1" x="342"/>
        <item x="231"/>
        <item m="1" x="593"/>
        <item x="232"/>
        <item m="1" x="465"/>
        <item x="208"/>
        <item x="209"/>
        <item m="1" x="537"/>
        <item m="1" x="369"/>
        <item m="1" x="383"/>
        <item m="1" x="380"/>
        <item m="1" x="586"/>
        <item x="280"/>
        <item h="1" x="8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3">
    <field x="2"/>
    <field x="3"/>
    <field x="4"/>
  </rowFields>
  <rowItems count="369">
    <i>
      <x/>
      <x v="9"/>
      <x v="588"/>
    </i>
    <i r="1">
      <x v="10"/>
      <x v="589"/>
    </i>
    <i r="1">
      <x v="11"/>
      <x v="586"/>
    </i>
    <i r="1">
      <x v="13"/>
      <x v="590"/>
    </i>
    <i r="1">
      <x v="18"/>
      <x v="592"/>
    </i>
    <i r="1">
      <x v="26"/>
      <x v="594"/>
    </i>
    <i r="1">
      <x v="30"/>
      <x v="596"/>
    </i>
    <i r="1">
      <x v="35"/>
      <x v="598"/>
    </i>
    <i t="default">
      <x/>
    </i>
    <i>
      <x v="1"/>
      <x v="9"/>
      <x v="130"/>
    </i>
    <i r="1">
      <x v="10"/>
      <x v="131"/>
    </i>
    <i r="1">
      <x v="11"/>
      <x v="128"/>
    </i>
    <i r="1">
      <x v="12"/>
      <x v="135"/>
    </i>
    <i r="1">
      <x v="18"/>
      <x v="133"/>
    </i>
    <i r="1">
      <x v="26"/>
      <x v="140"/>
    </i>
    <i r="1">
      <x v="30"/>
      <x v="142"/>
    </i>
    <i r="1">
      <x v="33"/>
      <x v="137"/>
    </i>
    <i r="1">
      <x v="34"/>
      <x v="143"/>
    </i>
    <i r="1">
      <x v="35"/>
      <x v="145"/>
    </i>
    <i t="default">
      <x v="1"/>
    </i>
    <i>
      <x v="2"/>
      <x v="9"/>
      <x v="530"/>
    </i>
    <i r="1">
      <x v="10"/>
      <x v="531"/>
    </i>
    <i r="1">
      <x v="11"/>
      <x v="528"/>
    </i>
    <i r="1">
      <x v="12"/>
      <x v="533"/>
    </i>
    <i r="1">
      <x v="21"/>
      <x v="535"/>
    </i>
    <i r="1">
      <x v="26"/>
      <x v="538"/>
    </i>
    <i r="1">
      <x v="30"/>
      <x v="541"/>
    </i>
    <i r="1">
      <x v="35"/>
      <x v="543"/>
    </i>
    <i t="default">
      <x v="2"/>
    </i>
    <i>
      <x v="3"/>
      <x v="9"/>
      <x v="375"/>
    </i>
    <i r="1">
      <x v="10"/>
      <x v="376"/>
    </i>
    <i r="1">
      <x v="11"/>
      <x v="373"/>
    </i>
    <i r="1">
      <x v="12"/>
      <x v="379"/>
    </i>
    <i r="1">
      <x v="13"/>
      <x v="377"/>
    </i>
    <i r="1">
      <x v="21"/>
      <x v="380"/>
    </i>
    <i r="1">
      <x v="22"/>
      <x v="385"/>
    </i>
    <i r="1">
      <x v="30"/>
      <x v="388"/>
    </i>
    <i r="1">
      <x v="34"/>
      <x v="389"/>
    </i>
    <i r="1">
      <x v="35"/>
      <x v="391"/>
    </i>
    <i t="default">
      <x v="3"/>
    </i>
    <i>
      <x v="4"/>
      <x v="9"/>
      <x v="619"/>
    </i>
    <i r="1">
      <x v="10"/>
      <x v="620"/>
    </i>
    <i r="1">
      <x v="11"/>
      <x v="617"/>
    </i>
    <i r="1">
      <x v="12"/>
      <x v="623"/>
    </i>
    <i r="1">
      <x v="24"/>
      <x v="616"/>
    </i>
    <i r="2">
      <x v="625"/>
    </i>
    <i r="1">
      <x v="26"/>
      <x v="631"/>
    </i>
    <i r="1">
      <x v="33"/>
      <x v="626"/>
    </i>
    <i t="default">
      <x v="4"/>
    </i>
    <i>
      <x v="5"/>
      <x v="9"/>
      <x v="253"/>
    </i>
    <i r="1">
      <x v="10"/>
      <x v="254"/>
    </i>
    <i r="1">
      <x v="11"/>
      <x v="251"/>
    </i>
    <i r="1">
      <x v="12"/>
      <x v="260"/>
    </i>
    <i r="1">
      <x v="17"/>
      <x v="256"/>
    </i>
    <i r="1">
      <x v="18"/>
      <x v="258"/>
    </i>
    <i r="1">
      <x v="25"/>
      <x v="265"/>
    </i>
    <i r="1">
      <x v="26"/>
      <x v="267"/>
    </i>
    <i r="1">
      <x v="30"/>
      <x v="269"/>
    </i>
    <i r="1">
      <x v="33"/>
      <x v="261"/>
    </i>
    <i r="1">
      <x v="35"/>
      <x v="272"/>
    </i>
    <i t="default">
      <x v="5"/>
    </i>
    <i>
      <x v="6"/>
      <x v="9"/>
      <x v="297"/>
    </i>
    <i r="1">
      <x v="10"/>
      <x v="298"/>
    </i>
    <i r="1">
      <x v="11"/>
      <x v="295"/>
    </i>
    <i r="1">
      <x v="12"/>
      <x v="305"/>
    </i>
    <i r="1">
      <x v="17"/>
      <x v="301"/>
    </i>
    <i r="1">
      <x v="18"/>
      <x v="303"/>
    </i>
    <i r="1">
      <x v="19"/>
      <x v="307"/>
    </i>
    <i r="1">
      <x v="21"/>
      <x v="309"/>
    </i>
    <i r="1">
      <x v="26"/>
      <x v="311"/>
    </i>
    <i r="1">
      <x v="30"/>
      <x v="313"/>
    </i>
    <i r="1">
      <x v="35"/>
      <x v="315"/>
    </i>
    <i t="default">
      <x v="6"/>
    </i>
    <i>
      <x v="7"/>
      <x v="9"/>
      <x v="603"/>
    </i>
    <i r="1">
      <x v="10"/>
      <x v="604"/>
    </i>
    <i r="1">
      <x v="11"/>
      <x v="601"/>
    </i>
    <i r="1">
      <x v="12"/>
      <x v="607"/>
    </i>
    <i r="1">
      <x v="13"/>
      <x v="605"/>
    </i>
    <i r="1">
      <x v="30"/>
      <x v="611"/>
    </i>
    <i r="1">
      <x v="33"/>
      <x v="608"/>
    </i>
    <i r="1">
      <x v="35"/>
      <x v="613"/>
    </i>
    <i t="default">
      <x v="7"/>
    </i>
    <i>
      <x v="8"/>
      <x v="9"/>
      <x v="396"/>
    </i>
    <i r="1">
      <x v="10"/>
      <x v="397"/>
    </i>
    <i r="1">
      <x v="11"/>
      <x v="394"/>
    </i>
    <i r="1">
      <x v="12"/>
      <x v="401"/>
    </i>
    <i r="1">
      <x v="30"/>
      <x v="406"/>
    </i>
    <i r="1">
      <x v="33"/>
      <x v="402"/>
    </i>
    <i r="1">
      <x v="35"/>
      <x v="409"/>
    </i>
    <i t="default">
      <x v="8"/>
    </i>
    <i>
      <x v="9"/>
      <x v="9"/>
      <x v="496"/>
    </i>
    <i r="1">
      <x v="10"/>
      <x v="497"/>
    </i>
    <i r="1">
      <x v="11"/>
      <x v="494"/>
    </i>
    <i r="1">
      <x v="12"/>
      <x v="504"/>
    </i>
    <i r="1">
      <x v="17"/>
      <x v="500"/>
    </i>
    <i r="1">
      <x v="18"/>
      <x v="502"/>
    </i>
    <i r="1">
      <x v="21"/>
      <x v="505"/>
    </i>
    <i r="1">
      <x v="23"/>
      <x v="493"/>
    </i>
    <i r="1">
      <x v="26"/>
      <x v="506"/>
    </i>
    <i r="1">
      <x v="30"/>
      <x v="508"/>
    </i>
    <i r="1">
      <x v="35"/>
      <x v="510"/>
    </i>
    <i t="default">
      <x v="9"/>
    </i>
    <i>
      <x v="10"/>
      <x v="9"/>
      <x v="90"/>
    </i>
    <i r="1">
      <x v="10"/>
      <x v="91"/>
    </i>
    <i r="1">
      <x v="11"/>
      <x v="88"/>
    </i>
    <i r="1">
      <x v="12"/>
      <x v="95"/>
    </i>
    <i r="1">
      <x v="18"/>
      <x v="93"/>
    </i>
    <i r="1">
      <x v="24"/>
      <x v="98"/>
    </i>
    <i r="2">
      <x v="99"/>
    </i>
    <i r="1">
      <x v="26"/>
      <x v="101"/>
    </i>
    <i r="1">
      <x v="28"/>
      <x v="103"/>
    </i>
    <i r="1">
      <x v="30"/>
      <x v="105"/>
    </i>
    <i r="1">
      <x v="33"/>
      <x v="97"/>
    </i>
    <i r="1">
      <x v="35"/>
      <x v="107"/>
    </i>
    <i t="default">
      <x v="10"/>
    </i>
    <i>
      <x v="11"/>
      <x v="9"/>
      <x v="26"/>
    </i>
    <i r="1">
      <x v="11"/>
      <x v="24"/>
    </i>
    <i r="1">
      <x v="12"/>
      <x v="31"/>
    </i>
    <i r="1">
      <x v="13"/>
      <x v="27"/>
    </i>
    <i r="1">
      <x v="17"/>
      <x v="29"/>
    </i>
    <i r="1">
      <x v="21"/>
      <x v="32"/>
    </i>
    <i r="1">
      <x v="24"/>
      <x v="34"/>
    </i>
    <i r="1">
      <x v="26"/>
      <x v="37"/>
    </i>
    <i r="1">
      <x v="30"/>
      <x v="39"/>
    </i>
    <i r="1">
      <x v="35"/>
      <x v="41"/>
    </i>
    <i t="default">
      <x v="11"/>
    </i>
    <i>
      <x v="12"/>
      <x v="9"/>
      <x v="175"/>
    </i>
    <i r="1">
      <x v="10"/>
      <x v="176"/>
    </i>
    <i r="1">
      <x v="11"/>
      <x v="173"/>
    </i>
    <i r="1">
      <x v="12"/>
      <x v="181"/>
    </i>
    <i r="1">
      <x v="13"/>
      <x v="177"/>
    </i>
    <i r="1">
      <x v="18"/>
      <x v="179"/>
    </i>
    <i r="1">
      <x v="21"/>
      <x v="183"/>
    </i>
    <i r="1">
      <x v="22"/>
      <x v="211"/>
    </i>
    <i r="2">
      <x v="212"/>
    </i>
    <i r="2">
      <x v="213"/>
    </i>
    <i r="2">
      <x v="214"/>
    </i>
    <i r="2">
      <x v="215"/>
    </i>
    <i r="1">
      <x v="30"/>
      <x v="219"/>
    </i>
    <i r="1">
      <x v="31"/>
      <x v="220"/>
    </i>
    <i r="1">
      <x v="34"/>
      <x v="221"/>
    </i>
    <i r="1">
      <x v="35"/>
      <x v="223"/>
    </i>
    <i t="default">
      <x v="12"/>
    </i>
    <i>
      <x v="13"/>
      <x v="9"/>
      <x v="151"/>
    </i>
    <i r="1">
      <x v="10"/>
      <x v="152"/>
    </i>
    <i r="1">
      <x v="11"/>
      <x v="149"/>
    </i>
    <i r="1">
      <x v="12"/>
      <x v="157"/>
    </i>
    <i r="1">
      <x v="13"/>
      <x v="153"/>
    </i>
    <i r="1">
      <x v="18"/>
      <x v="155"/>
    </i>
    <i r="1">
      <x v="19"/>
      <x v="159"/>
    </i>
    <i r="2">
      <x v="161"/>
    </i>
    <i r="1">
      <x v="26"/>
      <x v="164"/>
    </i>
    <i r="1">
      <x v="30"/>
      <x v="167"/>
    </i>
    <i r="1">
      <x v="35"/>
      <x v="169"/>
    </i>
    <i t="default">
      <x v="13"/>
    </i>
    <i>
      <x v="14"/>
      <x v="9"/>
      <x v="548"/>
    </i>
    <i r="1">
      <x v="10"/>
      <x v="549"/>
    </i>
    <i r="1">
      <x v="11"/>
      <x v="546"/>
    </i>
    <i r="1">
      <x v="12"/>
      <x v="554"/>
    </i>
    <i r="1">
      <x v="13"/>
      <x v="550"/>
    </i>
    <i r="1">
      <x v="18"/>
      <x v="552"/>
    </i>
    <i r="1">
      <x v="19"/>
      <x v="556"/>
    </i>
    <i r="1">
      <x v="21"/>
      <x v="557"/>
    </i>
    <i r="1">
      <x v="30"/>
      <x v="561"/>
    </i>
    <i r="1">
      <x v="35"/>
      <x v="563"/>
    </i>
    <i t="default">
      <x v="14"/>
    </i>
    <i>
      <x v="15"/>
      <x v="9"/>
      <x v="280"/>
    </i>
    <i r="1">
      <x v="10"/>
      <x v="281"/>
    </i>
    <i r="1">
      <x v="11"/>
      <x v="278"/>
    </i>
    <i r="1">
      <x v="12"/>
      <x v="285"/>
    </i>
    <i r="1">
      <x v="18"/>
      <x v="283"/>
    </i>
    <i r="1">
      <x v="21"/>
      <x v="286"/>
    </i>
    <i r="1">
      <x v="28"/>
      <x v="288"/>
    </i>
    <i r="1">
      <x v="30"/>
      <x v="290"/>
    </i>
    <i r="1">
      <x v="35"/>
      <x v="292"/>
    </i>
    <i t="default">
      <x v="15"/>
    </i>
    <i>
      <x v="16"/>
      <x v="9"/>
      <x v="654"/>
    </i>
    <i r="1">
      <x v="10"/>
      <x v="655"/>
    </i>
    <i r="1">
      <x v="11"/>
      <x v="652"/>
    </i>
    <i r="1">
      <x v="12"/>
      <x v="659"/>
    </i>
    <i r="1">
      <x v="18"/>
      <x v="657"/>
    </i>
    <i r="1">
      <x v="21"/>
      <x v="660"/>
    </i>
    <i r="1">
      <x v="24"/>
      <x v="661"/>
    </i>
    <i r="1">
      <x v="30"/>
      <x v="666"/>
    </i>
    <i r="1">
      <x v="35"/>
      <x v="668"/>
    </i>
    <i t="default">
      <x v="16"/>
    </i>
    <i>
      <x v="17"/>
      <x v="9"/>
      <x v="46"/>
    </i>
    <i r="1">
      <x v="10"/>
      <x v="47"/>
    </i>
    <i r="1">
      <x v="11"/>
      <x v="44"/>
    </i>
    <i r="1">
      <x v="12"/>
      <x v="53"/>
    </i>
    <i r="1">
      <x v="18"/>
      <x v="51"/>
    </i>
    <i r="1">
      <x v="21"/>
      <x v="56"/>
    </i>
    <i r="1">
      <x v="24"/>
      <x v="49"/>
    </i>
    <i r="1">
      <x v="26"/>
      <x v="58"/>
    </i>
    <i r="1">
      <x v="28"/>
      <x v="60"/>
    </i>
    <i r="1">
      <x v="30"/>
      <x v="62"/>
    </i>
    <i r="1">
      <x v="31"/>
      <x v="64"/>
    </i>
    <i r="1">
      <x v="35"/>
      <x v="66"/>
    </i>
    <i t="default">
      <x v="17"/>
    </i>
    <i>
      <x v="18"/>
      <x v="9"/>
      <x v="4"/>
    </i>
    <i r="1">
      <x v="10"/>
      <x v="5"/>
    </i>
    <i r="1">
      <x v="11"/>
      <x v="2"/>
    </i>
    <i r="1">
      <x v="12"/>
      <x v="12"/>
    </i>
    <i r="1">
      <x v="13"/>
      <x v="6"/>
    </i>
    <i r="1">
      <x v="17"/>
      <x v="8"/>
    </i>
    <i r="1">
      <x v="18"/>
      <x v="10"/>
    </i>
    <i r="1">
      <x v="19"/>
      <x v="13"/>
    </i>
    <i r="1">
      <x v="21"/>
      <x v="14"/>
    </i>
    <i r="1">
      <x v="26"/>
      <x v="15"/>
    </i>
    <i r="1">
      <x v="30"/>
      <x v="17"/>
    </i>
    <i r="1">
      <x v="34"/>
      <x v="18"/>
    </i>
    <i r="1">
      <x v="35"/>
      <x v="20"/>
    </i>
    <i t="default">
      <x v="18"/>
    </i>
    <i>
      <x v="19"/>
      <x v="9"/>
      <x v="228"/>
    </i>
    <i r="1">
      <x v="10"/>
      <x v="229"/>
    </i>
    <i r="1">
      <x v="11"/>
      <x v="226"/>
    </i>
    <i r="1">
      <x v="12"/>
      <x v="234"/>
    </i>
    <i r="1">
      <x v="13"/>
      <x v="230"/>
    </i>
    <i r="1">
      <x v="18"/>
      <x v="232"/>
    </i>
    <i r="1">
      <x v="19"/>
      <x v="237"/>
    </i>
    <i r="1">
      <x v="24"/>
      <x v="236"/>
    </i>
    <i r="1">
      <x v="26"/>
      <x v="240"/>
    </i>
    <i r="1">
      <x v="28"/>
      <x v="242"/>
    </i>
    <i r="1">
      <x v="30"/>
      <x v="244"/>
    </i>
    <i r="1">
      <x v="31"/>
      <x v="246"/>
    </i>
    <i r="1">
      <x v="35"/>
      <x v="248"/>
    </i>
    <i t="default">
      <x v="19"/>
    </i>
    <i>
      <x v="21"/>
      <x v="21"/>
      <x v="697"/>
    </i>
    <i t="default">
      <x v="21"/>
    </i>
    <i>
      <x v="22"/>
      <x v="21"/>
      <x v="698"/>
    </i>
    <i t="default">
      <x v="22"/>
    </i>
    <i>
      <x v="23"/>
      <x v="7"/>
      <x v="566"/>
    </i>
    <i r="1">
      <x v="9"/>
      <x v="569"/>
    </i>
    <i r="1">
      <x v="10"/>
      <x v="570"/>
    </i>
    <i r="1">
      <x v="11"/>
      <x v="567"/>
    </i>
    <i r="1">
      <x v="12"/>
      <x v="574"/>
    </i>
    <i r="1">
      <x v="18"/>
      <x v="572"/>
    </i>
    <i r="1">
      <x v="19"/>
      <x v="575"/>
    </i>
    <i r="1">
      <x v="21"/>
      <x v="576"/>
    </i>
    <i r="1">
      <x v="26"/>
      <x v="578"/>
    </i>
    <i r="1">
      <x v="30"/>
      <x v="580"/>
    </i>
    <i r="1">
      <x v="35"/>
      <x v="582"/>
    </i>
    <i t="default">
      <x v="23"/>
    </i>
    <i>
      <x v="24"/>
      <x v="9"/>
      <x v="637"/>
    </i>
    <i r="1">
      <x v="10"/>
      <x v="638"/>
    </i>
    <i r="1">
      <x v="11"/>
      <x v="635"/>
    </i>
    <i r="1">
      <x v="12"/>
      <x v="641"/>
    </i>
    <i r="1">
      <x v="21"/>
      <x v="643"/>
    </i>
    <i r="1">
      <x v="30"/>
      <x v="646"/>
    </i>
    <i r="1">
      <x v="35"/>
      <x v="648"/>
    </i>
    <i t="default">
      <x v="24"/>
    </i>
    <i>
      <x v="27"/>
      <x v="9"/>
      <x v="690"/>
    </i>
    <i r="1">
      <x v="10"/>
      <x v="691"/>
    </i>
    <i r="1">
      <x v="11"/>
      <x v="688"/>
    </i>
    <i r="1">
      <x v="30"/>
      <x v="693"/>
    </i>
    <i r="1">
      <x v="35"/>
      <x v="695"/>
    </i>
    <i t="default">
      <x v="27"/>
    </i>
    <i>
      <x v="28"/>
      <x v="9"/>
      <x v="114"/>
    </i>
    <i r="1">
      <x v="10"/>
      <x v="115"/>
    </i>
    <i r="1">
      <x v="11"/>
      <x v="112"/>
    </i>
    <i r="1">
      <x v="12"/>
      <x v="118"/>
    </i>
    <i r="1">
      <x v="24"/>
      <x v="111"/>
    </i>
    <i r="1">
      <x v="30"/>
      <x v="123"/>
    </i>
    <i r="1">
      <x v="33"/>
      <x v="121"/>
    </i>
    <i r="1">
      <x v="35"/>
      <x v="125"/>
    </i>
    <i t="default">
      <x v="28"/>
    </i>
    <i>
      <x v="29"/>
      <x v="9"/>
      <x v="71"/>
    </i>
    <i r="1">
      <x v="10"/>
      <x v="72"/>
    </i>
    <i r="1">
      <x v="11"/>
      <x v="69"/>
    </i>
    <i r="1">
      <x v="12"/>
      <x v="77"/>
    </i>
    <i r="1">
      <x v="13"/>
      <x v="73"/>
    </i>
    <i r="1">
      <x v="18"/>
      <x v="75"/>
    </i>
    <i r="1">
      <x v="25"/>
      <x v="79"/>
    </i>
    <i r="1">
      <x v="26"/>
      <x v="81"/>
    </i>
    <i r="1">
      <x v="30"/>
      <x v="83"/>
    </i>
    <i r="1">
      <x v="33"/>
      <x v="78"/>
    </i>
    <i r="1">
      <x v="35"/>
      <x v="85"/>
    </i>
    <i t="default">
      <x v="29"/>
    </i>
    <i>
      <x v="30"/>
      <x v="9"/>
      <x v="515"/>
    </i>
    <i r="1">
      <x v="10"/>
      <x v="516"/>
    </i>
    <i r="1">
      <x v="11"/>
      <x v="513"/>
    </i>
    <i r="1">
      <x v="18"/>
      <x v="518"/>
    </i>
    <i r="1">
      <x v="30"/>
      <x v="523"/>
    </i>
    <i r="1">
      <x v="33"/>
      <x v="519"/>
    </i>
    <i r="1">
      <x v="35"/>
      <x v="525"/>
    </i>
    <i t="default">
      <x v="30"/>
    </i>
    <i>
      <x v="31"/>
      <x v="9"/>
      <x v="673"/>
    </i>
    <i r="1">
      <x v="10"/>
      <x v="674"/>
    </i>
    <i r="1">
      <x v="11"/>
      <x v="671"/>
    </i>
    <i r="1">
      <x v="12"/>
      <x v="676"/>
    </i>
    <i r="1">
      <x v="22"/>
      <x v="680"/>
    </i>
    <i r="2">
      <x v="681"/>
    </i>
    <i r="1">
      <x v="30"/>
      <x v="683"/>
    </i>
    <i r="1">
      <x v="33"/>
      <x v="678"/>
    </i>
    <i r="1">
      <x v="35"/>
      <x v="685"/>
    </i>
    <i t="default">
      <x v="31"/>
    </i>
    <i>
      <x v="32"/>
      <x v="9"/>
      <x v="354"/>
    </i>
    <i r="1">
      <x v="10"/>
      <x v="355"/>
    </i>
    <i r="1">
      <x v="11"/>
      <x v="352"/>
    </i>
    <i r="1">
      <x v="12"/>
      <x v="359"/>
    </i>
    <i r="1">
      <x v="17"/>
      <x v="357"/>
    </i>
    <i r="1">
      <x v="21"/>
      <x v="360"/>
    </i>
    <i r="1">
      <x v="24"/>
      <x v="362"/>
    </i>
    <i r="2">
      <x v="363"/>
    </i>
    <i r="2">
      <x v="368"/>
    </i>
    <i r="1">
      <x v="28"/>
      <x v="364"/>
    </i>
    <i r="1">
      <x v="30"/>
      <x v="366"/>
    </i>
    <i r="1">
      <x v="35"/>
      <x v="370"/>
    </i>
    <i t="default">
      <x v="32"/>
    </i>
    <i>
      <x v="34"/>
      <x v="26"/>
      <x v="704"/>
    </i>
    <i t="default">
      <x v="34"/>
    </i>
    <i>
      <x v="36"/>
      <x v="9"/>
      <x v="466"/>
    </i>
    <i r="1">
      <x v="11"/>
      <x v="464"/>
    </i>
    <i r="1">
      <x v="12"/>
      <x v="471"/>
    </i>
    <i r="1">
      <x v="13"/>
      <x v="467"/>
    </i>
    <i r="1">
      <x v="17"/>
      <x v="469"/>
    </i>
    <i r="1">
      <x v="19"/>
      <x v="473"/>
    </i>
    <i r="1">
      <x v="21"/>
      <x v="474"/>
    </i>
    <i r="1">
      <x v="26"/>
      <x v="482"/>
    </i>
    <i r="1">
      <x v="30"/>
      <x v="484"/>
    </i>
    <i r="1">
      <x v="34"/>
      <x v="486"/>
    </i>
    <i r="1">
      <x v="35"/>
      <x v="488"/>
    </i>
    <i t="default">
      <x v="36"/>
    </i>
    <i>
      <x v="37"/>
      <x v="9"/>
      <x v="414"/>
    </i>
    <i r="1">
      <x v="10"/>
      <x v="415"/>
    </i>
    <i r="1">
      <x v="11"/>
      <x v="412"/>
    </i>
    <i r="1">
      <x v="12"/>
      <x v="420"/>
    </i>
    <i r="1">
      <x v="17"/>
      <x v="417"/>
    </i>
    <i r="1">
      <x v="21"/>
      <x v="421"/>
    </i>
    <i r="1">
      <x v="24"/>
      <x v="429"/>
    </i>
    <i r="1">
      <x v="26"/>
      <x v="424"/>
    </i>
    <i r="1">
      <x v="30"/>
      <x v="426"/>
    </i>
    <i r="1">
      <x v="35"/>
      <x v="431"/>
    </i>
    <i t="default">
      <x v="37"/>
    </i>
    <i>
      <x v="38"/>
      <x v="9"/>
      <x v="320"/>
    </i>
    <i r="1">
      <x v="10"/>
      <x v="321"/>
    </i>
    <i r="1">
      <x v="11"/>
      <x v="318"/>
    </i>
    <i r="1">
      <x v="12"/>
      <x v="325"/>
    </i>
    <i r="1">
      <x v="21"/>
      <x v="326"/>
    </i>
    <i r="1">
      <x v="28"/>
      <x v="328"/>
    </i>
    <i r="1">
      <x v="30"/>
      <x v="330"/>
    </i>
    <i r="1">
      <x v="35"/>
      <x v="332"/>
    </i>
    <i t="default">
      <x v="38"/>
    </i>
    <i>
      <x v="39"/>
      <x v="9"/>
      <x v="437"/>
    </i>
    <i r="1">
      <x v="10"/>
      <x v="438"/>
    </i>
    <i r="1">
      <x v="11"/>
      <x v="435"/>
    </i>
    <i r="1">
      <x v="12"/>
      <x v="444"/>
    </i>
    <i r="1">
      <x v="18"/>
      <x v="442"/>
    </i>
    <i r="1">
      <x v="19"/>
      <x v="445"/>
    </i>
    <i r="2">
      <x v="446"/>
    </i>
    <i r="1">
      <x v="23"/>
      <x v="440"/>
    </i>
    <i r="1">
      <x v="25"/>
      <x v="449"/>
    </i>
    <i r="1">
      <x v="26"/>
      <x v="451"/>
    </i>
    <i r="1">
      <x v="28"/>
      <x v="453"/>
    </i>
    <i r="1">
      <x v="30"/>
      <x v="456"/>
    </i>
    <i r="1">
      <x v="33"/>
      <x v="447"/>
    </i>
    <i r="1">
      <x v="35"/>
      <x v="460"/>
    </i>
    <i t="default">
      <x v="39"/>
    </i>
    <i>
      <x v="40"/>
      <x v="9"/>
      <x v="337"/>
    </i>
    <i r="1">
      <x v="10"/>
      <x v="338"/>
    </i>
    <i r="1">
      <x v="11"/>
      <x v="335"/>
    </i>
    <i r="1">
      <x v="12"/>
      <x v="343"/>
    </i>
    <i r="1">
      <x v="13"/>
      <x v="339"/>
    </i>
    <i r="1">
      <x v="18"/>
      <x v="341"/>
    </i>
    <i r="1">
      <x v="30"/>
      <x v="347"/>
    </i>
    <i r="1">
      <x v="33"/>
      <x v="344"/>
    </i>
    <i r="1">
      <x v="35"/>
      <x v="349"/>
    </i>
    <i t="default">
      <x v="40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djustments" fld="6" baseField="3" baseItem="1"/>
    <dataField name="Sum of Amount" fld="7" baseField="3" baseItem="1"/>
  </dataFields>
  <formats count="9">
    <format dxfId="224">
      <pivotArea outline="0" fieldPosition="0"/>
    </format>
    <format dxfId="223">
      <pivotArea dataOnly="0" labelOnly="1" outline="0" fieldPosition="0">
        <references count="2">
          <reference field="2" count="1" selected="0">
            <x v="5"/>
          </reference>
          <reference field="4" count="1">
            <x v="262"/>
          </reference>
        </references>
      </pivotArea>
    </format>
    <format dxfId="222">
      <pivotArea field="2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221">
      <pivotArea outline="0" collapsedLevelsAreSubtotals="1" fieldPosition="0">
        <references count="2">
          <reference field="4294967294" count="1" selected="0">
            <x v="0"/>
          </reference>
          <reference field="2" count="1" selected="0" defaultSubtotal="1">
            <x v="12"/>
          </reference>
        </references>
      </pivotArea>
    </format>
    <format dxfId="220">
      <pivotArea outline="0" collapsedLevelsAreSubtotals="1" fieldPosition="0">
        <references count="2">
          <reference field="4294967294" count="1" selected="0">
            <x v="1"/>
          </reference>
          <reference field="2" count="1" selected="0" defaultSubtotal="1">
            <x v="12"/>
          </reference>
        </references>
      </pivotArea>
    </format>
    <format dxfId="219">
      <pivotArea outline="0" collapsedLevelsAreSubtotals="1" fieldPosition="0">
        <references count="2">
          <reference field="4294967294" count="1" selected="0">
            <x v="1"/>
          </reference>
          <reference field="2" count="1" selected="0" defaultSubtotal="1">
            <x v="39"/>
          </reference>
        </references>
      </pivotArea>
    </format>
    <format dxfId="218">
      <pivotArea outline="0" collapsedLevelsAreSubtotals="1" fieldPosition="0">
        <references count="4">
          <reference field="4294967294" count="1" selected="0">
            <x v="1"/>
          </reference>
          <reference field="2" count="1" selected="0">
            <x v="39"/>
          </reference>
          <reference field="3" count="7" selected="0">
            <x v="6"/>
            <x v="25"/>
            <x v="26"/>
            <x v="28"/>
            <x v="30"/>
            <x v="31"/>
            <x v="35"/>
          </reference>
          <reference field="4" count="9" selected="0">
            <x v="443"/>
            <x v="448"/>
            <x v="450"/>
            <x v="452"/>
            <x v="454"/>
            <x v="455"/>
            <x v="457"/>
            <x v="458"/>
            <x v="459"/>
          </reference>
        </references>
      </pivotArea>
    </format>
    <format dxfId="217">
      <pivotArea outline="0" collapsedLevelsAreSubtotals="1" fieldPosition="0">
        <references count="4">
          <reference field="4294967294" count="1" selected="0">
            <x v="1"/>
          </reference>
          <reference field="2" count="1" selected="0">
            <x v="39"/>
          </reference>
          <reference field="3" count="4" selected="0">
            <x v="6"/>
            <x v="9"/>
            <x v="18"/>
            <x v="23"/>
          </reference>
          <reference field="4" count="4" selected="0">
            <x v="437"/>
            <x v="439"/>
            <x v="441"/>
            <x v="443"/>
          </reference>
        </references>
      </pivotArea>
    </format>
    <format dxfId="216">
      <pivotArea outline="0" collapsedLevelsAreSubtotals="1" fieldPosition="0">
        <references count="2">
          <reference field="4294967294" count="1" selected="0">
            <x v="1"/>
          </reference>
          <reference field="2" count="1" selected="0" defaultSubtotal="1">
            <x v="19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PivotTable4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5:B52" firstHeaderRow="2" firstDataRow="2" firstDataCol="1" rowPageCount="2" colPageCount="1"/>
  <pivotFields count="15">
    <pivotField compact="0" outline="0" subtotalTop="0" showAll="0" includeNewItemsInFilter="1"/>
    <pivotField axis="axisPage" compact="0" outline="0" subtotalTop="0" showAll="0" includeNewItemsInFilter="1">
      <items count="11">
        <item m="1" x="4"/>
        <item m="1" x="7"/>
        <item m="1" x="8"/>
        <item x="1"/>
        <item m="1" x="3"/>
        <item m="1" x="6"/>
        <item m="1" x="9"/>
        <item m="1" x="2"/>
        <item m="1" x="5"/>
        <item x="0"/>
        <item t="default"/>
      </items>
    </pivotField>
    <pivotField compact="0" outline="0" subtotalTop="0" showAll="0" includeNewItemsInFilter="1">
      <items count="36">
        <item x="19"/>
        <item x="30"/>
        <item x="18"/>
        <item x="21"/>
        <item x="3"/>
        <item x="7"/>
        <item x="20"/>
        <item x="27"/>
        <item x="16"/>
        <item x="15"/>
        <item x="31"/>
        <item x="29"/>
        <item x="26"/>
        <item x="12"/>
        <item x="24"/>
        <item x="9"/>
        <item x="8"/>
        <item x="11"/>
        <item x="2"/>
        <item x="25"/>
        <item x="32"/>
        <item x="23"/>
        <item x="14"/>
        <item x="22"/>
        <item x="10"/>
        <item x="17"/>
        <item x="5"/>
        <item x="1"/>
        <item x="13"/>
        <item x="28"/>
        <item m="1" x="34"/>
        <item x="0"/>
        <item x="4"/>
        <item x="33"/>
        <item x="6"/>
        <item t="default"/>
      </items>
    </pivotField>
    <pivotField compact="0" outline="0" subtotalTop="0" showAll="0" includeNewItemsInFilter="1"/>
    <pivotField axis="axisPage" compact="0" outline="0" subtotalTop="0" multipleItemSelectionAllowed="1" showAll="0" includeNewItemsInFilter="1">
      <items count="38">
        <item x="1"/>
        <item x="27"/>
        <item x="10"/>
        <item x="11"/>
        <item x="28"/>
        <item x="29"/>
        <item x="12"/>
        <item x="13"/>
        <item x="2"/>
        <item x="14"/>
        <item x="3"/>
        <item x="30"/>
        <item x="15"/>
        <item x="16"/>
        <item x="17"/>
        <item x="26"/>
        <item x="18"/>
        <item x="19"/>
        <item x="31"/>
        <item x="5"/>
        <item x="7"/>
        <item x="20"/>
        <item x="21"/>
        <item x="22"/>
        <item x="8"/>
        <item x="23"/>
        <item x="25"/>
        <item x="24"/>
        <item x="32"/>
        <item x="9"/>
        <item m="1" x="34"/>
        <item m="1" x="36"/>
        <item m="1" x="35"/>
        <item h="1" x="6"/>
        <item h="1" x="0"/>
        <item h="1" x="4"/>
        <item m="1" x="33"/>
        <item t="default"/>
      </items>
    </pivotField>
    <pivotField compact="0" outline="0" subtotalTop="0" showAll="0" includeNewItemsInFilter="1">
      <items count="7">
        <item x="0"/>
        <item x="2"/>
        <item m="1" x="4"/>
        <item x="1"/>
        <item m="1" x="3"/>
        <item m="1" x="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48">
        <item x="0"/>
        <item m="1" x="14"/>
        <item m="1" x="21"/>
        <item x="12"/>
        <item m="1" x="26"/>
        <item m="1" x="28"/>
        <item m="1" x="30"/>
        <item m="1" x="37"/>
        <item m="1" x="18"/>
        <item m="1" x="19"/>
        <item m="1" x="39"/>
        <item m="1" x="22"/>
        <item m="1" x="24"/>
        <item m="1" x="27"/>
        <item m="1" x="29"/>
        <item m="1" x="32"/>
        <item m="1" x="44"/>
        <item m="1" x="35"/>
        <item x="2"/>
        <item x="3"/>
        <item x="5"/>
        <item x="9"/>
        <item m="1" x="34"/>
        <item m="1" x="31"/>
        <item x="11"/>
        <item m="1" x="40"/>
        <item m="1" x="23"/>
        <item m="1" x="33"/>
        <item m="1" x="38"/>
        <item m="1" x="36"/>
        <item m="1" x="25"/>
        <item m="1" x="41"/>
        <item m="1" x="15"/>
        <item m="1" x="17"/>
        <item m="1" x="46"/>
        <item m="1" x="43"/>
        <item m="1" x="13"/>
        <item m="1" x="42"/>
        <item m="1" x="16"/>
        <item x="6"/>
        <item x="10"/>
        <item m="1" x="45"/>
        <item x="7"/>
        <item x="4"/>
        <item x="1"/>
        <item x="8"/>
        <item m="1" x="20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>
      <items count="180">
        <item m="1" x="74"/>
        <item m="1" x="118"/>
        <item m="1" x="142"/>
        <item x="0"/>
        <item x="1"/>
        <item x="2"/>
        <item x="3"/>
        <item m="1" x="65"/>
        <item x="4"/>
        <item x="5"/>
        <item m="1" x="77"/>
        <item x="6"/>
        <item m="1" x="84"/>
        <item x="7"/>
        <item x="8"/>
        <item x="11"/>
        <item m="1" x="132"/>
        <item m="1" x="121"/>
        <item x="10"/>
        <item x="9"/>
        <item m="1" x="114"/>
        <item x="12"/>
        <item x="13"/>
        <item m="1" x="78"/>
        <item m="1" x="94"/>
        <item x="14"/>
        <item m="1" x="102"/>
        <item m="1" x="161"/>
        <item x="15"/>
        <item x="16"/>
        <item m="1" x="101"/>
        <item x="17"/>
        <item m="1" x="146"/>
        <item x="18"/>
        <item x="19"/>
        <item m="1" x="103"/>
        <item x="20"/>
        <item m="1" x="80"/>
        <item x="21"/>
        <item m="1" x="139"/>
        <item m="1" x="164"/>
        <item m="1" x="76"/>
        <item m="1" x="169"/>
        <item m="1" x="152"/>
        <item x="22"/>
        <item x="23"/>
        <item x="24"/>
        <item x="25"/>
        <item m="1" x="125"/>
        <item m="1" x="141"/>
        <item x="26"/>
        <item m="1" x="116"/>
        <item m="1" x="89"/>
        <item m="1" x="111"/>
        <item m="1" x="87"/>
        <item m="1" x="150"/>
        <item m="1" x="93"/>
        <item m="1" x="143"/>
        <item m="1" x="70"/>
        <item m="1" x="71"/>
        <item m="1" x="72"/>
        <item m="1" x="120"/>
        <item x="27"/>
        <item m="1" x="75"/>
        <item m="1" x="157"/>
        <item m="1" x="66"/>
        <item m="1" x="95"/>
        <item x="28"/>
        <item m="1" x="104"/>
        <item m="1" x="153"/>
        <item m="1" x="144"/>
        <item m="1" x="168"/>
        <item m="1" x="176"/>
        <item x="29"/>
        <item m="1" x="112"/>
        <item m="1" x="68"/>
        <item m="1" x="88"/>
        <item m="1" x="82"/>
        <item x="30"/>
        <item m="1" x="170"/>
        <item x="31"/>
        <item x="32"/>
        <item x="33"/>
        <item x="34"/>
        <item m="1" x="174"/>
        <item m="1" x="98"/>
        <item x="35"/>
        <item m="1" x="119"/>
        <item x="36"/>
        <item m="1" x="69"/>
        <item m="1" x="117"/>
        <item x="37"/>
        <item m="1" x="160"/>
        <item m="1" x="133"/>
        <item x="38"/>
        <item m="1" x="97"/>
        <item x="39"/>
        <item x="40"/>
        <item m="1" x="115"/>
        <item m="1" x="175"/>
        <item m="1" x="92"/>
        <item m="1" x="85"/>
        <item m="1" x="155"/>
        <item m="1" x="123"/>
        <item x="41"/>
        <item m="1" x="166"/>
        <item m="1" x="163"/>
        <item m="1" x="158"/>
        <item m="1" x="148"/>
        <item m="1" x="178"/>
        <item m="1" x="171"/>
        <item m="1" x="172"/>
        <item m="1" x="154"/>
        <item m="1" x="79"/>
        <item m="1" x="147"/>
        <item m="1" x="173"/>
        <item x="42"/>
        <item x="43"/>
        <item m="1" x="135"/>
        <item m="1" x="136"/>
        <item m="1" x="130"/>
        <item m="1" x="113"/>
        <item x="44"/>
        <item x="45"/>
        <item x="46"/>
        <item x="47"/>
        <item m="1" x="110"/>
        <item m="1" x="165"/>
        <item x="48"/>
        <item m="1" x="162"/>
        <item m="1" x="149"/>
        <item x="49"/>
        <item m="1" x="131"/>
        <item x="50"/>
        <item m="1" x="90"/>
        <item m="1" x="167"/>
        <item m="1" x="83"/>
        <item m="1" x="177"/>
        <item x="51"/>
        <item m="1" x="108"/>
        <item m="1" x="156"/>
        <item x="52"/>
        <item x="53"/>
        <item m="1" x="109"/>
        <item m="1" x="140"/>
        <item x="54"/>
        <item m="1" x="99"/>
        <item x="55"/>
        <item m="1" x="134"/>
        <item x="56"/>
        <item m="1" x="81"/>
        <item m="1" x="105"/>
        <item x="57"/>
        <item m="1" x="106"/>
        <item m="1" x="122"/>
        <item x="58"/>
        <item m="1" x="129"/>
        <item m="1" x="127"/>
        <item m="1" x="137"/>
        <item x="59"/>
        <item m="1" x="145"/>
        <item x="60"/>
        <item m="1" x="86"/>
        <item m="1" x="126"/>
        <item m="1" x="159"/>
        <item m="1" x="107"/>
        <item m="1" x="96"/>
        <item m="1" x="73"/>
        <item m="1" x="138"/>
        <item m="1" x="151"/>
        <item x="61"/>
        <item m="1" x="91"/>
        <item x="62"/>
        <item m="1" x="100"/>
        <item x="63"/>
        <item x="64"/>
        <item m="1" x="124"/>
        <item m="1" x="128"/>
        <item m="1" x="67"/>
        <item t="default"/>
      </items>
    </pivotField>
    <pivotField compact="0" numFmtId="37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37" outline="0" subtotalTop="0" showAll="0" includeNewItemsInFilter="1"/>
  </pivotFields>
  <rowFields count="1">
    <field x="10"/>
  </rowFields>
  <rowItems count="46">
    <i>
      <x v="4"/>
    </i>
    <i>
      <x v="5"/>
    </i>
    <i>
      <x v="6"/>
    </i>
    <i>
      <x v="8"/>
    </i>
    <i>
      <x v="9"/>
    </i>
    <i>
      <x v="11"/>
    </i>
    <i>
      <x v="13"/>
    </i>
    <i>
      <x v="14"/>
    </i>
    <i>
      <x v="15"/>
    </i>
    <i>
      <x v="21"/>
    </i>
    <i>
      <x v="22"/>
    </i>
    <i>
      <x v="25"/>
    </i>
    <i>
      <x v="28"/>
    </i>
    <i>
      <x v="31"/>
    </i>
    <i>
      <x v="33"/>
    </i>
    <i>
      <x v="36"/>
    </i>
    <i>
      <x v="38"/>
    </i>
    <i>
      <x v="46"/>
    </i>
    <i>
      <x v="62"/>
    </i>
    <i>
      <x v="67"/>
    </i>
    <i>
      <x v="73"/>
    </i>
    <i>
      <x v="80"/>
    </i>
    <i>
      <x v="81"/>
    </i>
    <i>
      <x v="83"/>
    </i>
    <i>
      <x v="86"/>
    </i>
    <i>
      <x v="88"/>
    </i>
    <i>
      <x v="91"/>
    </i>
    <i>
      <x v="96"/>
    </i>
    <i>
      <x v="97"/>
    </i>
    <i>
      <x v="104"/>
    </i>
    <i>
      <x v="124"/>
    </i>
    <i>
      <x v="125"/>
    </i>
    <i>
      <x v="128"/>
    </i>
    <i>
      <x v="131"/>
    </i>
    <i>
      <x v="141"/>
    </i>
    <i>
      <x v="142"/>
    </i>
    <i>
      <x v="145"/>
    </i>
    <i>
      <x v="147"/>
    </i>
    <i>
      <x v="149"/>
    </i>
    <i>
      <x v="152"/>
    </i>
    <i>
      <x v="159"/>
    </i>
    <i>
      <x v="161"/>
    </i>
    <i>
      <x v="172"/>
    </i>
    <i>
      <x v="174"/>
    </i>
    <i>
      <x v="175"/>
    </i>
    <i t="grand">
      <x/>
    </i>
  </rowItems>
  <colItems count="1">
    <i/>
  </colItems>
  <pageFields count="2">
    <pageField fld="1" hier="0"/>
    <pageField fld="4" hier="-1"/>
  </pageFields>
  <dataFields count="1">
    <dataField name="Sum of total" fld="14" baseField="0" baseItem="0" numFmtId="41"/>
  </dataFields>
  <formats count="10">
    <format dxfId="48">
      <pivotArea field="5" type="button" dataOnly="0" labelOnly="1" outline="0"/>
    </format>
    <format dxfId="47">
      <pivotArea type="all" dataOnly="0" outline="0" fieldPosition="0"/>
    </format>
    <format dxfId="46">
      <pivotArea type="all" dataOnly="0" outline="0" fieldPosition="0"/>
    </format>
    <format dxfId="45">
      <pivotArea outline="0" fieldPosition="0"/>
    </format>
    <format dxfId="44">
      <pivotArea dataOnly="0" labelOnly="1" outline="0" fieldPosition="0">
        <references count="1">
          <reference field="1" count="0"/>
        </references>
      </pivotArea>
    </format>
    <format dxfId="43">
      <pivotArea field="8" type="button" dataOnly="0" labelOnly="1" outline="0"/>
    </format>
    <format dxfId="42">
      <pivotArea type="topRight" dataOnly="0" labelOnly="1" outline="0" fieldPosition="0"/>
    </format>
    <format dxfId="41">
      <pivotArea dataOnly="0" labelOnly="1" grandCol="1" outline="0" fieldPosition="0"/>
    </format>
    <format dxfId="40">
      <pivotArea dataOnly="0" labelOnly="1" grandCol="1" outline="0" fieldPosition="0"/>
    </format>
    <format dxfId="39">
      <pivotArea outline="0" collapsedLevelsAreSubtotals="1" fieldPosition="0">
        <references count="1">
          <reference field="10" count="1" selected="0">
            <x v="145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E38" firstHeaderRow="1" firstDataRow="2" firstDataCol="1" rowPageCount="1" colPageCount="1"/>
  <pivotFields count="15">
    <pivotField showAll="0"/>
    <pivotField showAll="0"/>
    <pivotField showAll="0"/>
    <pivotField showAll="0"/>
    <pivotField axis="axisRow" showAll="0">
      <items count="38">
        <item x="1"/>
        <item x="27"/>
        <item x="10"/>
        <item x="11"/>
        <item x="28"/>
        <item x="29"/>
        <item x="12"/>
        <item x="13"/>
        <item x="2"/>
        <item x="14"/>
        <item x="3"/>
        <item x="30"/>
        <item x="15"/>
        <item x="16"/>
        <item x="17"/>
        <item x="26"/>
        <item x="18"/>
        <item x="19"/>
        <item x="31"/>
        <item x="5"/>
        <item x="7"/>
        <item x="20"/>
        <item x="21"/>
        <item x="22"/>
        <item x="8"/>
        <item x="23"/>
        <item x="25"/>
        <item x="24"/>
        <item x="32"/>
        <item x="9"/>
        <item x="6"/>
        <item x="0"/>
        <item x="4"/>
        <item m="1" x="33"/>
        <item m="1" x="34"/>
        <item m="1" x="35"/>
        <item m="1" x="36"/>
        <item t="default"/>
      </items>
    </pivotField>
    <pivotField axis="axisCol" showAll="0">
      <items count="7">
        <item x="0"/>
        <item x="1"/>
        <item x="2"/>
        <item m="1" x="3"/>
        <item m="1" x="4"/>
        <item m="1" x="5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180">
        <item m="1" x="74"/>
        <item m="1" x="118"/>
        <item m="1" x="142"/>
        <item x="0"/>
        <item x="1"/>
        <item x="2"/>
        <item x="3"/>
        <item m="1" x="65"/>
        <item x="4"/>
        <item x="5"/>
        <item m="1" x="77"/>
        <item x="6"/>
        <item m="1" x="84"/>
        <item x="7"/>
        <item x="8"/>
        <item x="11"/>
        <item m="1" x="132"/>
        <item m="1" x="121"/>
        <item x="10"/>
        <item x="9"/>
        <item m="1" x="114"/>
        <item x="12"/>
        <item x="13"/>
        <item m="1" x="78"/>
        <item m="1" x="94"/>
        <item x="14"/>
        <item m="1" x="102"/>
        <item m="1" x="161"/>
        <item x="15"/>
        <item x="16"/>
        <item m="1" x="101"/>
        <item x="17"/>
        <item m="1" x="146"/>
        <item x="18"/>
        <item x="19"/>
        <item m="1" x="103"/>
        <item x="20"/>
        <item m="1" x="80"/>
        <item x="21"/>
        <item m="1" x="139"/>
        <item m="1" x="164"/>
        <item m="1" x="76"/>
        <item m="1" x="169"/>
        <item m="1" x="152"/>
        <item x="22"/>
        <item x="23"/>
        <item x="24"/>
        <item x="25"/>
        <item m="1" x="125"/>
        <item m="1" x="141"/>
        <item x="26"/>
        <item m="1" x="116"/>
        <item m="1" x="89"/>
        <item m="1" x="111"/>
        <item m="1" x="87"/>
        <item m="1" x="150"/>
        <item m="1" x="93"/>
        <item m="1" x="143"/>
        <item m="1" x="70"/>
        <item m="1" x="71"/>
        <item m="1" x="72"/>
        <item m="1" x="120"/>
        <item x="27"/>
        <item m="1" x="75"/>
        <item m="1" x="157"/>
        <item m="1" x="66"/>
        <item m="1" x="95"/>
        <item x="28"/>
        <item m="1" x="104"/>
        <item m="1" x="153"/>
        <item m="1" x="144"/>
        <item m="1" x="168"/>
        <item m="1" x="176"/>
        <item x="29"/>
        <item m="1" x="112"/>
        <item m="1" x="68"/>
        <item m="1" x="88"/>
        <item m="1" x="82"/>
        <item x="30"/>
        <item m="1" x="170"/>
        <item x="31"/>
        <item x="32"/>
        <item x="33"/>
        <item x="34"/>
        <item m="1" x="174"/>
        <item m="1" x="98"/>
        <item x="35"/>
        <item m="1" x="119"/>
        <item x="36"/>
        <item m="1" x="69"/>
        <item m="1" x="117"/>
        <item x="37"/>
        <item m="1" x="160"/>
        <item m="1" x="133"/>
        <item x="38"/>
        <item m="1" x="97"/>
        <item x="39"/>
        <item x="40"/>
        <item m="1" x="115"/>
        <item m="1" x="175"/>
        <item m="1" x="92"/>
        <item m="1" x="85"/>
        <item m="1" x="155"/>
        <item m="1" x="123"/>
        <item x="41"/>
        <item m="1" x="166"/>
        <item m="1" x="163"/>
        <item m="1" x="158"/>
        <item m="1" x="148"/>
        <item m="1" x="178"/>
        <item m="1" x="171"/>
        <item m="1" x="172"/>
        <item m="1" x="154"/>
        <item m="1" x="79"/>
        <item m="1" x="147"/>
        <item m="1" x="173"/>
        <item x="42"/>
        <item x="43"/>
        <item m="1" x="135"/>
        <item m="1" x="136"/>
        <item m="1" x="130"/>
        <item m="1" x="113"/>
        <item x="44"/>
        <item x="45"/>
        <item x="46"/>
        <item x="47"/>
        <item m="1" x="110"/>
        <item m="1" x="165"/>
        <item x="48"/>
        <item m="1" x="162"/>
        <item m="1" x="149"/>
        <item x="49"/>
        <item m="1" x="131"/>
        <item x="50"/>
        <item m="1" x="90"/>
        <item m="1" x="167"/>
        <item m="1" x="83"/>
        <item m="1" x="177"/>
        <item x="51"/>
        <item m="1" x="108"/>
        <item m="1" x="156"/>
        <item x="52"/>
        <item x="53"/>
        <item m="1" x="109"/>
        <item m="1" x="140"/>
        <item x="54"/>
        <item m="1" x="99"/>
        <item x="55"/>
        <item m="1" x="134"/>
        <item x="56"/>
        <item m="1" x="81"/>
        <item m="1" x="105"/>
        <item x="57"/>
        <item m="1" x="106"/>
        <item m="1" x="122"/>
        <item m="1" x="129"/>
        <item m="1" x="127"/>
        <item m="1" x="137"/>
        <item x="59"/>
        <item m="1" x="145"/>
        <item x="60"/>
        <item m="1" x="86"/>
        <item m="1" x="126"/>
        <item m="1" x="159"/>
        <item m="1" x="107"/>
        <item m="1" x="96"/>
        <item m="1" x="73"/>
        <item m="1" x="138"/>
        <item m="1" x="151"/>
        <item x="61"/>
        <item m="1" x="91"/>
        <item x="62"/>
        <item m="1" x="100"/>
        <item x="63"/>
        <item x="64"/>
        <item m="1" x="124"/>
        <item m="1" x="128"/>
        <item m="1" x="67"/>
        <item x="58"/>
        <item t="default"/>
      </items>
    </pivotField>
    <pivotField showAll="0"/>
    <pivotField showAll="0"/>
    <pivotField showAll="0"/>
    <pivotField dataField="1" showAll="0"/>
  </pivotFields>
  <rowFields count="1">
    <field x="4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pageFields count="1">
    <pageField fld="10" hier="-1"/>
  </pageFields>
  <dataFields count="1">
    <dataField name="Sum of total" fld="14" baseField="4" baseItem="0" numFmtId="164"/>
  </dataFields>
  <formats count="7">
    <format dxfId="38">
      <pivotArea outline="0" collapsedLevelsAreSubtotals="1" fieldPosition="0"/>
    </format>
    <format dxfId="37">
      <pivotArea dataOnly="0" labelOnly="1" fieldPosition="0">
        <references count="1">
          <reference field="4" count="1">
            <x v="32"/>
          </reference>
        </references>
      </pivotArea>
    </format>
    <format dxfId="36">
      <pivotArea dataOnly="0" labelOnly="1" fieldPosition="0">
        <references count="1">
          <reference field="4" count="2">
            <x v="30"/>
            <x v="31"/>
          </reference>
        </references>
      </pivotArea>
    </format>
    <format dxfId="35">
      <pivotArea collapsedLevelsAreSubtotals="1" fieldPosition="0">
        <references count="1">
          <reference field="4" count="1">
            <x v="32"/>
          </reference>
        </references>
      </pivotArea>
    </format>
    <format dxfId="34">
      <pivotArea collapsedLevelsAreSubtotals="1" fieldPosition="0">
        <references count="1">
          <reference field="4" count="2">
            <x v="30"/>
            <x v="31"/>
          </reference>
        </references>
      </pivotArea>
    </format>
    <format dxfId="33">
      <pivotArea field="4" grandCol="1" collapsedLevelsAreSubtotals="1" axis="axisRow" fieldPosition="0">
        <references count="1">
          <reference field="4" count="1">
            <x v="1"/>
          </reference>
        </references>
      </pivotArea>
    </format>
    <format dxfId="32">
      <pivotArea field="4" grandCol="1" collapsedLevelsAreSubtotals="1" axis="axisRow" fieldPosition="0">
        <references count="1">
          <reference field="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I2:M375" firstHeaderRow="1" firstDataRow="2" firstDataCol="3"/>
  <pivotFields count="8">
    <pivotField axis="axisRow" compact="0" outline="0" subtotalTop="0" showAll="0" includeNewItemsInFilter="1" sortType="ascending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m="1" x="38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39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axis="axisRow" compact="0" outline="0" subtotalTop="0" showAll="0" includeNewItemsInFilter="1" sortType="ascending" defaultSubtotal="0">
      <items count="28">
        <item m="1" x="26"/>
        <item m="1" x="25"/>
        <item m="1" x="24"/>
        <item m="1" x="23"/>
        <item m="1" x="27"/>
        <item x="20"/>
        <item x="0"/>
        <item x="1"/>
        <item x="2"/>
        <item x="8"/>
        <item x="3"/>
        <item m="1" x="22"/>
        <item x="14"/>
        <item x="4"/>
        <item x="16"/>
        <item x="11"/>
        <item x="12"/>
        <item x="17"/>
        <item x="13"/>
        <item x="15"/>
        <item x="5"/>
        <item x="18"/>
        <item x="6"/>
        <item x="19"/>
        <item x="9"/>
        <item x="10"/>
        <item x="7"/>
        <item x="21"/>
      </items>
    </pivotField>
    <pivotField axis="axisRow" compact="0" outline="0" subtotalTop="0" showAll="0" includeNewItemsInFilter="1" sortType="ascending" defaultSubtotal="0">
      <items count="701">
        <item m="1" x="412"/>
        <item m="1" x="372"/>
        <item x="183"/>
        <item m="1" x="627"/>
        <item x="181"/>
        <item x="182"/>
        <item x="185"/>
        <item m="1" x="678"/>
        <item x="186"/>
        <item m="1" x="556"/>
        <item x="187"/>
        <item m="1" x="395"/>
        <item x="184"/>
        <item x="188"/>
        <item x="189"/>
        <item x="190"/>
        <item m="1" x="441"/>
        <item x="191"/>
        <item x="192"/>
        <item m="1" x="688"/>
        <item x="193"/>
        <item m="1" x="413"/>
        <item m="1" x="373"/>
        <item m="1" x="525"/>
        <item x="105"/>
        <item m="1" x="629"/>
        <item x="104"/>
        <item x="107"/>
        <item m="1" x="679"/>
        <item x="108"/>
        <item m="1" x="397"/>
        <item x="106"/>
        <item x="109"/>
        <item m="1" x="361"/>
        <item x="110"/>
        <item m="1" x="343"/>
        <item m="1" x="455"/>
        <item x="111"/>
        <item m="1" x="442"/>
        <item x="112"/>
        <item m="1" x="689"/>
        <item x="113"/>
        <item m="1" x="414"/>
        <item m="1" x="374"/>
        <item x="171"/>
        <item m="1" x="631"/>
        <item x="169"/>
        <item x="170"/>
        <item m="1" x="477"/>
        <item x="175"/>
        <item m="1" x="557"/>
        <item x="173"/>
        <item m="1" x="400"/>
        <item x="172"/>
        <item m="1" x="584"/>
        <item m="1" x="337"/>
        <item x="174"/>
        <item m="1" x="456"/>
        <item x="176"/>
        <item m="1" x="472"/>
        <item x="177"/>
        <item m="1" x="443"/>
        <item x="178"/>
        <item m="1" x="551"/>
        <item x="179"/>
        <item m="1" x="690"/>
        <item x="180"/>
        <item m="1" x="415"/>
        <item m="1" x="375"/>
        <item x="242"/>
        <item m="1" x="633"/>
        <item x="240"/>
        <item x="241"/>
        <item x="244"/>
        <item m="1" x="559"/>
        <item x="245"/>
        <item m="1" x="402"/>
        <item x="243"/>
        <item x="249"/>
        <item x="246"/>
        <item m="1" x="457"/>
        <item x="247"/>
        <item m="1" x="444"/>
        <item x="248"/>
        <item m="1" x="691"/>
        <item x="250"/>
        <item m="1" x="416"/>
        <item m="1" x="376"/>
        <item x="94"/>
        <item m="1" x="635"/>
        <item x="92"/>
        <item x="93"/>
        <item m="1" x="560"/>
        <item x="96"/>
        <item m="1" x="404"/>
        <item x="95"/>
        <item m="1" x="575"/>
        <item x="102"/>
        <item x="97"/>
        <item x="98"/>
        <item m="1" x="458"/>
        <item x="99"/>
        <item m="1" x="474"/>
        <item x="100"/>
        <item m="1" x="445"/>
        <item x="101"/>
        <item m="1" x="692"/>
        <item x="103"/>
        <item m="1" x="545"/>
        <item m="1" x="417"/>
        <item m="1" x="378"/>
        <item x="236"/>
        <item x="234"/>
        <item m="1" x="637"/>
        <item x="232"/>
        <item x="233"/>
        <item m="1" x="478"/>
        <item m="1" x="406"/>
        <item x="235"/>
        <item m="1" x="411"/>
        <item m="1" x="673"/>
        <item x="238"/>
        <item m="1" x="446"/>
        <item x="237"/>
        <item m="1" x="693"/>
        <item x="239"/>
        <item m="1" x="419"/>
        <item m="1" x="380"/>
        <item x="10"/>
        <item m="1" x="638"/>
        <item x="8"/>
        <item x="9"/>
        <item m="1" x="561"/>
        <item x="12"/>
        <item m="1" x="407"/>
        <item x="11"/>
        <item m="1" x="577"/>
        <item x="15"/>
        <item m="1" x="535"/>
        <item m="1" x="459"/>
        <item x="13"/>
        <item m="1" x="447"/>
        <item x="14"/>
        <item x="16"/>
        <item m="1" x="694"/>
        <item x="17"/>
        <item m="1" x="420"/>
        <item m="1" x="381"/>
        <item m="1" x="664"/>
        <item x="132"/>
        <item m="1" x="639"/>
        <item x="130"/>
        <item x="131"/>
        <item x="134"/>
        <item m="1" x="562"/>
        <item x="135"/>
        <item m="1" x="408"/>
        <item x="133"/>
        <item m="1" x="578"/>
        <item x="136"/>
        <item m="1" x="674"/>
        <item x="137"/>
        <item m="1" x="680"/>
        <item m="1" x="460"/>
        <item x="138"/>
        <item m="1" x="476"/>
        <item m="1" x="448"/>
        <item x="139"/>
        <item m="1" x="695"/>
        <item x="140"/>
        <item m="1" x="510"/>
        <item m="1" x="659"/>
        <item m="1" x="463"/>
        <item x="116"/>
        <item m="1" x="341"/>
        <item x="114"/>
        <item x="115"/>
        <item x="118"/>
        <item m="1" x="646"/>
        <item x="119"/>
        <item m="1" x="491"/>
        <item x="117"/>
        <item m="1" x="423"/>
        <item x="120"/>
        <item m="1" x="425"/>
        <item m="1" x="612"/>
        <item m="1" x="382"/>
        <item m="1" x="485"/>
        <item m="1" x="613"/>
        <item m="1" x="484"/>
        <item m="1" x="509"/>
        <item m="1" x="617"/>
        <item m="1" x="620"/>
        <item m="1" x="527"/>
        <item m="1" x="687"/>
        <item m="1" x="392"/>
        <item m="1" x="399"/>
        <item m="1" x="544"/>
        <item m="1" x="658"/>
        <item m="1" x="618"/>
        <item m="1" x="640"/>
        <item m="1" x="424"/>
        <item m="1" x="493"/>
        <item m="1" x="621"/>
        <item m="1" x="583"/>
        <item m="1" x="619"/>
        <item m="1" x="641"/>
        <item m="1" x="682"/>
        <item m="1" x="524"/>
        <item m="1" x="644"/>
        <item m="1" x="410"/>
        <item x="121"/>
        <item x="122"/>
        <item x="123"/>
        <item x="124"/>
        <item x="125"/>
        <item m="1" x="552"/>
        <item m="1" x="537"/>
        <item x="126"/>
        <item x="127"/>
        <item x="128"/>
        <item m="1" x="389"/>
        <item x="129"/>
        <item m="1" x="511"/>
        <item m="1" x="464"/>
        <item x="196"/>
        <item m="1" x="344"/>
        <item x="194"/>
        <item x="195"/>
        <item x="198"/>
        <item m="1" x="648"/>
        <item x="199"/>
        <item m="1" x="494"/>
        <item x="197"/>
        <item m="1" x="608"/>
        <item x="201"/>
        <item x="200"/>
        <item m="1" x="383"/>
        <item m="1" x="553"/>
        <item x="202"/>
        <item m="1" x="569"/>
        <item x="203"/>
        <item m="1" x="538"/>
        <item x="204"/>
        <item m="1" x="521"/>
        <item x="205"/>
        <item m="1" x="390"/>
        <item x="206"/>
        <item m="1" x="512"/>
        <item m="1" x="465"/>
        <item x="46"/>
        <item m="1" x="345"/>
        <item x="44"/>
        <item x="45"/>
        <item m="1" x="384"/>
        <item x="48"/>
        <item m="1" x="650"/>
        <item x="49"/>
        <item m="1" x="496"/>
        <item x="47"/>
        <item x="53"/>
        <item m="1" x="385"/>
        <item m="1" x="526"/>
        <item x="50"/>
        <item m="1" x="554"/>
        <item x="51"/>
        <item m="1" x="539"/>
        <item x="52"/>
        <item m="1" x="357"/>
        <item m="1" x="391"/>
        <item x="54"/>
        <item m="1" x="513"/>
        <item m="1" x="663"/>
        <item m="1" x="466"/>
        <item m="1" x="365"/>
        <item m="1" x="615"/>
        <item x="153"/>
        <item m="1" x="346"/>
        <item x="151"/>
        <item x="152"/>
        <item m="1" x="652"/>
        <item x="155"/>
        <item m="1" x="498"/>
        <item x="154"/>
        <item x="156"/>
        <item m="1" x="611"/>
        <item x="157"/>
        <item m="1" x="540"/>
        <item x="158"/>
        <item m="1" x="393"/>
        <item x="159"/>
        <item m="1" x="514"/>
        <item m="1" x="468"/>
        <item x="57"/>
        <item m="1" x="347"/>
        <item x="55"/>
        <item x="56"/>
        <item m="1" x="579"/>
        <item m="1" x="386"/>
        <item x="59"/>
        <item m="1" x="654"/>
        <item x="60"/>
        <item m="1" x="500"/>
        <item x="58"/>
        <item m="1" x="670"/>
        <item x="61"/>
        <item m="1" x="377"/>
        <item x="62"/>
        <item m="1" x="677"/>
        <item x="63"/>
        <item m="1" x="541"/>
        <item x="64"/>
        <item m="1" x="394"/>
        <item x="65"/>
        <item m="1" x="515"/>
        <item m="1" x="469"/>
        <item x="303"/>
        <item m="1" x="348"/>
        <item x="301"/>
        <item x="302"/>
        <item m="1" x="580"/>
        <item m="1" x="656"/>
        <item m="1" x="502"/>
        <item x="304"/>
        <item x="305"/>
        <item m="1" x="555"/>
        <item x="306"/>
        <item m="1" x="542"/>
        <item x="307"/>
        <item m="1" x="396"/>
        <item x="308"/>
        <item m="1" x="517"/>
        <item m="1" x="470"/>
        <item x="325"/>
        <item m="1" x="349"/>
        <item x="323"/>
        <item x="324"/>
        <item x="327"/>
        <item m="1" x="657"/>
        <item x="328"/>
        <item m="1" x="504"/>
        <item x="326"/>
        <item x="330"/>
        <item m="1" x="616"/>
        <item m="1" x="543"/>
        <item x="329"/>
        <item m="1" x="398"/>
        <item x="331"/>
        <item m="1" x="518"/>
        <item m="1" x="473"/>
        <item x="269"/>
        <item m="1" x="350"/>
        <item x="267"/>
        <item x="268"/>
        <item m="1" x="387"/>
        <item x="271"/>
        <item m="1" x="505"/>
        <item x="270"/>
        <item x="272"/>
        <item m="1" x="581"/>
        <item x="273"/>
        <item x="274"/>
        <item x="276"/>
        <item m="1" x="546"/>
        <item x="277"/>
        <item m="1" x="508"/>
        <item x="275"/>
        <item m="1" x="401"/>
        <item x="278"/>
        <item m="1" x="519"/>
        <item m="1" x="576"/>
        <item x="28"/>
        <item m="1" x="351"/>
        <item x="26"/>
        <item x="27"/>
        <item x="30"/>
        <item m="1" x="506"/>
        <item x="29"/>
        <item x="31"/>
        <item m="1" x="336"/>
        <item m="1" x="675"/>
        <item m="1" x="486"/>
        <item m="1" x="614"/>
        <item x="32"/>
        <item m="1" x="558"/>
        <item m="1" x="547"/>
        <item x="33"/>
        <item x="34"/>
        <item m="1" x="403"/>
        <item x="35"/>
        <item m="1" x="520"/>
        <item m="1" x="475"/>
        <item x="76"/>
        <item m="1" x="352"/>
        <item x="74"/>
        <item x="75"/>
        <item m="1" x="522"/>
        <item m="1" x="333"/>
        <item m="1" x="507"/>
        <item x="77"/>
        <item x="79"/>
        <item m="1" x="531"/>
        <item m="1" x="516"/>
        <item m="1" x="548"/>
        <item x="78"/>
        <item m="1" x="427"/>
        <item m="1" x="405"/>
        <item x="80"/>
        <item m="1" x="598"/>
        <item m="1" x="563"/>
        <item x="293"/>
        <item m="1" x="430"/>
        <item x="291"/>
        <item x="292"/>
        <item m="1" x="481"/>
        <item x="295"/>
        <item m="1" x="355"/>
        <item m="1" x="588"/>
        <item x="294"/>
        <item x="296"/>
        <item m="1" x="550"/>
        <item m="1" x="642"/>
        <item x="298"/>
        <item m="1" x="622"/>
        <item x="299"/>
        <item m="1" x="594"/>
        <item m="1" x="358"/>
        <item x="297"/>
        <item m="1" x="487"/>
        <item x="300"/>
        <item m="1" x="599"/>
        <item m="1" x="366"/>
        <item m="1" x="564"/>
        <item x="311"/>
        <item m="1" x="431"/>
        <item x="309"/>
        <item x="310"/>
        <item m="1" x="421"/>
        <item x="316"/>
        <item m="1" x="356"/>
        <item x="313"/>
        <item m="1" x="590"/>
        <item x="312"/>
        <item x="314"/>
        <item x="315"/>
        <item x="321"/>
        <item m="1" x="479"/>
        <item x="317"/>
        <item m="1" x="643"/>
        <item x="318"/>
        <item m="1" x="667"/>
        <item x="319"/>
        <item m="1" x="449"/>
        <item m="1" x="623"/>
        <item x="320"/>
        <item m="1" x="528"/>
        <item m="1" x="434"/>
        <item m="1" x="488"/>
        <item x="322"/>
        <item m="1" x="600"/>
        <item m="1" x="565"/>
        <item m="1" x="335"/>
        <item x="281"/>
        <item m="1" x="432"/>
        <item x="280"/>
        <item x="283"/>
        <item m="1" x="482"/>
        <item x="284"/>
        <item m="1" x="591"/>
        <item x="282"/>
        <item m="1" x="467"/>
        <item x="285"/>
        <item x="286"/>
        <item m="1" x="450"/>
        <item m="1" x="418"/>
        <item m="1" x="369"/>
        <item m="1" x="681"/>
        <item m="1" x="429"/>
        <item m="1" x="602"/>
        <item m="1" x="645"/>
        <item x="287"/>
        <item m="1" x="624"/>
        <item x="288"/>
        <item m="1" x="452"/>
        <item x="289"/>
        <item m="1" x="489"/>
        <item x="290"/>
        <item m="1" x="601"/>
        <item m="1" x="367"/>
        <item m="1" x="566"/>
        <item m="1" x="454"/>
        <item x="88"/>
        <item x="83"/>
        <item m="1" x="433"/>
        <item x="81"/>
        <item x="82"/>
        <item m="1" x="672"/>
        <item m="1" x="483"/>
        <item x="85"/>
        <item m="1" x="359"/>
        <item x="86"/>
        <item m="1" x="592"/>
        <item x="84"/>
        <item x="87"/>
        <item x="89"/>
        <item m="1" x="625"/>
        <item x="90"/>
        <item m="1" x="490"/>
        <item x="91"/>
        <item m="1" x="603"/>
        <item m="1" x="567"/>
        <item x="253"/>
        <item m="1" x="435"/>
        <item x="251"/>
        <item x="252"/>
        <item m="1" x="360"/>
        <item x="254"/>
        <item x="256"/>
        <item m="1" x="388"/>
        <item m="1" x="426"/>
        <item m="1" x="626"/>
        <item x="255"/>
        <item m="1" x="492"/>
        <item x="257"/>
        <item m="1" x="604"/>
        <item m="1" x="570"/>
        <item x="20"/>
        <item m="1" x="436"/>
        <item x="18"/>
        <item x="19"/>
        <item m="1" x="593"/>
        <item x="21"/>
        <item m="1" x="471"/>
        <item x="22"/>
        <item m="1" x="480"/>
        <item m="1" x="647"/>
        <item x="23"/>
        <item m="1" x="668"/>
        <item m="1" x="628"/>
        <item x="24"/>
        <item m="1" x="495"/>
        <item x="25"/>
        <item m="1" x="605"/>
        <item m="1" x="571"/>
        <item x="143"/>
        <item m="1" x="437"/>
        <item x="141"/>
        <item x="142"/>
        <item x="145"/>
        <item m="1" x="362"/>
        <item x="146"/>
        <item m="1" x="595"/>
        <item x="144"/>
        <item m="1" x="370"/>
        <item x="147"/>
        <item x="148"/>
        <item m="1" x="649"/>
        <item m="1" x="669"/>
        <item m="1" x="630"/>
        <item x="149"/>
        <item m="1" x="497"/>
        <item x="150"/>
        <item m="1" x="606"/>
        <item m="1" x="572"/>
        <item x="209"/>
        <item x="212"/>
        <item m="1" x="438"/>
        <item x="210"/>
        <item x="211"/>
        <item m="1" x="363"/>
        <item x="214"/>
        <item m="1" x="596"/>
        <item x="213"/>
        <item x="215"/>
        <item x="216"/>
        <item m="1" x="651"/>
        <item x="217"/>
        <item m="1" x="632"/>
        <item x="218"/>
        <item m="1" x="499"/>
        <item x="219"/>
        <item m="1" x="607"/>
        <item m="1" x="573"/>
        <item m="1" x="671"/>
        <item x="2"/>
        <item m="1" x="439"/>
        <item x="0"/>
        <item x="1"/>
        <item x="3"/>
        <item m="1" x="364"/>
        <item x="4"/>
        <item m="1" x="653"/>
        <item x="5"/>
        <item m="1" x="634"/>
        <item x="6"/>
        <item m="1" x="501"/>
        <item x="7"/>
        <item m="1" x="609"/>
        <item m="1" x="574"/>
        <item x="68"/>
        <item m="1" x="440"/>
        <item x="66"/>
        <item x="67"/>
        <item x="70"/>
        <item m="1" x="597"/>
        <item x="69"/>
        <item x="72"/>
        <item m="1" x="655"/>
        <item m="1" x="636"/>
        <item x="71"/>
        <item m="1" x="503"/>
        <item x="73"/>
        <item m="1" x="696"/>
        <item m="1" x="660"/>
        <item x="40"/>
        <item x="38"/>
        <item m="1" x="529"/>
        <item x="36"/>
        <item x="37"/>
        <item m="1" x="371"/>
        <item m="1" x="683"/>
        <item x="39"/>
        <item m="1" x="409"/>
        <item x="41"/>
        <item x="43"/>
        <item m="1" x="610"/>
        <item m="1" x="523"/>
        <item m="1" x="334"/>
        <item m="1" x="353"/>
        <item x="42"/>
        <item m="1" x="368"/>
        <item m="1" x="697"/>
        <item m="1" x="661"/>
        <item x="222"/>
        <item m="1" x="530"/>
        <item x="220"/>
        <item x="221"/>
        <item m="1" x="451"/>
        <item m="1" x="684"/>
        <item x="223"/>
        <item m="1" x="461"/>
        <item x="224"/>
        <item m="1" x="354"/>
        <item m="1" x="338"/>
        <item x="225"/>
        <item m="1" x="585"/>
        <item x="226"/>
        <item m="1" x="698"/>
        <item m="1" x="662"/>
        <item m="1" x="422"/>
        <item x="162"/>
        <item m="1" x="532"/>
        <item x="160"/>
        <item x="161"/>
        <item m="1" x="453"/>
        <item x="164"/>
        <item m="1" x="685"/>
        <item x="163"/>
        <item x="165"/>
        <item x="166"/>
        <item m="1" x="676"/>
        <item m="1" x="428"/>
        <item m="1" x="536"/>
        <item m="1" x="339"/>
        <item x="167"/>
        <item m="1" x="586"/>
        <item x="168"/>
        <item m="1" x="699"/>
        <item m="1" x="665"/>
        <item x="260"/>
        <item m="1" x="533"/>
        <item x="258"/>
        <item x="259"/>
        <item m="1" x="686"/>
        <item x="261"/>
        <item m="1" x="568"/>
        <item x="265"/>
        <item m="1" x="549"/>
        <item x="262"/>
        <item x="263"/>
        <item m="1" x="340"/>
        <item x="264"/>
        <item m="1" x="587"/>
        <item x="266"/>
        <item m="1" x="700"/>
        <item m="1" x="666"/>
        <item x="229"/>
        <item m="1" x="534"/>
        <item x="227"/>
        <item x="228"/>
        <item m="1" x="342"/>
        <item x="230"/>
        <item m="1" x="589"/>
        <item x="231"/>
        <item m="1" x="462"/>
        <item x="207"/>
        <item x="208"/>
        <item m="1" x="379"/>
        <item m="1" x="582"/>
        <item x="279"/>
        <item x="332"/>
      </items>
    </pivotField>
    <pivotField dataField="1" compact="0" numFmtId="166" outline="0" subtotalTop="0" showAll="0" includeNewItemsInFilter="1"/>
    <pivotField dataField="1" compact="0" numFmtId="166" outline="0" subtotalTop="0" showAll="0" includeNewItemsInFilter="1"/>
    <pivotField compact="0" numFmtId="167" outline="0" subtotalTop="0" showAll="0" includeNewItemsInFilter="1"/>
    <pivotField compact="0" numFmtId="167" outline="0" subtotalTop="0" showAll="0" includeNewItemsInFilter="1"/>
    <pivotField compact="0" numFmtId="167" outline="0" subtotalTop="0" showAll="0" includeNewItemsInFilter="1"/>
  </pivotFields>
  <rowFields count="3">
    <field x="0"/>
    <field x="1"/>
    <field x="2"/>
  </rowFields>
  <rowItems count="372">
    <i>
      <x/>
      <x v="6"/>
      <x v="586"/>
    </i>
    <i t="default">
      <x/>
    </i>
    <i>
      <x v="1"/>
      <x v="7"/>
      <x v="587"/>
    </i>
    <i r="1">
      <x v="8"/>
      <x v="584"/>
    </i>
    <i r="1">
      <x v="10"/>
      <x v="588"/>
    </i>
    <i r="1">
      <x v="13"/>
      <x v="590"/>
    </i>
    <i r="1">
      <x v="20"/>
      <x v="592"/>
    </i>
    <i r="1">
      <x v="22"/>
      <x v="594"/>
    </i>
    <i r="1">
      <x v="26"/>
      <x v="596"/>
    </i>
    <i t="default">
      <x v="1"/>
    </i>
    <i>
      <x v="2"/>
      <x v="6"/>
      <x v="130"/>
    </i>
    <i r="1">
      <x v="7"/>
      <x v="131"/>
    </i>
    <i r="1">
      <x v="8"/>
      <x v="128"/>
    </i>
    <i r="1">
      <x v="9"/>
      <x v="135"/>
    </i>
    <i r="1">
      <x v="13"/>
      <x v="133"/>
    </i>
    <i r="1">
      <x v="20"/>
      <x v="140"/>
    </i>
    <i r="1">
      <x v="22"/>
      <x v="142"/>
    </i>
    <i r="1">
      <x v="24"/>
      <x v="137"/>
    </i>
    <i r="1">
      <x v="25"/>
      <x v="143"/>
    </i>
    <i r="1">
      <x v="26"/>
      <x v="145"/>
    </i>
    <i t="default">
      <x v="2"/>
    </i>
    <i>
      <x v="3"/>
      <x v="6"/>
      <x v="528"/>
    </i>
    <i r="1">
      <x v="7"/>
      <x v="529"/>
    </i>
    <i r="1">
      <x v="8"/>
      <x v="526"/>
    </i>
    <i r="1">
      <x v="9"/>
      <x v="531"/>
    </i>
    <i r="1">
      <x v="15"/>
      <x v="533"/>
    </i>
    <i r="1">
      <x v="20"/>
      <x v="536"/>
    </i>
    <i r="1">
      <x v="22"/>
      <x v="539"/>
    </i>
    <i r="1">
      <x v="26"/>
      <x v="541"/>
    </i>
    <i t="default">
      <x v="3"/>
    </i>
    <i>
      <x v="4"/>
      <x v="6"/>
      <x v="373"/>
    </i>
    <i r="1">
      <x v="7"/>
      <x v="374"/>
    </i>
    <i r="1">
      <x v="8"/>
      <x v="371"/>
    </i>
    <i r="1">
      <x v="9"/>
      <x v="377"/>
    </i>
    <i r="1">
      <x v="10"/>
      <x v="375"/>
    </i>
    <i r="1">
      <x v="15"/>
      <x v="378"/>
    </i>
    <i r="1">
      <x v="16"/>
      <x v="383"/>
    </i>
    <i r="1">
      <x v="22"/>
      <x v="386"/>
    </i>
    <i r="1">
      <x v="25"/>
      <x v="387"/>
    </i>
    <i r="1">
      <x v="26"/>
      <x v="389"/>
    </i>
    <i t="default">
      <x v="4"/>
    </i>
    <i>
      <x v="5"/>
      <x v="6"/>
      <x v="617"/>
    </i>
    <i r="1">
      <x v="7"/>
      <x v="618"/>
    </i>
    <i r="1">
      <x v="8"/>
      <x v="615"/>
    </i>
    <i r="1">
      <x v="9"/>
      <x v="621"/>
    </i>
    <i r="1">
      <x v="18"/>
      <x v="614"/>
    </i>
    <i r="2">
      <x v="623"/>
    </i>
    <i r="1">
      <x v="20"/>
      <x v="629"/>
    </i>
    <i r="1">
      <x v="24"/>
      <x v="624"/>
    </i>
    <i t="default">
      <x v="5"/>
    </i>
    <i>
      <x v="6"/>
      <x v="6"/>
      <x v="252"/>
    </i>
    <i r="1">
      <x v="7"/>
      <x v="253"/>
    </i>
    <i r="1">
      <x v="8"/>
      <x v="250"/>
    </i>
    <i r="1">
      <x v="9"/>
      <x v="259"/>
    </i>
    <i r="1">
      <x v="12"/>
      <x v="255"/>
    </i>
    <i r="1">
      <x v="13"/>
      <x v="257"/>
    </i>
    <i r="1">
      <x v="19"/>
      <x v="263"/>
    </i>
    <i r="1">
      <x v="20"/>
      <x v="265"/>
    </i>
    <i r="1">
      <x v="22"/>
      <x v="267"/>
    </i>
    <i r="1">
      <x v="24"/>
      <x v="260"/>
    </i>
    <i r="1">
      <x v="26"/>
      <x v="270"/>
    </i>
    <i t="default">
      <x v="6"/>
    </i>
    <i>
      <x v="7"/>
      <x v="6"/>
      <x v="295"/>
    </i>
    <i r="1">
      <x v="7"/>
      <x v="296"/>
    </i>
    <i r="1">
      <x v="8"/>
      <x v="293"/>
    </i>
    <i r="1">
      <x v="9"/>
      <x v="303"/>
    </i>
    <i r="1">
      <x v="12"/>
      <x v="299"/>
    </i>
    <i r="1">
      <x v="13"/>
      <x v="301"/>
    </i>
    <i r="1">
      <x v="14"/>
      <x v="305"/>
    </i>
    <i r="1">
      <x v="15"/>
      <x v="307"/>
    </i>
    <i r="1">
      <x v="20"/>
      <x v="309"/>
    </i>
    <i r="1">
      <x v="22"/>
      <x v="311"/>
    </i>
    <i r="1">
      <x v="26"/>
      <x v="313"/>
    </i>
    <i t="default">
      <x v="7"/>
    </i>
    <i>
      <x v="8"/>
      <x v="6"/>
      <x v="601"/>
    </i>
    <i r="1">
      <x v="7"/>
      <x v="602"/>
    </i>
    <i r="1">
      <x v="8"/>
      <x v="599"/>
    </i>
    <i r="1">
      <x v="9"/>
      <x v="605"/>
    </i>
    <i r="1">
      <x v="10"/>
      <x v="603"/>
    </i>
    <i r="1">
      <x v="22"/>
      <x v="609"/>
    </i>
    <i r="1">
      <x v="24"/>
      <x v="606"/>
    </i>
    <i r="1">
      <x v="26"/>
      <x v="611"/>
    </i>
    <i t="default">
      <x v="8"/>
    </i>
    <i>
      <x v="9"/>
      <x v="6"/>
      <x v="394"/>
    </i>
    <i r="1">
      <x v="7"/>
      <x v="395"/>
    </i>
    <i r="1">
      <x v="8"/>
      <x v="392"/>
    </i>
    <i r="1">
      <x v="9"/>
      <x v="399"/>
    </i>
    <i r="1">
      <x v="22"/>
      <x v="404"/>
    </i>
    <i r="1">
      <x v="24"/>
      <x v="400"/>
    </i>
    <i r="1">
      <x v="26"/>
      <x v="407"/>
    </i>
    <i t="default">
      <x v="9"/>
    </i>
    <i>
      <x v="10"/>
      <x v="6"/>
      <x v="494"/>
    </i>
    <i r="1">
      <x v="7"/>
      <x v="495"/>
    </i>
    <i r="1">
      <x v="8"/>
      <x v="492"/>
    </i>
    <i r="1">
      <x v="9"/>
      <x v="502"/>
    </i>
    <i r="1">
      <x v="12"/>
      <x v="498"/>
    </i>
    <i r="1">
      <x v="13"/>
      <x v="500"/>
    </i>
    <i r="1">
      <x v="15"/>
      <x v="503"/>
    </i>
    <i r="1">
      <x v="17"/>
      <x v="491"/>
    </i>
    <i r="1">
      <x v="20"/>
      <x v="504"/>
    </i>
    <i r="1">
      <x v="22"/>
      <x v="506"/>
    </i>
    <i r="1">
      <x v="26"/>
      <x v="508"/>
    </i>
    <i t="default">
      <x v="10"/>
    </i>
    <i>
      <x v="11"/>
      <x v="6"/>
      <x v="90"/>
    </i>
    <i r="1">
      <x v="7"/>
      <x v="91"/>
    </i>
    <i r="1">
      <x v="8"/>
      <x v="88"/>
    </i>
    <i r="1">
      <x v="9"/>
      <x v="95"/>
    </i>
    <i r="1">
      <x v="13"/>
      <x v="93"/>
    </i>
    <i r="1">
      <x v="18"/>
      <x v="98"/>
    </i>
    <i r="2">
      <x v="99"/>
    </i>
    <i r="1">
      <x v="20"/>
      <x v="101"/>
    </i>
    <i r="1">
      <x v="21"/>
      <x v="103"/>
    </i>
    <i r="1">
      <x v="22"/>
      <x v="105"/>
    </i>
    <i r="1">
      <x v="24"/>
      <x v="97"/>
    </i>
    <i r="1">
      <x v="26"/>
      <x v="107"/>
    </i>
    <i t="default">
      <x v="11"/>
    </i>
    <i>
      <x v="12"/>
      <x v="6"/>
      <x v="26"/>
    </i>
    <i r="1">
      <x v="8"/>
      <x v="24"/>
    </i>
    <i r="1">
      <x v="9"/>
      <x v="31"/>
    </i>
    <i r="1">
      <x v="10"/>
      <x v="27"/>
    </i>
    <i r="1">
      <x v="12"/>
      <x v="29"/>
    </i>
    <i r="1">
      <x v="15"/>
      <x v="32"/>
    </i>
    <i r="1">
      <x v="18"/>
      <x v="34"/>
    </i>
    <i r="1">
      <x v="20"/>
      <x v="37"/>
    </i>
    <i r="1">
      <x v="22"/>
      <x v="39"/>
    </i>
    <i r="1">
      <x v="26"/>
      <x v="41"/>
    </i>
    <i t="default">
      <x v="12"/>
    </i>
    <i>
      <x v="13"/>
      <x v="6"/>
      <x v="175"/>
    </i>
    <i r="1">
      <x v="7"/>
      <x v="176"/>
    </i>
    <i r="1">
      <x v="8"/>
      <x v="173"/>
    </i>
    <i r="1">
      <x v="9"/>
      <x v="181"/>
    </i>
    <i r="1">
      <x v="10"/>
      <x v="177"/>
    </i>
    <i r="1">
      <x v="13"/>
      <x v="179"/>
    </i>
    <i r="1">
      <x v="15"/>
      <x v="183"/>
    </i>
    <i r="1">
      <x v="16"/>
      <x v="211"/>
    </i>
    <i r="2">
      <x v="212"/>
    </i>
    <i r="2">
      <x v="213"/>
    </i>
    <i r="2">
      <x v="214"/>
    </i>
    <i r="2">
      <x v="215"/>
    </i>
    <i r="1">
      <x v="22"/>
      <x v="218"/>
    </i>
    <i r="1">
      <x v="23"/>
      <x v="219"/>
    </i>
    <i r="1">
      <x v="25"/>
      <x v="220"/>
    </i>
    <i r="1">
      <x v="26"/>
      <x v="222"/>
    </i>
    <i t="default">
      <x v="13"/>
    </i>
    <i>
      <x v="15"/>
      <x v="6"/>
      <x v="151"/>
    </i>
    <i r="1">
      <x v="7"/>
      <x v="152"/>
    </i>
    <i r="1">
      <x v="8"/>
      <x v="149"/>
    </i>
    <i r="1">
      <x v="9"/>
      <x v="157"/>
    </i>
    <i r="1">
      <x v="10"/>
      <x v="153"/>
    </i>
    <i r="1">
      <x v="13"/>
      <x v="155"/>
    </i>
    <i r="1">
      <x v="14"/>
      <x v="159"/>
    </i>
    <i r="2">
      <x v="161"/>
    </i>
    <i r="1">
      <x v="20"/>
      <x v="164"/>
    </i>
    <i r="1">
      <x v="22"/>
      <x v="167"/>
    </i>
    <i r="1">
      <x v="26"/>
      <x v="169"/>
    </i>
    <i t="default">
      <x v="15"/>
    </i>
    <i>
      <x v="16"/>
      <x v="6"/>
      <x v="546"/>
    </i>
    <i r="1">
      <x v="7"/>
      <x v="547"/>
    </i>
    <i r="1">
      <x v="8"/>
      <x v="544"/>
    </i>
    <i r="1">
      <x v="9"/>
      <x v="552"/>
    </i>
    <i r="1">
      <x v="10"/>
      <x v="548"/>
    </i>
    <i r="1">
      <x v="13"/>
      <x v="550"/>
    </i>
    <i r="1">
      <x v="14"/>
      <x v="554"/>
    </i>
    <i r="1">
      <x v="15"/>
      <x v="555"/>
    </i>
    <i r="1">
      <x v="22"/>
      <x v="559"/>
    </i>
    <i r="1">
      <x v="26"/>
      <x v="561"/>
    </i>
    <i t="default">
      <x v="16"/>
    </i>
    <i>
      <x v="17"/>
      <x v="6"/>
      <x v="278"/>
    </i>
    <i r="1">
      <x v="7"/>
      <x v="279"/>
    </i>
    <i r="1">
      <x v="8"/>
      <x v="276"/>
    </i>
    <i r="1">
      <x v="9"/>
      <x v="283"/>
    </i>
    <i r="1">
      <x v="13"/>
      <x v="281"/>
    </i>
    <i r="1">
      <x v="15"/>
      <x v="284"/>
    </i>
    <i r="1">
      <x v="21"/>
      <x v="286"/>
    </i>
    <i r="1">
      <x v="22"/>
      <x v="288"/>
    </i>
    <i r="1">
      <x v="26"/>
      <x v="290"/>
    </i>
    <i t="default">
      <x v="17"/>
    </i>
    <i>
      <x v="18"/>
      <x v="6"/>
      <x v="652"/>
    </i>
    <i r="1">
      <x v="7"/>
      <x v="653"/>
    </i>
    <i r="1">
      <x v="8"/>
      <x v="650"/>
    </i>
    <i r="1">
      <x v="9"/>
      <x v="657"/>
    </i>
    <i r="1">
      <x v="13"/>
      <x v="655"/>
    </i>
    <i r="1">
      <x v="15"/>
      <x v="658"/>
    </i>
    <i r="1">
      <x v="18"/>
      <x v="659"/>
    </i>
    <i r="1">
      <x v="22"/>
      <x v="664"/>
    </i>
    <i r="1">
      <x v="26"/>
      <x v="666"/>
    </i>
    <i t="default">
      <x v="18"/>
    </i>
    <i>
      <x v="19"/>
      <x v="6"/>
      <x v="46"/>
    </i>
    <i r="1">
      <x v="7"/>
      <x v="47"/>
    </i>
    <i r="1">
      <x v="8"/>
      <x v="44"/>
    </i>
    <i r="1">
      <x v="9"/>
      <x v="53"/>
    </i>
    <i r="1">
      <x v="13"/>
      <x v="51"/>
    </i>
    <i r="1">
      <x v="15"/>
      <x v="56"/>
    </i>
    <i r="1">
      <x v="18"/>
      <x v="49"/>
    </i>
    <i r="1">
      <x v="20"/>
      <x v="58"/>
    </i>
    <i r="1">
      <x v="21"/>
      <x v="60"/>
    </i>
    <i r="1">
      <x v="22"/>
      <x v="62"/>
    </i>
    <i r="1">
      <x v="23"/>
      <x v="64"/>
    </i>
    <i r="1">
      <x v="26"/>
      <x v="66"/>
    </i>
    <i t="default">
      <x v="19"/>
    </i>
    <i>
      <x v="20"/>
      <x v="6"/>
      <x v="4"/>
    </i>
    <i r="1">
      <x v="7"/>
      <x v="5"/>
    </i>
    <i r="1">
      <x v="8"/>
      <x v="2"/>
    </i>
    <i r="1">
      <x v="9"/>
      <x v="12"/>
    </i>
    <i r="1">
      <x v="10"/>
      <x v="6"/>
    </i>
    <i r="1">
      <x v="12"/>
      <x v="8"/>
    </i>
    <i r="1">
      <x v="13"/>
      <x v="10"/>
    </i>
    <i r="1">
      <x v="14"/>
      <x v="13"/>
    </i>
    <i r="1">
      <x v="15"/>
      <x v="14"/>
    </i>
    <i r="1">
      <x v="20"/>
      <x v="15"/>
    </i>
    <i r="1">
      <x v="22"/>
      <x v="17"/>
    </i>
    <i r="1">
      <x v="25"/>
      <x v="18"/>
    </i>
    <i r="1">
      <x v="26"/>
      <x v="20"/>
    </i>
    <i t="default">
      <x v="20"/>
    </i>
    <i>
      <x v="21"/>
      <x v="6"/>
      <x v="227"/>
    </i>
    <i r="1">
      <x v="7"/>
      <x v="228"/>
    </i>
    <i r="1">
      <x v="8"/>
      <x v="225"/>
    </i>
    <i r="1">
      <x v="9"/>
      <x v="233"/>
    </i>
    <i r="1">
      <x v="10"/>
      <x v="229"/>
    </i>
    <i r="1">
      <x v="13"/>
      <x v="231"/>
    </i>
    <i r="1">
      <x v="14"/>
      <x v="236"/>
    </i>
    <i r="1">
      <x v="18"/>
      <x v="235"/>
    </i>
    <i r="1">
      <x v="20"/>
      <x v="239"/>
    </i>
    <i r="1">
      <x v="21"/>
      <x v="241"/>
    </i>
    <i r="1">
      <x v="22"/>
      <x v="243"/>
    </i>
    <i r="1">
      <x v="23"/>
      <x v="245"/>
    </i>
    <i r="1">
      <x v="26"/>
      <x v="247"/>
    </i>
    <i t="default">
      <x v="21"/>
    </i>
    <i>
      <x v="22"/>
      <x v="15"/>
      <x v="695"/>
    </i>
    <i t="default">
      <x v="22"/>
    </i>
    <i>
      <x v="23"/>
      <x v="15"/>
      <x v="696"/>
    </i>
    <i t="default">
      <x v="23"/>
    </i>
    <i>
      <x v="24"/>
      <x v="5"/>
      <x v="564"/>
    </i>
    <i r="1">
      <x v="6"/>
      <x v="567"/>
    </i>
    <i r="1">
      <x v="7"/>
      <x v="568"/>
    </i>
    <i r="1">
      <x v="8"/>
      <x v="565"/>
    </i>
    <i r="1">
      <x v="9"/>
      <x v="572"/>
    </i>
    <i r="1">
      <x v="13"/>
      <x v="570"/>
    </i>
    <i r="1">
      <x v="14"/>
      <x v="573"/>
    </i>
    <i r="1">
      <x v="15"/>
      <x v="574"/>
    </i>
    <i r="1">
      <x v="20"/>
      <x v="576"/>
    </i>
    <i r="1">
      <x v="22"/>
      <x v="578"/>
    </i>
    <i r="1">
      <x v="26"/>
      <x v="580"/>
    </i>
    <i t="default">
      <x v="24"/>
    </i>
    <i>
      <x v="25"/>
      <x v="6"/>
      <x v="635"/>
    </i>
    <i r="1">
      <x v="7"/>
      <x v="636"/>
    </i>
    <i r="1">
      <x v="8"/>
      <x v="633"/>
    </i>
    <i r="1">
      <x v="9"/>
      <x v="639"/>
    </i>
    <i r="1">
      <x v="15"/>
      <x v="641"/>
    </i>
    <i r="1">
      <x v="22"/>
      <x v="644"/>
    </i>
    <i r="1">
      <x v="26"/>
      <x v="646"/>
    </i>
    <i t="default">
      <x v="25"/>
    </i>
    <i>
      <x v="27"/>
      <x v="6"/>
      <x v="688"/>
    </i>
    <i r="1">
      <x v="7"/>
      <x v="689"/>
    </i>
    <i r="1">
      <x v="8"/>
      <x v="686"/>
    </i>
    <i r="1">
      <x v="22"/>
      <x v="691"/>
    </i>
    <i r="1">
      <x v="26"/>
      <x v="693"/>
    </i>
    <i t="default">
      <x v="27"/>
    </i>
    <i>
      <x v="28"/>
      <x v="6"/>
      <x v="114"/>
    </i>
    <i r="1">
      <x v="7"/>
      <x v="115"/>
    </i>
    <i r="1">
      <x v="8"/>
      <x v="112"/>
    </i>
    <i r="1">
      <x v="9"/>
      <x v="118"/>
    </i>
    <i r="1">
      <x v="18"/>
      <x v="111"/>
    </i>
    <i r="1">
      <x v="22"/>
      <x v="123"/>
    </i>
    <i r="1">
      <x v="24"/>
      <x v="121"/>
    </i>
    <i r="1">
      <x v="26"/>
      <x v="125"/>
    </i>
    <i t="default">
      <x v="28"/>
    </i>
    <i>
      <x v="29"/>
      <x v="6"/>
      <x v="71"/>
    </i>
    <i r="1">
      <x v="7"/>
      <x v="72"/>
    </i>
    <i r="1">
      <x v="8"/>
      <x v="69"/>
    </i>
    <i r="1">
      <x v="9"/>
      <x v="77"/>
    </i>
    <i r="1">
      <x v="10"/>
      <x v="73"/>
    </i>
    <i r="1">
      <x v="13"/>
      <x v="75"/>
    </i>
    <i r="1">
      <x v="19"/>
      <x v="79"/>
    </i>
    <i r="1">
      <x v="20"/>
      <x v="81"/>
    </i>
    <i r="1">
      <x v="22"/>
      <x v="83"/>
    </i>
    <i r="1">
      <x v="24"/>
      <x v="78"/>
    </i>
    <i r="1">
      <x v="26"/>
      <x v="85"/>
    </i>
    <i t="default">
      <x v="29"/>
    </i>
    <i>
      <x v="30"/>
      <x v="6"/>
      <x v="513"/>
    </i>
    <i r="1">
      <x v="7"/>
      <x v="514"/>
    </i>
    <i r="1">
      <x v="8"/>
      <x v="511"/>
    </i>
    <i r="1">
      <x v="13"/>
      <x v="516"/>
    </i>
    <i r="1">
      <x v="22"/>
      <x v="521"/>
    </i>
    <i r="1">
      <x v="24"/>
      <x v="517"/>
    </i>
    <i r="1">
      <x v="26"/>
      <x v="523"/>
    </i>
    <i t="default">
      <x v="30"/>
    </i>
    <i>
      <x v="31"/>
      <x v="6"/>
      <x v="671"/>
    </i>
    <i r="1">
      <x v="7"/>
      <x v="672"/>
    </i>
    <i r="1">
      <x v="8"/>
      <x v="669"/>
    </i>
    <i r="1">
      <x v="9"/>
      <x v="674"/>
    </i>
    <i r="1">
      <x v="16"/>
      <x v="678"/>
    </i>
    <i r="2">
      <x v="679"/>
    </i>
    <i r="1">
      <x v="22"/>
      <x v="681"/>
    </i>
    <i r="1">
      <x v="24"/>
      <x v="676"/>
    </i>
    <i r="1">
      <x v="26"/>
      <x v="683"/>
    </i>
    <i t="default">
      <x v="31"/>
    </i>
    <i>
      <x v="32"/>
      <x v="6"/>
      <x v="352"/>
    </i>
    <i r="1">
      <x v="7"/>
      <x v="353"/>
    </i>
    <i r="1">
      <x v="8"/>
      <x v="350"/>
    </i>
    <i r="1">
      <x v="9"/>
      <x v="357"/>
    </i>
    <i r="1">
      <x v="12"/>
      <x v="355"/>
    </i>
    <i r="1">
      <x v="15"/>
      <x v="358"/>
    </i>
    <i r="1">
      <x v="18"/>
      <x v="360"/>
    </i>
    <i r="2">
      <x v="361"/>
    </i>
    <i r="2">
      <x v="366"/>
    </i>
    <i r="1">
      <x v="21"/>
      <x v="362"/>
    </i>
    <i r="1">
      <x v="22"/>
      <x v="364"/>
    </i>
    <i r="1">
      <x v="26"/>
      <x v="368"/>
    </i>
    <i t="default">
      <x v="32"/>
    </i>
    <i>
      <x v="33"/>
      <x v="20"/>
      <x v="699"/>
    </i>
    <i t="default">
      <x v="33"/>
    </i>
    <i>
      <x v="34"/>
      <x v="6"/>
      <x v="464"/>
    </i>
    <i r="1">
      <x v="8"/>
      <x v="462"/>
    </i>
    <i r="1">
      <x v="9"/>
      <x v="469"/>
    </i>
    <i r="1">
      <x v="10"/>
      <x v="465"/>
    </i>
    <i r="1">
      <x v="12"/>
      <x v="467"/>
    </i>
    <i r="1">
      <x v="14"/>
      <x v="471"/>
    </i>
    <i r="1">
      <x v="15"/>
      <x v="472"/>
    </i>
    <i r="1">
      <x v="20"/>
      <x v="480"/>
    </i>
    <i r="1">
      <x v="22"/>
      <x v="482"/>
    </i>
    <i r="1">
      <x v="25"/>
      <x v="484"/>
    </i>
    <i r="1">
      <x v="26"/>
      <x v="486"/>
    </i>
    <i t="default">
      <x v="34"/>
    </i>
    <i>
      <x v="35"/>
      <x v="6"/>
      <x v="412"/>
    </i>
    <i r="1">
      <x v="7"/>
      <x v="413"/>
    </i>
    <i r="1">
      <x v="8"/>
      <x v="410"/>
    </i>
    <i r="1">
      <x v="9"/>
      <x v="418"/>
    </i>
    <i r="1">
      <x v="12"/>
      <x v="415"/>
    </i>
    <i r="1">
      <x v="15"/>
      <x v="419"/>
    </i>
    <i r="1">
      <x v="18"/>
      <x v="427"/>
    </i>
    <i r="1">
      <x v="20"/>
      <x v="422"/>
    </i>
    <i r="1">
      <x v="22"/>
      <x v="424"/>
    </i>
    <i r="1">
      <x v="26"/>
      <x v="429"/>
    </i>
    <i t="default">
      <x v="35"/>
    </i>
    <i>
      <x v="36"/>
      <x v="6"/>
      <x v="318"/>
    </i>
    <i r="1">
      <x v="7"/>
      <x v="319"/>
    </i>
    <i r="1">
      <x v="8"/>
      <x v="316"/>
    </i>
    <i r="1">
      <x v="9"/>
      <x v="323"/>
    </i>
    <i r="1">
      <x v="15"/>
      <x v="324"/>
    </i>
    <i r="1">
      <x v="21"/>
      <x v="326"/>
    </i>
    <i r="1">
      <x v="22"/>
      <x v="328"/>
    </i>
    <i r="1">
      <x v="26"/>
      <x v="330"/>
    </i>
    <i t="default">
      <x v="36"/>
    </i>
    <i>
      <x v="37"/>
      <x v="6"/>
      <x v="435"/>
    </i>
    <i r="1">
      <x v="7"/>
      <x v="436"/>
    </i>
    <i r="1">
      <x v="8"/>
      <x v="433"/>
    </i>
    <i r="1">
      <x v="9"/>
      <x v="442"/>
    </i>
    <i r="1">
      <x v="13"/>
      <x v="440"/>
    </i>
    <i r="1">
      <x v="14"/>
      <x v="443"/>
    </i>
    <i r="2">
      <x v="444"/>
    </i>
    <i r="1">
      <x v="17"/>
      <x v="438"/>
    </i>
    <i r="1">
      <x v="19"/>
      <x v="447"/>
    </i>
    <i r="1">
      <x v="20"/>
      <x v="449"/>
    </i>
    <i r="1">
      <x v="21"/>
      <x v="451"/>
    </i>
    <i r="1">
      <x v="22"/>
      <x v="454"/>
    </i>
    <i r="1">
      <x v="24"/>
      <x v="445"/>
    </i>
    <i r="1">
      <x v="26"/>
      <x v="458"/>
    </i>
    <i t="default">
      <x v="37"/>
    </i>
    <i>
      <x v="38"/>
      <x v="6"/>
      <x v="335"/>
    </i>
    <i r="1">
      <x v="7"/>
      <x v="336"/>
    </i>
    <i r="1">
      <x v="8"/>
      <x v="333"/>
    </i>
    <i r="1">
      <x v="9"/>
      <x v="341"/>
    </i>
    <i r="1">
      <x v="10"/>
      <x v="337"/>
    </i>
    <i r="1">
      <x v="13"/>
      <x v="339"/>
    </i>
    <i r="1">
      <x v="22"/>
      <x v="345"/>
    </i>
    <i r="1">
      <x v="24"/>
      <x v="342"/>
    </i>
    <i r="1">
      <x v="26"/>
      <x v="347"/>
    </i>
    <i t="default">
      <x v="38"/>
    </i>
    <i>
      <x v="39"/>
      <x v="27"/>
      <x v="700"/>
    </i>
    <i t="default">
      <x v="39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djustments" fld="3" baseField="0" baseItem="0"/>
    <dataField name="Sum of Amount" fld="4" baseField="0" baseItem="0"/>
  </dataFields>
  <formats count="25">
    <format dxfId="249">
      <pivotArea outline="0" fieldPosition="0"/>
    </format>
    <format dxfId="248">
      <pivotArea outline="0" collapsedLevelsAreSubtotals="1" fieldPosition="0">
        <references count="1">
          <reference field="0" count="1" selected="0" defaultSubtotal="1">
            <x v="25"/>
          </reference>
        </references>
      </pivotArea>
    </format>
    <format dxfId="247">
      <pivotArea outline="0" collapsedLevelsAreSubtotals="1" fieldPosition="0">
        <references count="1">
          <reference field="0" count="1" selected="0" defaultSubtotal="1">
            <x v="27"/>
          </reference>
        </references>
      </pivotArea>
    </format>
    <format dxfId="246">
      <pivotArea outline="0" collapsedLevelsAreSubtotals="1" fieldPosition="0">
        <references count="1">
          <reference field="0" count="1" selected="0" defaultSubtotal="1">
            <x v="31"/>
          </reference>
        </references>
      </pivotArea>
    </format>
    <format dxfId="245">
      <pivotArea outline="0" collapsedLevelsAreSubtotals="1" fieldPosition="0">
        <references count="4">
          <reference field="4294967294" count="1" selected="0">
            <x v="0"/>
          </reference>
          <reference field="0" count="1" selected="0">
            <x v="39"/>
          </reference>
          <reference field="1" count="1" selected="0">
            <x v="27"/>
          </reference>
          <reference field="2" count="1" selected="0">
            <x v="700"/>
          </reference>
        </references>
      </pivotArea>
    </format>
    <format dxfId="244">
      <pivotArea outline="0" collapsedLevelsAreSubtotals="1" fieldPosition="0">
        <references count="3">
          <reference field="0" count="1" selected="0">
            <x v="7"/>
          </reference>
          <reference field="1" count="11" selected="0">
            <x v="2"/>
            <x v="3"/>
            <x v="4"/>
            <x v="6"/>
            <x v="11"/>
            <x v="12"/>
            <x v="13"/>
            <x v="14"/>
            <x v="15"/>
            <x v="22"/>
            <x v="26"/>
          </reference>
          <reference field="2" count="13" selected="0">
            <x v="291"/>
            <x v="292"/>
            <x v="294"/>
            <x v="295"/>
            <x v="297"/>
            <x v="298"/>
            <x v="300"/>
            <x v="302"/>
            <x v="304"/>
            <x v="306"/>
            <x v="307"/>
            <x v="310"/>
            <x v="312"/>
          </reference>
        </references>
      </pivotArea>
    </format>
    <format dxfId="243">
      <pivotArea dataOnly="0" labelOnly="1" outline="0" fieldPosition="0">
        <references count="2">
          <reference field="0" count="1" selected="0">
            <x v="7"/>
          </reference>
          <reference field="2" count="13">
            <x v="291"/>
            <x v="292"/>
            <x v="294"/>
            <x v="295"/>
            <x v="297"/>
            <x v="298"/>
            <x v="300"/>
            <x v="302"/>
            <x v="304"/>
            <x v="306"/>
            <x v="307"/>
            <x v="310"/>
            <x v="312"/>
          </reference>
        </references>
      </pivotArea>
    </format>
    <format dxfId="242">
      <pivotArea dataOnly="0" labelOnly="1" outline="0" fieldPosition="0">
        <references count="3">
          <reference field="0" count="1" selected="0">
            <x v="7"/>
          </reference>
          <reference field="1" count="1">
            <x v="3"/>
          </reference>
          <reference field="2" count="1" selected="0">
            <x v="291"/>
          </reference>
        </references>
      </pivotArea>
    </format>
    <format dxfId="241">
      <pivotArea dataOnly="0" labelOnly="1" outline="0" fieldPosition="0">
        <references count="3">
          <reference field="0" count="1" selected="0">
            <x v="7"/>
          </reference>
          <reference field="1" count="1">
            <x v="2"/>
          </reference>
          <reference field="2" count="1" selected="0">
            <x v="292"/>
          </reference>
        </references>
      </pivotArea>
    </format>
    <format dxfId="240">
      <pivotArea dataOnly="0" labelOnly="1" outline="0" fieldPosition="0">
        <references count="3">
          <reference field="0" count="1" selected="0">
            <x v="7"/>
          </reference>
          <reference field="1" count="1">
            <x v="6"/>
          </reference>
          <reference field="2" count="1" selected="0">
            <x v="294"/>
          </reference>
        </references>
      </pivotArea>
    </format>
    <format dxfId="239">
      <pivotArea dataOnly="0" labelOnly="1" outline="0" fieldPosition="0">
        <references count="3">
          <reference field="0" count="1" selected="0">
            <x v="7"/>
          </reference>
          <reference field="1" count="1">
            <x v="6"/>
          </reference>
          <reference field="2" count="1" selected="0">
            <x v="295"/>
          </reference>
        </references>
      </pivotArea>
    </format>
    <format dxfId="238">
      <pivotArea dataOnly="0" labelOnly="1" outline="0" fieldPosition="0">
        <references count="3">
          <reference field="0" count="1" selected="0">
            <x v="7"/>
          </reference>
          <reference field="1" count="1">
            <x v="11"/>
          </reference>
          <reference field="2" count="1" selected="0">
            <x v="297"/>
          </reference>
        </references>
      </pivotArea>
    </format>
    <format dxfId="237">
      <pivotArea dataOnly="0" labelOnly="1" outline="0" fieldPosition="0">
        <references count="3">
          <reference field="0" count="1" selected="0">
            <x v="7"/>
          </reference>
          <reference field="1" count="1">
            <x v="12"/>
          </reference>
          <reference field="2" count="1" selected="0">
            <x v="298"/>
          </reference>
        </references>
      </pivotArea>
    </format>
    <format dxfId="236">
      <pivotArea dataOnly="0" labelOnly="1" outline="0" fieldPosition="0">
        <references count="3">
          <reference field="0" count="1" selected="0">
            <x v="7"/>
          </reference>
          <reference field="1" count="1">
            <x v="13"/>
          </reference>
          <reference field="2" count="1" selected="0">
            <x v="300"/>
          </reference>
        </references>
      </pivotArea>
    </format>
    <format dxfId="235">
      <pivotArea dataOnly="0" labelOnly="1" outline="0" fieldPosition="0">
        <references count="3">
          <reference field="0" count="1" selected="0">
            <x v="7"/>
          </reference>
          <reference field="1" count="1">
            <x v="4"/>
          </reference>
          <reference field="2" count="1" selected="0">
            <x v="302"/>
          </reference>
        </references>
      </pivotArea>
    </format>
    <format dxfId="234">
      <pivotArea dataOnly="0" labelOnly="1" outline="0" fieldPosition="0">
        <references count="3">
          <reference field="0" count="1" selected="0">
            <x v="7"/>
          </reference>
          <reference field="1" count="1">
            <x v="14"/>
          </reference>
          <reference field="2" count="1" selected="0">
            <x v="304"/>
          </reference>
        </references>
      </pivotArea>
    </format>
    <format dxfId="233">
      <pivotArea dataOnly="0" labelOnly="1" outline="0" fieldPosition="0">
        <references count="3">
          <reference field="0" count="1" selected="0">
            <x v="7"/>
          </reference>
          <reference field="1" count="1">
            <x v="14"/>
          </reference>
          <reference field="2" count="1" selected="0">
            <x v="306"/>
          </reference>
        </references>
      </pivotArea>
    </format>
    <format dxfId="232">
      <pivotArea dataOnly="0" labelOnly="1" outline="0" fieldPosition="0">
        <references count="3">
          <reference field="0" count="1" selected="0">
            <x v="7"/>
          </reference>
          <reference field="1" count="1">
            <x v="15"/>
          </reference>
          <reference field="2" count="1" selected="0">
            <x v="307"/>
          </reference>
        </references>
      </pivotArea>
    </format>
    <format dxfId="231">
      <pivotArea dataOnly="0" labelOnly="1" outline="0" fieldPosition="0">
        <references count="3">
          <reference field="0" count="1" selected="0">
            <x v="7"/>
          </reference>
          <reference field="1" count="1">
            <x v="22"/>
          </reference>
          <reference field="2" count="1" selected="0">
            <x v="310"/>
          </reference>
        </references>
      </pivotArea>
    </format>
    <format dxfId="230">
      <pivotArea dataOnly="0" labelOnly="1" outline="0" fieldPosition="0">
        <references count="3">
          <reference field="0" count="1" selected="0">
            <x v="7"/>
          </reference>
          <reference field="1" count="1">
            <x v="26"/>
          </reference>
          <reference field="2" count="1" selected="0">
            <x v="312"/>
          </reference>
        </references>
      </pivotArea>
    </format>
    <format dxfId="229">
      <pivotArea outline="0" collapsedLevelsAreSubtotals="1" fieldPosition="0">
        <references count="2">
          <reference field="4294967294" count="1" selected="0">
            <x v="1"/>
          </reference>
          <reference field="0" count="1" selected="0" defaultSubtotal="1">
            <x v="16"/>
          </reference>
        </references>
      </pivotArea>
    </format>
    <format dxfId="228">
      <pivotArea outline="0" collapsedLevelsAreSubtotals="1" fieldPosition="0">
        <references count="2">
          <reference field="4294967294" count="1" selected="0">
            <x v="1"/>
          </reference>
          <reference field="0" count="1" selected="0" defaultSubtotal="1">
            <x v="17"/>
          </reference>
        </references>
      </pivotArea>
    </format>
    <format dxfId="227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8"/>
          </reference>
          <reference field="1" count="1" selected="0">
            <x v="3"/>
          </reference>
          <reference field="2" count="1" selected="0">
            <x v="647"/>
          </reference>
        </references>
      </pivotArea>
    </format>
    <format dxfId="226">
      <pivotArea outline="0" collapsedLevelsAreSubtotals="1" fieldPosition="0">
        <references count="4">
          <reference field="4294967294" count="1" selected="0">
            <x v="0"/>
          </reference>
          <reference field="0" count="1" selected="0">
            <x v="4"/>
          </reference>
          <reference field="1" count="1" selected="0">
            <x v="16"/>
          </reference>
          <reference field="2" count="1" selected="0">
            <x v="382"/>
          </reference>
        </references>
      </pivotArea>
    </format>
    <format dxfId="225">
      <pivotArea outline="0" collapsedLevelsAreSubtotals="1" fieldPosition="0">
        <references count="1">
          <reference field="0" count="1" selected="0" defaultSubtotal="1">
            <x v="18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1:D360" firstHeaderRow="1" firstDataRow="2" firstDataCol="2"/>
  <pivotFields count="10"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m="1" x="39"/>
        <item x="20"/>
        <item x="21"/>
        <item x="22"/>
        <item x="23"/>
        <item m="1" x="40"/>
        <item x="25"/>
        <item x="26"/>
        <item x="27"/>
        <item x="28"/>
        <item x="29"/>
        <item x="31"/>
        <item h="1" x="30"/>
        <item x="32"/>
        <item x="33"/>
        <item x="34"/>
        <item x="35"/>
        <item x="36"/>
        <item x="37"/>
        <item x="38"/>
        <item x="24"/>
        <item t="default"/>
      </items>
    </pivotField>
    <pivotField axis="axisRow" compact="0" outline="0" subtotalTop="0" showAll="0" includeNewItemsInFilter="1" sortType="ascending">
      <items count="38">
        <item m="1" x="34"/>
        <item m="1" x="32"/>
        <item m="1" x="31"/>
        <item m="1" x="29"/>
        <item m="1" x="24"/>
        <item m="1" x="27"/>
        <item m="1" x="36"/>
        <item x="21"/>
        <item m="1" x="35"/>
        <item x="0"/>
        <item x="1"/>
        <item x="2"/>
        <item x="9"/>
        <item x="3"/>
        <item m="1" x="25"/>
        <item m="1" x="23"/>
        <item m="1" x="22"/>
        <item x="15"/>
        <item x="4"/>
        <item x="17"/>
        <item m="1" x="33"/>
        <item x="12"/>
        <item x="13"/>
        <item x="18"/>
        <item x="14"/>
        <item x="16"/>
        <item x="5"/>
        <item m="1" x="28"/>
        <item x="19"/>
        <item m="1" x="30"/>
        <item x="6"/>
        <item x="20"/>
        <item m="1" x="26"/>
        <item x="10"/>
        <item x="11"/>
        <item x="7"/>
        <item h="1" x="8"/>
        <item t="default"/>
      </items>
    </pivotField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2"/>
    <field x="3"/>
  </rowFields>
  <rowItems count="358">
    <i>
      <x/>
      <x v="9"/>
    </i>
    <i r="1">
      <x v="10"/>
    </i>
    <i r="1">
      <x v="11"/>
    </i>
    <i r="1">
      <x v="13"/>
    </i>
    <i r="1">
      <x v="18"/>
    </i>
    <i r="1">
      <x v="26"/>
    </i>
    <i r="1">
      <x v="30"/>
    </i>
    <i r="1">
      <x v="35"/>
    </i>
    <i t="default">
      <x/>
    </i>
    <i>
      <x v="1"/>
      <x v="9"/>
    </i>
    <i r="1">
      <x v="10"/>
    </i>
    <i r="1">
      <x v="11"/>
    </i>
    <i r="1">
      <x v="12"/>
    </i>
    <i r="1">
      <x v="18"/>
    </i>
    <i r="1">
      <x v="26"/>
    </i>
    <i r="1">
      <x v="30"/>
    </i>
    <i r="1">
      <x v="33"/>
    </i>
    <i r="1">
      <x v="34"/>
    </i>
    <i r="1">
      <x v="35"/>
    </i>
    <i t="default">
      <x v="1"/>
    </i>
    <i>
      <x v="2"/>
      <x v="9"/>
    </i>
    <i r="1">
      <x v="10"/>
    </i>
    <i r="1">
      <x v="11"/>
    </i>
    <i r="1">
      <x v="12"/>
    </i>
    <i r="1">
      <x v="21"/>
    </i>
    <i r="1">
      <x v="26"/>
    </i>
    <i r="1">
      <x v="30"/>
    </i>
    <i r="1">
      <x v="35"/>
    </i>
    <i t="default">
      <x v="2"/>
    </i>
    <i>
      <x v="3"/>
      <x v="9"/>
    </i>
    <i r="1">
      <x v="10"/>
    </i>
    <i r="1">
      <x v="11"/>
    </i>
    <i r="1">
      <x v="12"/>
    </i>
    <i r="1">
      <x v="13"/>
    </i>
    <i r="1">
      <x v="21"/>
    </i>
    <i r="1">
      <x v="22"/>
    </i>
    <i r="1">
      <x v="30"/>
    </i>
    <i r="1">
      <x v="34"/>
    </i>
    <i r="1">
      <x v="35"/>
    </i>
    <i t="default">
      <x v="3"/>
    </i>
    <i>
      <x v="4"/>
      <x v="9"/>
    </i>
    <i r="1">
      <x v="10"/>
    </i>
    <i r="1">
      <x v="11"/>
    </i>
    <i r="1">
      <x v="12"/>
    </i>
    <i r="1">
      <x v="24"/>
    </i>
    <i r="1">
      <x v="26"/>
    </i>
    <i r="1">
      <x v="33"/>
    </i>
    <i t="default">
      <x v="4"/>
    </i>
    <i>
      <x v="5"/>
      <x v="9"/>
    </i>
    <i r="1">
      <x v="10"/>
    </i>
    <i r="1">
      <x v="11"/>
    </i>
    <i r="1">
      <x v="12"/>
    </i>
    <i r="1">
      <x v="17"/>
    </i>
    <i r="1">
      <x v="18"/>
    </i>
    <i r="1">
      <x v="25"/>
    </i>
    <i r="1">
      <x v="26"/>
    </i>
    <i r="1">
      <x v="30"/>
    </i>
    <i r="1">
      <x v="33"/>
    </i>
    <i r="1">
      <x v="35"/>
    </i>
    <i t="default">
      <x v="5"/>
    </i>
    <i>
      <x v="6"/>
      <x v="9"/>
    </i>
    <i r="1">
      <x v="10"/>
    </i>
    <i r="1">
      <x v="11"/>
    </i>
    <i r="1">
      <x v="12"/>
    </i>
    <i r="1">
      <x v="17"/>
    </i>
    <i r="1">
      <x v="18"/>
    </i>
    <i r="1">
      <x v="19"/>
    </i>
    <i r="1">
      <x v="21"/>
    </i>
    <i r="1">
      <x v="26"/>
    </i>
    <i r="1">
      <x v="30"/>
    </i>
    <i r="1">
      <x v="35"/>
    </i>
    <i t="default">
      <x v="6"/>
    </i>
    <i>
      <x v="7"/>
      <x v="9"/>
    </i>
    <i r="1">
      <x v="10"/>
    </i>
    <i r="1">
      <x v="11"/>
    </i>
    <i r="1">
      <x v="12"/>
    </i>
    <i r="1">
      <x v="13"/>
    </i>
    <i r="1">
      <x v="30"/>
    </i>
    <i r="1">
      <x v="33"/>
    </i>
    <i r="1">
      <x v="35"/>
    </i>
    <i t="default">
      <x v="7"/>
    </i>
    <i>
      <x v="8"/>
      <x v="9"/>
    </i>
    <i r="1">
      <x v="10"/>
    </i>
    <i r="1">
      <x v="11"/>
    </i>
    <i r="1">
      <x v="12"/>
    </i>
    <i r="1">
      <x v="30"/>
    </i>
    <i r="1">
      <x v="33"/>
    </i>
    <i r="1">
      <x v="35"/>
    </i>
    <i t="default">
      <x v="8"/>
    </i>
    <i>
      <x v="9"/>
      <x v="9"/>
    </i>
    <i r="1">
      <x v="10"/>
    </i>
    <i r="1">
      <x v="11"/>
    </i>
    <i r="1">
      <x v="12"/>
    </i>
    <i r="1">
      <x v="17"/>
    </i>
    <i r="1">
      <x v="18"/>
    </i>
    <i r="1">
      <x v="21"/>
    </i>
    <i r="1">
      <x v="23"/>
    </i>
    <i r="1">
      <x v="26"/>
    </i>
    <i r="1">
      <x v="30"/>
    </i>
    <i r="1">
      <x v="35"/>
    </i>
    <i t="default">
      <x v="9"/>
    </i>
    <i>
      <x v="10"/>
      <x v="9"/>
    </i>
    <i r="1">
      <x v="10"/>
    </i>
    <i r="1">
      <x v="11"/>
    </i>
    <i r="1">
      <x v="12"/>
    </i>
    <i r="1">
      <x v="18"/>
    </i>
    <i r="1">
      <x v="24"/>
    </i>
    <i r="1">
      <x v="26"/>
    </i>
    <i r="1">
      <x v="28"/>
    </i>
    <i r="1">
      <x v="30"/>
    </i>
    <i r="1">
      <x v="33"/>
    </i>
    <i r="1">
      <x v="35"/>
    </i>
    <i t="default">
      <x v="10"/>
    </i>
    <i>
      <x v="11"/>
      <x v="9"/>
    </i>
    <i r="1">
      <x v="11"/>
    </i>
    <i r="1">
      <x v="12"/>
    </i>
    <i r="1">
      <x v="13"/>
    </i>
    <i r="1">
      <x v="17"/>
    </i>
    <i r="1">
      <x v="21"/>
    </i>
    <i r="1">
      <x v="24"/>
    </i>
    <i r="1">
      <x v="26"/>
    </i>
    <i r="1">
      <x v="30"/>
    </i>
    <i r="1">
      <x v="35"/>
    </i>
    <i t="default">
      <x v="11"/>
    </i>
    <i>
      <x v="12"/>
      <x v="9"/>
    </i>
    <i r="1">
      <x v="10"/>
    </i>
    <i r="1">
      <x v="11"/>
    </i>
    <i r="1">
      <x v="12"/>
    </i>
    <i r="1">
      <x v="13"/>
    </i>
    <i r="1">
      <x v="18"/>
    </i>
    <i r="1">
      <x v="21"/>
    </i>
    <i r="1">
      <x v="22"/>
    </i>
    <i r="1">
      <x v="30"/>
    </i>
    <i r="1">
      <x v="31"/>
    </i>
    <i r="1">
      <x v="34"/>
    </i>
    <i r="1">
      <x v="35"/>
    </i>
    <i t="default">
      <x v="12"/>
    </i>
    <i>
      <x v="13"/>
      <x v="9"/>
    </i>
    <i r="1">
      <x v="10"/>
    </i>
    <i r="1">
      <x v="11"/>
    </i>
    <i r="1">
      <x v="12"/>
    </i>
    <i r="1">
      <x v="13"/>
    </i>
    <i r="1">
      <x v="18"/>
    </i>
    <i r="1">
      <x v="19"/>
    </i>
    <i r="1">
      <x v="26"/>
    </i>
    <i r="1">
      <x v="30"/>
    </i>
    <i r="1">
      <x v="35"/>
    </i>
    <i t="default">
      <x v="13"/>
    </i>
    <i>
      <x v="14"/>
      <x v="9"/>
    </i>
    <i r="1">
      <x v="10"/>
    </i>
    <i r="1">
      <x v="11"/>
    </i>
    <i r="1">
      <x v="12"/>
    </i>
    <i r="1">
      <x v="13"/>
    </i>
    <i r="1">
      <x v="18"/>
    </i>
    <i r="1">
      <x v="19"/>
    </i>
    <i r="1">
      <x v="21"/>
    </i>
    <i r="1">
      <x v="30"/>
    </i>
    <i r="1">
      <x v="35"/>
    </i>
    <i t="default">
      <x v="14"/>
    </i>
    <i>
      <x v="15"/>
      <x v="9"/>
    </i>
    <i r="1">
      <x v="10"/>
    </i>
    <i r="1">
      <x v="11"/>
    </i>
    <i r="1">
      <x v="12"/>
    </i>
    <i r="1">
      <x v="18"/>
    </i>
    <i r="1">
      <x v="21"/>
    </i>
    <i r="1">
      <x v="28"/>
    </i>
    <i r="1">
      <x v="30"/>
    </i>
    <i r="1">
      <x v="35"/>
    </i>
    <i t="default">
      <x v="15"/>
    </i>
    <i>
      <x v="16"/>
      <x v="9"/>
    </i>
    <i r="1">
      <x v="10"/>
    </i>
    <i r="1">
      <x v="11"/>
    </i>
    <i r="1">
      <x v="12"/>
    </i>
    <i r="1">
      <x v="18"/>
    </i>
    <i r="1">
      <x v="21"/>
    </i>
    <i r="1">
      <x v="24"/>
    </i>
    <i r="1">
      <x v="30"/>
    </i>
    <i r="1">
      <x v="35"/>
    </i>
    <i t="default">
      <x v="16"/>
    </i>
    <i>
      <x v="17"/>
      <x v="9"/>
    </i>
    <i r="1">
      <x v="10"/>
    </i>
    <i r="1">
      <x v="11"/>
    </i>
    <i r="1">
      <x v="12"/>
    </i>
    <i r="1">
      <x v="18"/>
    </i>
    <i r="1">
      <x v="21"/>
    </i>
    <i r="1">
      <x v="24"/>
    </i>
    <i r="1">
      <x v="26"/>
    </i>
    <i r="1">
      <x v="28"/>
    </i>
    <i r="1">
      <x v="30"/>
    </i>
    <i r="1">
      <x v="31"/>
    </i>
    <i r="1">
      <x v="35"/>
    </i>
    <i t="default">
      <x v="17"/>
    </i>
    <i>
      <x v="18"/>
      <x v="9"/>
    </i>
    <i r="1">
      <x v="10"/>
    </i>
    <i r="1">
      <x v="11"/>
    </i>
    <i r="1">
      <x v="12"/>
    </i>
    <i r="1">
      <x v="13"/>
    </i>
    <i r="1">
      <x v="17"/>
    </i>
    <i r="1">
      <x v="18"/>
    </i>
    <i r="1">
      <x v="19"/>
    </i>
    <i r="1">
      <x v="21"/>
    </i>
    <i r="1">
      <x v="26"/>
    </i>
    <i r="1">
      <x v="30"/>
    </i>
    <i r="1">
      <x v="34"/>
    </i>
    <i r="1">
      <x v="35"/>
    </i>
    <i t="default">
      <x v="18"/>
    </i>
    <i>
      <x v="19"/>
      <x v="9"/>
    </i>
    <i r="1">
      <x v="10"/>
    </i>
    <i r="1">
      <x v="11"/>
    </i>
    <i r="1">
      <x v="12"/>
    </i>
    <i r="1">
      <x v="13"/>
    </i>
    <i r="1">
      <x v="18"/>
    </i>
    <i r="1">
      <x v="19"/>
    </i>
    <i r="1">
      <x v="24"/>
    </i>
    <i r="1">
      <x v="26"/>
    </i>
    <i r="1">
      <x v="28"/>
    </i>
    <i r="1">
      <x v="30"/>
    </i>
    <i r="1">
      <x v="31"/>
    </i>
    <i r="1">
      <x v="35"/>
    </i>
    <i t="default">
      <x v="19"/>
    </i>
    <i>
      <x v="21"/>
      <x v="21"/>
    </i>
    <i t="default">
      <x v="21"/>
    </i>
    <i>
      <x v="22"/>
      <x v="21"/>
    </i>
    <i t="default">
      <x v="22"/>
    </i>
    <i>
      <x v="23"/>
      <x v="7"/>
    </i>
    <i r="1">
      <x v="9"/>
    </i>
    <i r="1">
      <x v="10"/>
    </i>
    <i r="1">
      <x v="11"/>
    </i>
    <i r="1">
      <x v="12"/>
    </i>
    <i r="1">
      <x v="18"/>
    </i>
    <i r="1">
      <x v="19"/>
    </i>
    <i r="1">
      <x v="21"/>
    </i>
    <i r="1">
      <x v="26"/>
    </i>
    <i r="1">
      <x v="30"/>
    </i>
    <i r="1">
      <x v="35"/>
    </i>
    <i t="default">
      <x v="23"/>
    </i>
    <i>
      <x v="24"/>
      <x v="9"/>
    </i>
    <i r="1">
      <x v="10"/>
    </i>
    <i r="1">
      <x v="11"/>
    </i>
    <i r="1">
      <x v="12"/>
    </i>
    <i r="1">
      <x v="21"/>
    </i>
    <i r="1">
      <x v="30"/>
    </i>
    <i r="1">
      <x v="35"/>
    </i>
    <i t="default">
      <x v="24"/>
    </i>
    <i>
      <x v="26"/>
      <x v="9"/>
    </i>
    <i r="1">
      <x v="10"/>
    </i>
    <i r="1">
      <x v="11"/>
    </i>
    <i r="1">
      <x v="30"/>
    </i>
    <i r="1">
      <x v="35"/>
    </i>
    <i t="default">
      <x v="26"/>
    </i>
    <i>
      <x v="27"/>
      <x v="9"/>
    </i>
    <i r="1">
      <x v="10"/>
    </i>
    <i r="1">
      <x v="11"/>
    </i>
    <i r="1">
      <x v="12"/>
    </i>
    <i r="1">
      <x v="24"/>
    </i>
    <i r="1">
      <x v="30"/>
    </i>
    <i r="1">
      <x v="33"/>
    </i>
    <i r="1">
      <x v="35"/>
    </i>
    <i t="default">
      <x v="27"/>
    </i>
    <i>
      <x v="28"/>
      <x v="9"/>
    </i>
    <i r="1">
      <x v="10"/>
    </i>
    <i r="1">
      <x v="11"/>
    </i>
    <i r="1">
      <x v="12"/>
    </i>
    <i r="1">
      <x v="13"/>
    </i>
    <i r="1">
      <x v="18"/>
    </i>
    <i r="1">
      <x v="25"/>
    </i>
    <i r="1">
      <x v="26"/>
    </i>
    <i r="1">
      <x v="30"/>
    </i>
    <i r="1">
      <x v="33"/>
    </i>
    <i r="1">
      <x v="35"/>
    </i>
    <i t="default">
      <x v="28"/>
    </i>
    <i>
      <x v="29"/>
      <x v="9"/>
    </i>
    <i r="1">
      <x v="10"/>
    </i>
    <i r="1">
      <x v="11"/>
    </i>
    <i r="1">
      <x v="18"/>
    </i>
    <i r="1">
      <x v="30"/>
    </i>
    <i r="1">
      <x v="33"/>
    </i>
    <i r="1">
      <x v="35"/>
    </i>
    <i t="default">
      <x v="29"/>
    </i>
    <i>
      <x v="30"/>
      <x v="9"/>
    </i>
    <i r="1">
      <x v="10"/>
    </i>
    <i r="1">
      <x v="11"/>
    </i>
    <i r="1">
      <x v="12"/>
    </i>
    <i r="1">
      <x v="22"/>
    </i>
    <i r="1">
      <x v="30"/>
    </i>
    <i r="1">
      <x v="33"/>
    </i>
    <i r="1">
      <x v="35"/>
    </i>
    <i t="default">
      <x v="30"/>
    </i>
    <i>
      <x v="31"/>
      <x v="9"/>
    </i>
    <i r="1">
      <x v="10"/>
    </i>
    <i r="1">
      <x v="11"/>
    </i>
    <i r="1">
      <x v="12"/>
    </i>
    <i r="1">
      <x v="17"/>
    </i>
    <i r="1">
      <x v="21"/>
    </i>
    <i r="1">
      <x v="24"/>
    </i>
    <i r="1">
      <x v="28"/>
    </i>
    <i r="1">
      <x v="30"/>
    </i>
    <i r="1">
      <x v="35"/>
    </i>
    <i t="default">
      <x v="31"/>
    </i>
    <i>
      <x v="33"/>
      <x v="26"/>
    </i>
    <i t="default">
      <x v="33"/>
    </i>
    <i>
      <x v="35"/>
      <x v="9"/>
    </i>
    <i r="1">
      <x v="11"/>
    </i>
    <i r="1">
      <x v="12"/>
    </i>
    <i r="1">
      <x v="13"/>
    </i>
    <i r="1">
      <x v="17"/>
    </i>
    <i r="1">
      <x v="19"/>
    </i>
    <i r="1">
      <x v="21"/>
    </i>
    <i r="1">
      <x v="26"/>
    </i>
    <i r="1">
      <x v="30"/>
    </i>
    <i r="1">
      <x v="34"/>
    </i>
    <i r="1">
      <x v="35"/>
    </i>
    <i t="default">
      <x v="35"/>
    </i>
    <i>
      <x v="36"/>
      <x v="9"/>
    </i>
    <i r="1">
      <x v="10"/>
    </i>
    <i r="1">
      <x v="11"/>
    </i>
    <i r="1">
      <x v="12"/>
    </i>
    <i r="1">
      <x v="17"/>
    </i>
    <i r="1">
      <x v="21"/>
    </i>
    <i r="1">
      <x v="24"/>
    </i>
    <i r="1">
      <x v="26"/>
    </i>
    <i r="1">
      <x v="30"/>
    </i>
    <i r="1">
      <x v="35"/>
    </i>
    <i t="default">
      <x v="36"/>
    </i>
    <i>
      <x v="37"/>
      <x v="9"/>
    </i>
    <i r="1">
      <x v="10"/>
    </i>
    <i r="1">
      <x v="11"/>
    </i>
    <i r="1">
      <x v="12"/>
    </i>
    <i r="1">
      <x v="21"/>
    </i>
    <i r="1">
      <x v="28"/>
    </i>
    <i r="1">
      <x v="30"/>
    </i>
    <i r="1">
      <x v="35"/>
    </i>
    <i t="default">
      <x v="37"/>
    </i>
    <i>
      <x v="38"/>
      <x v="9"/>
    </i>
    <i r="1">
      <x v="10"/>
    </i>
    <i r="1">
      <x v="11"/>
    </i>
    <i r="1">
      <x v="12"/>
    </i>
    <i r="1">
      <x v="18"/>
    </i>
    <i r="1">
      <x v="19"/>
    </i>
    <i r="1">
      <x v="23"/>
    </i>
    <i r="1">
      <x v="25"/>
    </i>
    <i r="1">
      <x v="26"/>
    </i>
    <i r="1">
      <x v="28"/>
    </i>
    <i r="1">
      <x v="30"/>
    </i>
    <i r="1">
      <x v="33"/>
    </i>
    <i r="1">
      <x v="35"/>
    </i>
    <i t="default">
      <x v="38"/>
    </i>
    <i>
      <x v="39"/>
      <x v="9"/>
    </i>
    <i r="1">
      <x v="10"/>
    </i>
    <i r="1">
      <x v="11"/>
    </i>
    <i r="1">
      <x v="12"/>
    </i>
    <i r="1">
      <x v="13"/>
    </i>
    <i r="1">
      <x v="18"/>
    </i>
    <i r="1">
      <x v="30"/>
    </i>
    <i r="1">
      <x v="33"/>
    </i>
    <i r="1">
      <x v="35"/>
    </i>
    <i t="default">
      <x v="39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djustments" fld="6" baseField="3" baseItem="1"/>
    <dataField name="Sum of Amount" fld="7" baseField="3" baseItem="1"/>
  </dataFields>
  <formats count="1">
    <format dxfId="118">
      <pivotArea outline="0" fieldPosition="0"/>
    </format>
  </formats>
  <conditionalFormats count="75">
    <conditionalFormat priority="77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 selected="0">
              <x v="3"/>
            </reference>
          </references>
        </pivotArea>
      </pivotAreas>
    </conditionalFormat>
    <conditionalFormat priority="76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5" selected="0">
              <x v="9"/>
              <x v="18"/>
              <x v="26"/>
              <x v="27"/>
              <x v="30"/>
            </reference>
          </references>
        </pivotArea>
      </pivotAreas>
    </conditionalFormat>
    <conditionalFormat priority="75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0"/>
            </reference>
            <reference field="3" count="1" selected="0">
              <x v="35"/>
            </reference>
          </references>
        </pivotArea>
      </pivotAreas>
    </conditionalFormat>
    <conditionalFormat priority="74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1" selected="0">
              <x v="2"/>
            </reference>
          </references>
        </pivotArea>
      </pivotAreas>
    </conditionalFormat>
    <conditionalFormat priority="73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2"/>
            </reference>
            <reference field="3" count="1" selected="0">
              <x v="3"/>
            </reference>
          </references>
        </pivotArea>
      </pivotAreas>
    </conditionalFormat>
    <conditionalFormat priority="72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"/>
            </reference>
            <reference field="3" count="1" selected="0">
              <x v="2"/>
            </reference>
          </references>
        </pivotArea>
      </pivotAreas>
    </conditionalFormat>
    <conditionalFormat priority="71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4"/>
            </reference>
            <reference field="3" count="1" selected="0">
              <x v="2"/>
            </reference>
          </references>
        </pivotArea>
      </pivotAreas>
    </conditionalFormat>
    <conditionalFormat priority="70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" selected="0">
              <x v="2"/>
            </reference>
          </references>
        </pivotArea>
      </pivotAreas>
    </conditionalFormat>
    <conditionalFormat priority="69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6"/>
            </reference>
            <reference field="3" count="1" selected="0">
              <x v="2"/>
            </reference>
          </references>
        </pivotArea>
      </pivotAreas>
    </conditionalFormat>
    <conditionalFormat priority="68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7"/>
            </reference>
            <reference field="3" count="1" selected="0">
              <x v="2"/>
            </reference>
          </references>
        </pivotArea>
      </pivotAreas>
    </conditionalFormat>
    <conditionalFormat priority="67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8"/>
            </reference>
            <reference field="3" count="1" selected="0">
              <x v="2"/>
            </reference>
          </references>
        </pivotArea>
      </pivotAreas>
    </conditionalFormat>
    <conditionalFormat priority="66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9"/>
            </reference>
            <reference field="3" count="1" selected="0">
              <x v="2"/>
            </reference>
          </references>
        </pivotArea>
      </pivotAreas>
    </conditionalFormat>
    <conditionalFormat priority="65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0"/>
            </reference>
            <reference field="3" count="1" selected="0">
              <x v="2"/>
            </reference>
          </references>
        </pivotArea>
      </pivotAreas>
    </conditionalFormat>
    <conditionalFormat priority="64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1"/>
            </reference>
            <reference field="3" count="1" selected="0">
              <x v="2"/>
            </reference>
          </references>
        </pivotArea>
      </pivotAreas>
    </conditionalFormat>
    <conditionalFormat priority="63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2"/>
            </reference>
            <reference field="3" count="1" selected="0">
              <x v="2"/>
            </reference>
          </references>
        </pivotArea>
      </pivotAreas>
    </conditionalFormat>
    <conditionalFormat priority="62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3"/>
            </reference>
            <reference field="3" count="1" selected="0">
              <x v="3"/>
            </reference>
          </references>
        </pivotArea>
      </pivotAreas>
    </conditionalFormat>
    <conditionalFormat priority="61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4"/>
            </reference>
            <reference field="3" count="1" selected="0">
              <x v="2"/>
            </reference>
          </references>
        </pivotArea>
      </pivotAreas>
    </conditionalFormat>
    <conditionalFormat priority="60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5"/>
            </reference>
            <reference field="3" count="1" selected="0">
              <x v="2"/>
            </reference>
          </references>
        </pivotArea>
      </pivotAreas>
    </conditionalFormat>
    <conditionalFormat priority="59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6"/>
            </reference>
            <reference field="3" count="1" selected="0">
              <x v="2"/>
            </reference>
          </references>
        </pivotArea>
      </pivotAreas>
    </conditionalFormat>
    <conditionalFormat priority="58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7"/>
            </reference>
            <reference field="3" count="1" selected="0">
              <x v="2"/>
            </reference>
          </references>
        </pivotArea>
      </pivotAreas>
    </conditionalFormat>
    <conditionalFormat priority="57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8"/>
            </reference>
            <reference field="3" count="1" selected="0">
              <x v="2"/>
            </reference>
          </references>
        </pivotArea>
      </pivotAreas>
    </conditionalFormat>
    <conditionalFormat priority="56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9"/>
            </reference>
            <reference field="3" count="1" selected="0">
              <x v="9"/>
            </reference>
          </references>
        </pivotArea>
      </pivotAreas>
    </conditionalFormat>
    <conditionalFormat priority="55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21"/>
            </reference>
            <reference field="3" count="1" selected="0">
              <x v="2"/>
            </reference>
          </references>
        </pivotArea>
      </pivotAreas>
    </conditionalFormat>
    <conditionalFormat priority="54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22"/>
            </reference>
            <reference field="3" count="1" selected="0">
              <x v="2"/>
            </reference>
          </references>
        </pivotArea>
      </pivotAreas>
    </conditionalFormat>
    <conditionalFormat priority="53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23"/>
            </reference>
            <reference field="3" count="1" selected="0">
              <x v="2"/>
            </reference>
          </references>
        </pivotArea>
      </pivotAreas>
    </conditionalFormat>
    <conditionalFormat priority="52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24"/>
            </reference>
            <reference field="3" count="1" selected="0">
              <x v="2"/>
            </reference>
          </references>
        </pivotArea>
      </pivotAreas>
    </conditionalFormat>
    <conditionalFormat priority="51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26"/>
            </reference>
            <reference field="3" count="1" selected="0">
              <x v="3"/>
            </reference>
          </references>
        </pivotArea>
      </pivotAreas>
    </conditionalFormat>
    <conditionalFormat priority="49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28"/>
            </reference>
            <reference field="3" count="1" selected="0">
              <x v="2"/>
            </reference>
          </references>
        </pivotArea>
      </pivotAreas>
    </conditionalFormat>
    <conditionalFormat priority="48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27"/>
            </reference>
            <reference field="3" count="1" selected="0">
              <x v="2"/>
            </reference>
          </references>
        </pivotArea>
      </pivotAreas>
    </conditionalFormat>
    <conditionalFormat priority="47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29"/>
            </reference>
            <reference field="3" count="1" selected="0">
              <x v="2"/>
            </reference>
          </references>
        </pivotArea>
      </pivotAreas>
    </conditionalFormat>
    <conditionalFormat priority="46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0"/>
            </reference>
            <reference field="3" count="1" selected="0">
              <x v="2"/>
            </reference>
          </references>
        </pivotArea>
      </pivotAreas>
    </conditionalFormat>
    <conditionalFormat priority="45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2"/>
            </reference>
            <reference field="3" count="1" selected="0">
              <x v="9"/>
            </reference>
          </references>
        </pivotArea>
      </pivotAreas>
    </conditionalFormat>
    <conditionalFormat priority="44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1"/>
            </reference>
            <reference field="3" count="1" selected="0">
              <x v="2"/>
            </reference>
          </references>
        </pivotArea>
      </pivotAreas>
    </conditionalFormat>
    <conditionalFormat priority="43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3"/>
            </reference>
            <reference field="3" count="1" selected="0">
              <x v="9"/>
            </reference>
          </references>
        </pivotArea>
      </pivotAreas>
    </conditionalFormat>
    <conditionalFormat priority="42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5"/>
            </reference>
            <reference field="3" count="1" selected="0">
              <x v="2"/>
            </reference>
          </references>
        </pivotArea>
      </pivotAreas>
    </conditionalFormat>
    <conditionalFormat priority="41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6"/>
            </reference>
            <reference field="3" count="1" selected="0">
              <x v="2"/>
            </reference>
          </references>
        </pivotArea>
      </pivotAreas>
    </conditionalFormat>
    <conditionalFormat priority="40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7"/>
            </reference>
            <reference field="3" count="1" selected="0">
              <x v="2"/>
            </reference>
          </references>
        </pivotArea>
      </pivotAreas>
    </conditionalFormat>
    <conditionalFormat priority="39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8"/>
            </reference>
            <reference field="3" count="1" selected="0">
              <x v="2"/>
            </reference>
          </references>
        </pivotArea>
      </pivotAreas>
    </conditionalFormat>
    <conditionalFormat priority="38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9"/>
            </reference>
            <reference field="3" count="1" selected="0">
              <x v="2"/>
            </reference>
          </references>
        </pivotArea>
      </pivotAreas>
    </conditionalFormat>
    <conditionalFormat priority="37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"/>
            </reference>
            <reference field="3" count="9" selected="0">
              <x v="3"/>
              <x v="5"/>
              <x v="9"/>
              <x v="18"/>
              <x v="19"/>
              <x v="24"/>
              <x v="26"/>
              <x v="30"/>
              <x v="35"/>
            </reference>
          </references>
        </pivotArea>
      </pivotAreas>
    </conditionalFormat>
    <conditionalFormat priority="36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2"/>
            </reference>
            <reference field="3" count="7" selected="0">
              <x v="5"/>
              <x v="9"/>
              <x v="25"/>
              <x v="26"/>
              <x v="27"/>
              <x v="30"/>
              <x v="35"/>
            </reference>
          </references>
        </pivotArea>
      </pivotAreas>
    </conditionalFormat>
    <conditionalFormat priority="35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"/>
            </reference>
            <reference field="3" count="11" selected="0">
              <x v="3"/>
              <x v="5"/>
              <x v="8"/>
              <x v="9"/>
              <x v="20"/>
              <x v="21"/>
              <x v="22"/>
              <x v="26"/>
              <x v="27"/>
              <x v="30"/>
              <x v="35"/>
            </reference>
          </references>
        </pivotArea>
      </pivotAreas>
    </conditionalFormat>
    <conditionalFormat priority="34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4"/>
            </reference>
            <reference field="3" count="8" selected="0">
              <x v="3"/>
              <x v="5"/>
              <x v="9"/>
              <x v="15"/>
              <x v="16"/>
              <x v="22"/>
              <x v="24"/>
              <x v="26"/>
            </reference>
          </references>
        </pivotArea>
      </pivotAreas>
    </conditionalFormat>
    <conditionalFormat priority="33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5"/>
            </reference>
            <reference field="3" count="11" selected="0">
              <x v="3"/>
              <x v="5"/>
              <x v="9"/>
              <x v="17"/>
              <x v="18"/>
              <x v="22"/>
              <x v="25"/>
              <x v="26"/>
              <x v="30"/>
              <x v="32"/>
              <x v="35"/>
            </reference>
          </references>
        </pivotArea>
      </pivotAreas>
    </conditionalFormat>
    <conditionalFormat priority="32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6"/>
            </reference>
            <reference field="3" count="12" selected="0">
              <x v="3"/>
              <x v="5"/>
              <x v="9"/>
              <x v="15"/>
              <x v="16"/>
              <x v="17"/>
              <x v="18"/>
              <x v="19"/>
              <x v="25"/>
              <x v="26"/>
              <x v="30"/>
              <x v="35"/>
            </reference>
          </references>
        </pivotArea>
      </pivotAreas>
    </conditionalFormat>
    <conditionalFormat priority="31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7"/>
            </reference>
            <reference field="3" count="7" selected="0">
              <x v="3"/>
              <x v="5"/>
              <x v="9"/>
              <x v="25"/>
              <x v="26"/>
              <x v="30"/>
              <x v="35"/>
            </reference>
          </references>
        </pivotArea>
      </pivotAreas>
    </conditionalFormat>
    <conditionalFormat priority="30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8"/>
            </reference>
            <reference field="3" count="8" selected="0">
              <x v="3"/>
              <x v="5"/>
              <x v="9"/>
              <x v="19"/>
              <x v="26"/>
              <x v="27"/>
              <x v="30"/>
              <x v="35"/>
            </reference>
          </references>
        </pivotArea>
      </pivotAreas>
    </conditionalFormat>
    <conditionalFormat priority="29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9"/>
            </reference>
            <reference field="3" count="10" selected="0">
              <x v="3"/>
              <x v="5"/>
              <x v="7"/>
              <x v="9"/>
              <x v="17"/>
              <x v="18"/>
              <x v="23"/>
              <x v="24"/>
              <x v="30"/>
              <x v="35"/>
            </reference>
          </references>
        </pivotArea>
      </pivotAreas>
    </conditionalFormat>
    <conditionalFormat priority="28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0"/>
            </reference>
            <reference field="3" count="9" selected="0">
              <x v="3"/>
              <x v="5"/>
              <x v="9"/>
              <x v="20"/>
              <x v="24"/>
              <x v="26"/>
              <x v="27"/>
              <x v="30"/>
              <x v="35"/>
            </reference>
          </references>
        </pivotArea>
      </pivotAreas>
    </conditionalFormat>
    <conditionalFormat priority="27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1"/>
            </reference>
            <reference field="3" count="10" selected="0">
              <x v="3"/>
              <x v="5"/>
              <x v="7"/>
              <x v="9"/>
              <x v="17"/>
              <x v="22"/>
              <x v="26"/>
              <x v="30"/>
              <x v="32"/>
              <x v="35"/>
            </reference>
          </references>
        </pivotArea>
      </pivotAreas>
    </conditionalFormat>
    <conditionalFormat priority="26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2"/>
            </reference>
            <reference field="3" count="11" selected="0">
              <x v="3"/>
              <x v="5"/>
              <x v="9"/>
              <x v="18"/>
              <x v="22"/>
              <x v="24"/>
              <x v="26"/>
              <x v="27"/>
              <x v="30"/>
              <x v="32"/>
              <x v="35"/>
            </reference>
          </references>
        </pivotArea>
      </pivotAreas>
    </conditionalFormat>
    <conditionalFormat priority="25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3"/>
            </reference>
            <reference field="3" count="10" selected="0">
              <x v="5"/>
              <x v="7"/>
              <x v="8"/>
              <x v="9"/>
              <x v="18"/>
              <x v="19"/>
              <x v="26"/>
              <x v="27"/>
              <x v="30"/>
              <x v="35"/>
            </reference>
          </references>
        </pivotArea>
      </pivotAreas>
    </conditionalFormat>
    <conditionalFormat priority="24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4"/>
            </reference>
            <reference field="3" count="10" selected="0">
              <x v="3"/>
              <x v="5"/>
              <x v="9"/>
              <x v="18"/>
              <x v="19"/>
              <x v="21"/>
              <x v="24"/>
              <x v="26"/>
              <x v="30"/>
              <x v="35"/>
            </reference>
          </references>
        </pivotArea>
      </pivotAreas>
    </conditionalFormat>
    <conditionalFormat priority="23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5"/>
            </reference>
            <reference field="3" count="10" selected="0">
              <x v="3"/>
              <x v="5"/>
              <x v="7"/>
              <x v="9"/>
              <x v="14"/>
              <x v="18"/>
              <x v="19"/>
              <x v="22"/>
              <x v="30"/>
              <x v="35"/>
            </reference>
          </references>
        </pivotArea>
      </pivotAreas>
    </conditionalFormat>
    <conditionalFormat priority="22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6"/>
            </reference>
            <reference field="3" count="12" selected="0">
              <x v="3"/>
              <x v="5"/>
              <x v="9"/>
              <x v="18"/>
              <x v="19"/>
              <x v="21"/>
              <x v="22"/>
              <x v="24"/>
              <x v="25"/>
              <x v="26"/>
              <x v="30"/>
              <x v="35"/>
            </reference>
          </references>
        </pivotArea>
      </pivotAreas>
    </conditionalFormat>
    <conditionalFormat priority="21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7"/>
            </reference>
            <reference field="3" count="11" selected="0">
              <x v="3"/>
              <x v="5"/>
              <x v="9"/>
              <x v="15"/>
              <x v="16"/>
              <x v="18"/>
              <x v="19"/>
              <x v="26"/>
              <x v="27"/>
              <x v="30"/>
              <x v="35"/>
            </reference>
          </references>
        </pivotArea>
      </pivotAreas>
    </conditionalFormat>
    <conditionalFormat priority="20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8"/>
            </reference>
            <reference field="3" count="9" selected="0">
              <x v="3"/>
              <x v="5"/>
              <x v="9"/>
              <x v="17"/>
              <x v="18"/>
              <x v="25"/>
              <x v="26"/>
              <x v="30"/>
              <x v="35"/>
            </reference>
          </references>
        </pivotArea>
      </pivotAreas>
    </conditionalFormat>
    <conditionalFormat priority="19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19"/>
            </reference>
            <reference field="3" count="8" selected="0">
              <x v="14"/>
              <x v="19"/>
              <x v="24"/>
              <x v="26"/>
              <x v="27"/>
              <x v="30"/>
              <x v="32"/>
              <x v="35"/>
            </reference>
          </references>
        </pivotArea>
      </pivotAreas>
    </conditionalFormat>
    <conditionalFormat priority="18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21"/>
            </reference>
            <reference field="3" count="4" selected="0">
              <x v="3"/>
              <x v="5"/>
              <x v="18"/>
              <x v="21"/>
            </reference>
          </references>
        </pivotArea>
      </pivotAreas>
    </conditionalFormat>
    <conditionalFormat priority="17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22"/>
            </reference>
            <reference field="3" count="3" selected="0">
              <x v="3"/>
              <x v="5"/>
              <x v="21"/>
            </reference>
          </references>
        </pivotArea>
      </pivotAreas>
    </conditionalFormat>
    <conditionalFormat priority="16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23"/>
            </reference>
            <reference field="3" count="11" selected="0">
              <x v="3"/>
              <x v="5"/>
              <x v="8"/>
              <x v="9"/>
              <x v="21"/>
              <x v="24"/>
              <x v="26"/>
              <x v="27"/>
              <x v="30"/>
              <x v="32"/>
              <x v="35"/>
            </reference>
          </references>
        </pivotArea>
      </pivotAreas>
    </conditionalFormat>
    <conditionalFormat priority="15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24"/>
            </reference>
            <reference field="3" count="9" selected="0">
              <x v="3"/>
              <x v="5"/>
              <x v="8"/>
              <x v="9"/>
              <x v="20"/>
              <x v="21"/>
              <x v="26"/>
              <x v="30"/>
              <x v="35"/>
            </reference>
          </references>
        </pivotArea>
      </pivotAreas>
    </conditionalFormat>
    <conditionalFormat priority="14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26"/>
            </reference>
            <reference field="3" count="3" selected="0">
              <x v="9"/>
              <x v="30"/>
              <x v="35"/>
            </reference>
          </references>
        </pivotArea>
      </pivotAreas>
    </conditionalFormat>
    <conditionalFormat priority="13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27"/>
            </reference>
            <reference field="3" count="9" selected="0">
              <x v="3"/>
              <x v="5"/>
              <x v="9"/>
              <x v="15"/>
              <x v="16"/>
              <x v="21"/>
              <x v="24"/>
              <x v="30"/>
              <x v="35"/>
            </reference>
          </references>
        </pivotArea>
      </pivotAreas>
    </conditionalFormat>
    <conditionalFormat priority="12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28"/>
            </reference>
            <reference field="3" count="7" selected="0">
              <x v="3"/>
              <x v="9"/>
              <x v="22"/>
              <x v="26"/>
              <x v="27"/>
              <x v="30"/>
              <x v="35"/>
            </reference>
          </references>
        </pivotArea>
      </pivotAreas>
    </conditionalFormat>
    <conditionalFormat priority="11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29"/>
            </reference>
            <reference field="3" count="9" selected="0">
              <x v="3"/>
              <x v="5"/>
              <x v="9"/>
              <x v="18"/>
              <x v="19"/>
              <x v="22"/>
              <x v="26"/>
              <x v="30"/>
              <x v="35"/>
            </reference>
          </references>
        </pivotArea>
      </pivotAreas>
    </conditionalFormat>
    <conditionalFormat priority="10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0"/>
            </reference>
            <reference field="3" count="6" selected="0">
              <x v="3"/>
              <x v="5"/>
              <x v="9"/>
              <x v="22"/>
              <x v="30"/>
              <x v="35"/>
            </reference>
          </references>
        </pivotArea>
      </pivotAreas>
    </conditionalFormat>
    <conditionalFormat priority="9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2"/>
            </reference>
            <reference field="3" count="2" selected="0">
              <x v="26"/>
              <x v="27"/>
            </reference>
          </references>
        </pivotArea>
      </pivotAreas>
    </conditionalFormat>
    <conditionalFormat priority="8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1"/>
            </reference>
            <reference field="3" count="9" selected="0">
              <x v="3"/>
              <x v="5"/>
              <x v="7"/>
              <x v="9"/>
              <x v="17"/>
              <x v="21"/>
              <x v="24"/>
              <x v="30"/>
              <x v="35"/>
            </reference>
          </references>
        </pivotArea>
      </pivotAreas>
    </conditionalFormat>
    <conditionalFormat priority="7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3"/>
            </reference>
            <reference field="3" count="6" selected="0">
              <x v="15"/>
              <x v="16"/>
              <x v="19"/>
              <x v="25"/>
              <x v="26"/>
              <x v="27"/>
            </reference>
          </references>
        </pivotArea>
      </pivotAreas>
    </conditionalFormat>
    <conditionalFormat priority="6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5"/>
            </reference>
            <reference field="3" count="12" selected="0">
              <x v="3"/>
              <x v="5"/>
              <x v="8"/>
              <x v="9"/>
              <x v="17"/>
              <x v="19"/>
              <x v="21"/>
              <x v="22"/>
              <x v="26"/>
              <x v="30"/>
              <x v="32"/>
              <x v="35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6"/>
            </reference>
            <reference field="3" count="11" selected="0">
              <x v="3"/>
              <x v="5"/>
              <x v="9"/>
              <x v="14"/>
              <x v="17"/>
              <x v="18"/>
              <x v="21"/>
              <x v="24"/>
              <x v="26"/>
              <x v="30"/>
              <x v="35"/>
            </reference>
          </references>
        </pivotArea>
      </pivotAreas>
    </conditionalFormat>
    <conditionalFormat priority="4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7"/>
            </reference>
            <reference field="3" count="10" selected="0">
              <x v="3"/>
              <x v="5"/>
              <x v="9"/>
              <x v="14"/>
              <x v="15"/>
              <x v="16"/>
              <x v="18"/>
              <x v="22"/>
              <x v="30"/>
              <x v="35"/>
            </reference>
          </references>
        </pivotArea>
      </pivotAreas>
    </conditionalFormat>
    <conditionalFormat priority="3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8"/>
            </reference>
            <reference field="3" count="9" selected="0">
              <x v="3"/>
              <x v="5"/>
              <x v="9"/>
              <x v="18"/>
              <x v="23"/>
              <x v="26"/>
              <x v="27"/>
              <x v="30"/>
              <x v="35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3">
            <reference field="4294967294" count="1" selected="0">
              <x v="1"/>
            </reference>
            <reference field="2" count="1" selected="0">
              <x v="39"/>
            </reference>
            <reference field="3" count="9" selected="0">
              <x v="3"/>
              <x v="5"/>
              <x v="8"/>
              <x v="9"/>
              <x v="14"/>
              <x v="18"/>
              <x v="26"/>
              <x v="30"/>
              <x v="35"/>
            </reference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F1:I363" firstHeaderRow="1" firstDataRow="2" firstDataCol="2"/>
  <pivotFields count="8">
    <pivotField axis="axisRow" compact="0" outline="0" subtotalTop="0" showAll="0" includeNewItemsInFilter="1" sortType="ascending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m="1" x="38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39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axis="axisRow" compact="0" outline="0" subtotalTop="0" showAll="0" includeNewItemsInFilter="1" sortType="ascending">
      <items count="29">
        <item m="1" x="26"/>
        <item m="1" x="25"/>
        <item m="1" x="24"/>
        <item m="1" x="23"/>
        <item m="1" x="27"/>
        <item x="20"/>
        <item x="0"/>
        <item x="1"/>
        <item x="2"/>
        <item x="8"/>
        <item x="3"/>
        <item m="1" x="22"/>
        <item x="14"/>
        <item x="4"/>
        <item x="16"/>
        <item x="11"/>
        <item x="12"/>
        <item x="17"/>
        <item x="13"/>
        <item x="15"/>
        <item x="5"/>
        <item x="18"/>
        <item x="6"/>
        <item x="19"/>
        <item x="9"/>
        <item x="10"/>
        <item x="7"/>
        <item x="21"/>
        <item t="default"/>
      </items>
    </pivotField>
    <pivotField compact="0" outline="0" subtotalTop="0" showAll="0" includeNewItemsInFilter="1"/>
    <pivotField dataField="1" compact="0" numFmtId="166" outline="0" subtotalTop="0" showAll="0" includeNewItemsInFilter="1"/>
    <pivotField dataField="1" compact="0" numFmtId="166" outline="0" subtotalTop="0" showAll="0" includeNewItemsInFilter="1"/>
    <pivotField compact="0" numFmtId="167" outline="0" subtotalTop="0" showAll="0" includeNewItemsInFilter="1"/>
    <pivotField compact="0" numFmtId="167" outline="0" subtotalTop="0" showAll="0" includeNewItemsInFilter="1"/>
    <pivotField compact="0" numFmtId="167" outline="0" subtotalTop="0" showAll="0" includeNewItemsInFilter="1"/>
  </pivotFields>
  <rowFields count="2">
    <field x="0"/>
    <field x="1"/>
  </rowFields>
  <rowItems count="361">
    <i>
      <x/>
      <x v="6"/>
    </i>
    <i t="default">
      <x/>
    </i>
    <i>
      <x v="1"/>
      <x v="7"/>
    </i>
    <i r="1">
      <x v="8"/>
    </i>
    <i r="1">
      <x v="10"/>
    </i>
    <i r="1">
      <x v="13"/>
    </i>
    <i r="1">
      <x v="20"/>
    </i>
    <i r="1">
      <x v="22"/>
    </i>
    <i r="1">
      <x v="26"/>
    </i>
    <i t="default">
      <x v="1"/>
    </i>
    <i>
      <x v="2"/>
      <x v="6"/>
    </i>
    <i r="1">
      <x v="7"/>
    </i>
    <i r="1">
      <x v="8"/>
    </i>
    <i r="1">
      <x v="9"/>
    </i>
    <i r="1">
      <x v="13"/>
    </i>
    <i r="1">
      <x v="20"/>
    </i>
    <i r="1">
      <x v="22"/>
    </i>
    <i r="1">
      <x v="24"/>
    </i>
    <i r="1">
      <x v="25"/>
    </i>
    <i r="1">
      <x v="26"/>
    </i>
    <i t="default">
      <x v="2"/>
    </i>
    <i>
      <x v="3"/>
      <x v="6"/>
    </i>
    <i r="1">
      <x v="7"/>
    </i>
    <i r="1">
      <x v="8"/>
    </i>
    <i r="1">
      <x v="9"/>
    </i>
    <i r="1">
      <x v="15"/>
    </i>
    <i r="1">
      <x v="20"/>
    </i>
    <i r="1">
      <x v="22"/>
    </i>
    <i r="1">
      <x v="26"/>
    </i>
    <i t="default">
      <x v="3"/>
    </i>
    <i>
      <x v="4"/>
      <x v="6"/>
    </i>
    <i r="1">
      <x v="7"/>
    </i>
    <i r="1">
      <x v="8"/>
    </i>
    <i r="1">
      <x v="9"/>
    </i>
    <i r="1">
      <x v="10"/>
    </i>
    <i r="1">
      <x v="15"/>
    </i>
    <i r="1">
      <x v="16"/>
    </i>
    <i r="1">
      <x v="22"/>
    </i>
    <i r="1">
      <x v="25"/>
    </i>
    <i r="1">
      <x v="26"/>
    </i>
    <i t="default">
      <x v="4"/>
    </i>
    <i>
      <x v="5"/>
      <x v="6"/>
    </i>
    <i r="1">
      <x v="7"/>
    </i>
    <i r="1">
      <x v="8"/>
    </i>
    <i r="1">
      <x v="9"/>
    </i>
    <i r="1">
      <x v="18"/>
    </i>
    <i r="1">
      <x v="20"/>
    </i>
    <i r="1">
      <x v="24"/>
    </i>
    <i t="default">
      <x v="5"/>
    </i>
    <i>
      <x v="6"/>
      <x v="6"/>
    </i>
    <i r="1">
      <x v="7"/>
    </i>
    <i r="1">
      <x v="8"/>
    </i>
    <i r="1">
      <x v="9"/>
    </i>
    <i r="1">
      <x v="12"/>
    </i>
    <i r="1">
      <x v="13"/>
    </i>
    <i r="1">
      <x v="19"/>
    </i>
    <i r="1">
      <x v="20"/>
    </i>
    <i r="1">
      <x v="22"/>
    </i>
    <i r="1">
      <x v="24"/>
    </i>
    <i r="1">
      <x v="26"/>
    </i>
    <i t="default">
      <x v="6"/>
    </i>
    <i>
      <x v="7"/>
      <x v="6"/>
    </i>
    <i r="1">
      <x v="7"/>
    </i>
    <i r="1">
      <x v="8"/>
    </i>
    <i r="1">
      <x v="9"/>
    </i>
    <i r="1">
      <x v="12"/>
    </i>
    <i r="1">
      <x v="13"/>
    </i>
    <i r="1">
      <x v="14"/>
    </i>
    <i r="1">
      <x v="15"/>
    </i>
    <i r="1">
      <x v="20"/>
    </i>
    <i r="1">
      <x v="22"/>
    </i>
    <i r="1">
      <x v="26"/>
    </i>
    <i t="default">
      <x v="7"/>
    </i>
    <i>
      <x v="8"/>
      <x v="6"/>
    </i>
    <i r="1">
      <x v="7"/>
    </i>
    <i r="1">
      <x v="8"/>
    </i>
    <i r="1">
      <x v="9"/>
    </i>
    <i r="1">
      <x v="10"/>
    </i>
    <i r="1">
      <x v="22"/>
    </i>
    <i r="1">
      <x v="24"/>
    </i>
    <i r="1">
      <x v="26"/>
    </i>
    <i t="default">
      <x v="8"/>
    </i>
    <i>
      <x v="9"/>
      <x v="6"/>
    </i>
    <i r="1">
      <x v="7"/>
    </i>
    <i r="1">
      <x v="8"/>
    </i>
    <i r="1">
      <x v="9"/>
    </i>
    <i r="1">
      <x v="22"/>
    </i>
    <i r="1">
      <x v="24"/>
    </i>
    <i r="1">
      <x v="26"/>
    </i>
    <i t="default">
      <x v="9"/>
    </i>
    <i>
      <x v="10"/>
      <x v="6"/>
    </i>
    <i r="1">
      <x v="7"/>
    </i>
    <i r="1">
      <x v="8"/>
    </i>
    <i r="1">
      <x v="9"/>
    </i>
    <i r="1">
      <x v="12"/>
    </i>
    <i r="1">
      <x v="13"/>
    </i>
    <i r="1">
      <x v="15"/>
    </i>
    <i r="1">
      <x v="17"/>
    </i>
    <i r="1">
      <x v="20"/>
    </i>
    <i r="1">
      <x v="22"/>
    </i>
    <i r="1">
      <x v="26"/>
    </i>
    <i t="default">
      <x v="10"/>
    </i>
    <i>
      <x v="11"/>
      <x v="6"/>
    </i>
    <i r="1">
      <x v="7"/>
    </i>
    <i r="1">
      <x v="8"/>
    </i>
    <i r="1">
      <x v="9"/>
    </i>
    <i r="1">
      <x v="13"/>
    </i>
    <i r="1">
      <x v="18"/>
    </i>
    <i r="1">
      <x v="20"/>
    </i>
    <i r="1">
      <x v="21"/>
    </i>
    <i r="1">
      <x v="22"/>
    </i>
    <i r="1">
      <x v="24"/>
    </i>
    <i r="1">
      <x v="26"/>
    </i>
    <i t="default">
      <x v="11"/>
    </i>
    <i>
      <x v="12"/>
      <x v="6"/>
    </i>
    <i r="1">
      <x v="8"/>
    </i>
    <i r="1">
      <x v="9"/>
    </i>
    <i r="1">
      <x v="10"/>
    </i>
    <i r="1">
      <x v="12"/>
    </i>
    <i r="1">
      <x v="15"/>
    </i>
    <i r="1">
      <x v="18"/>
    </i>
    <i r="1">
      <x v="20"/>
    </i>
    <i r="1">
      <x v="22"/>
    </i>
    <i r="1">
      <x v="26"/>
    </i>
    <i t="default">
      <x v="12"/>
    </i>
    <i>
      <x v="13"/>
      <x v="6"/>
    </i>
    <i r="1">
      <x v="7"/>
    </i>
    <i r="1">
      <x v="8"/>
    </i>
    <i r="1">
      <x v="9"/>
    </i>
    <i r="1">
      <x v="10"/>
    </i>
    <i r="1">
      <x v="13"/>
    </i>
    <i r="1">
      <x v="15"/>
    </i>
    <i r="1">
      <x v="16"/>
    </i>
    <i r="1">
      <x v="22"/>
    </i>
    <i r="1">
      <x v="23"/>
    </i>
    <i r="1">
      <x v="25"/>
    </i>
    <i r="1">
      <x v="26"/>
    </i>
    <i t="default">
      <x v="13"/>
    </i>
    <i>
      <x v="15"/>
      <x v="6"/>
    </i>
    <i r="1">
      <x v="7"/>
    </i>
    <i r="1">
      <x v="8"/>
    </i>
    <i r="1">
      <x v="9"/>
    </i>
    <i r="1">
      <x v="10"/>
    </i>
    <i r="1">
      <x v="13"/>
    </i>
    <i r="1">
      <x v="14"/>
    </i>
    <i r="1">
      <x v="20"/>
    </i>
    <i r="1">
      <x v="22"/>
    </i>
    <i r="1">
      <x v="26"/>
    </i>
    <i t="default">
      <x v="15"/>
    </i>
    <i>
      <x v="16"/>
      <x v="6"/>
    </i>
    <i r="1">
      <x v="7"/>
    </i>
    <i r="1">
      <x v="8"/>
    </i>
    <i r="1">
      <x v="9"/>
    </i>
    <i r="1">
      <x v="10"/>
    </i>
    <i r="1">
      <x v="13"/>
    </i>
    <i r="1">
      <x v="14"/>
    </i>
    <i r="1">
      <x v="15"/>
    </i>
    <i r="1">
      <x v="22"/>
    </i>
    <i r="1">
      <x v="26"/>
    </i>
    <i t="default">
      <x v="16"/>
    </i>
    <i>
      <x v="17"/>
      <x v="6"/>
    </i>
    <i r="1">
      <x v="7"/>
    </i>
    <i r="1">
      <x v="8"/>
    </i>
    <i r="1">
      <x v="9"/>
    </i>
    <i r="1">
      <x v="13"/>
    </i>
    <i r="1">
      <x v="15"/>
    </i>
    <i r="1">
      <x v="21"/>
    </i>
    <i r="1">
      <x v="22"/>
    </i>
    <i r="1">
      <x v="26"/>
    </i>
    <i t="default">
      <x v="17"/>
    </i>
    <i>
      <x v="18"/>
      <x v="6"/>
    </i>
    <i r="1">
      <x v="7"/>
    </i>
    <i r="1">
      <x v="8"/>
    </i>
    <i r="1">
      <x v="9"/>
    </i>
    <i r="1">
      <x v="13"/>
    </i>
    <i r="1">
      <x v="15"/>
    </i>
    <i r="1">
      <x v="18"/>
    </i>
    <i r="1">
      <x v="22"/>
    </i>
    <i r="1">
      <x v="26"/>
    </i>
    <i t="default">
      <x v="18"/>
    </i>
    <i>
      <x v="19"/>
      <x v="6"/>
    </i>
    <i r="1">
      <x v="7"/>
    </i>
    <i r="1">
      <x v="8"/>
    </i>
    <i r="1">
      <x v="9"/>
    </i>
    <i r="1">
      <x v="13"/>
    </i>
    <i r="1">
      <x v="15"/>
    </i>
    <i r="1">
      <x v="18"/>
    </i>
    <i r="1">
      <x v="20"/>
    </i>
    <i r="1">
      <x v="21"/>
    </i>
    <i r="1">
      <x v="22"/>
    </i>
    <i r="1">
      <x v="23"/>
    </i>
    <i r="1">
      <x v="26"/>
    </i>
    <i t="default">
      <x v="19"/>
    </i>
    <i>
      <x v="20"/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5"/>
    </i>
    <i r="1">
      <x v="20"/>
    </i>
    <i r="1">
      <x v="22"/>
    </i>
    <i r="1">
      <x v="25"/>
    </i>
    <i r="1">
      <x v="26"/>
    </i>
    <i t="default">
      <x v="20"/>
    </i>
    <i>
      <x v="21"/>
      <x v="6"/>
    </i>
    <i r="1">
      <x v="7"/>
    </i>
    <i r="1">
      <x v="8"/>
    </i>
    <i r="1">
      <x v="9"/>
    </i>
    <i r="1">
      <x v="10"/>
    </i>
    <i r="1">
      <x v="13"/>
    </i>
    <i r="1">
      <x v="14"/>
    </i>
    <i r="1">
      <x v="18"/>
    </i>
    <i r="1">
      <x v="20"/>
    </i>
    <i r="1">
      <x v="21"/>
    </i>
    <i r="1">
      <x v="22"/>
    </i>
    <i r="1">
      <x v="23"/>
    </i>
    <i r="1">
      <x v="26"/>
    </i>
    <i t="default">
      <x v="21"/>
    </i>
    <i>
      <x v="22"/>
      <x v="15"/>
    </i>
    <i t="default">
      <x v="22"/>
    </i>
    <i>
      <x v="23"/>
      <x v="15"/>
    </i>
    <i t="default">
      <x v="23"/>
    </i>
    <i>
      <x v="24"/>
      <x v="5"/>
    </i>
    <i r="1">
      <x v="6"/>
    </i>
    <i r="1">
      <x v="7"/>
    </i>
    <i r="1">
      <x v="8"/>
    </i>
    <i r="1">
      <x v="9"/>
    </i>
    <i r="1">
      <x v="13"/>
    </i>
    <i r="1">
      <x v="14"/>
    </i>
    <i r="1">
      <x v="15"/>
    </i>
    <i r="1">
      <x v="20"/>
    </i>
    <i r="1">
      <x v="22"/>
    </i>
    <i r="1">
      <x v="26"/>
    </i>
    <i t="default">
      <x v="24"/>
    </i>
    <i>
      <x v="25"/>
      <x v="6"/>
    </i>
    <i r="1">
      <x v="7"/>
    </i>
    <i r="1">
      <x v="8"/>
    </i>
    <i r="1">
      <x v="9"/>
    </i>
    <i r="1">
      <x v="15"/>
    </i>
    <i r="1">
      <x v="22"/>
    </i>
    <i r="1">
      <x v="26"/>
    </i>
    <i t="default">
      <x v="25"/>
    </i>
    <i>
      <x v="27"/>
      <x v="6"/>
    </i>
    <i r="1">
      <x v="7"/>
    </i>
    <i r="1">
      <x v="8"/>
    </i>
    <i r="1">
      <x v="22"/>
    </i>
    <i r="1">
      <x v="26"/>
    </i>
    <i t="default">
      <x v="27"/>
    </i>
    <i>
      <x v="28"/>
      <x v="6"/>
    </i>
    <i r="1">
      <x v="7"/>
    </i>
    <i r="1">
      <x v="8"/>
    </i>
    <i r="1">
      <x v="9"/>
    </i>
    <i r="1">
      <x v="18"/>
    </i>
    <i r="1">
      <x v="22"/>
    </i>
    <i r="1">
      <x v="24"/>
    </i>
    <i r="1">
      <x v="26"/>
    </i>
    <i t="default">
      <x v="28"/>
    </i>
    <i>
      <x v="29"/>
      <x v="6"/>
    </i>
    <i r="1">
      <x v="7"/>
    </i>
    <i r="1">
      <x v="8"/>
    </i>
    <i r="1">
      <x v="9"/>
    </i>
    <i r="1">
      <x v="10"/>
    </i>
    <i r="1">
      <x v="13"/>
    </i>
    <i r="1">
      <x v="19"/>
    </i>
    <i r="1">
      <x v="20"/>
    </i>
    <i r="1">
      <x v="22"/>
    </i>
    <i r="1">
      <x v="24"/>
    </i>
    <i r="1">
      <x v="26"/>
    </i>
    <i t="default">
      <x v="29"/>
    </i>
    <i>
      <x v="30"/>
      <x v="6"/>
    </i>
    <i r="1">
      <x v="7"/>
    </i>
    <i r="1">
      <x v="8"/>
    </i>
    <i r="1">
      <x v="13"/>
    </i>
    <i r="1">
      <x v="22"/>
    </i>
    <i r="1">
      <x v="24"/>
    </i>
    <i r="1">
      <x v="26"/>
    </i>
    <i t="default">
      <x v="30"/>
    </i>
    <i>
      <x v="31"/>
      <x v="6"/>
    </i>
    <i r="1">
      <x v="7"/>
    </i>
    <i r="1">
      <x v="8"/>
    </i>
    <i r="1">
      <x v="9"/>
    </i>
    <i r="1">
      <x v="16"/>
    </i>
    <i r="1">
      <x v="22"/>
    </i>
    <i r="1">
      <x v="24"/>
    </i>
    <i r="1">
      <x v="26"/>
    </i>
    <i t="default">
      <x v="31"/>
    </i>
    <i>
      <x v="32"/>
      <x v="6"/>
    </i>
    <i r="1">
      <x v="7"/>
    </i>
    <i r="1">
      <x v="8"/>
    </i>
    <i r="1">
      <x v="9"/>
    </i>
    <i r="1">
      <x v="12"/>
    </i>
    <i r="1">
      <x v="15"/>
    </i>
    <i r="1">
      <x v="18"/>
    </i>
    <i r="1">
      <x v="21"/>
    </i>
    <i r="1">
      <x v="22"/>
    </i>
    <i r="1">
      <x v="26"/>
    </i>
    <i t="default">
      <x v="32"/>
    </i>
    <i>
      <x v="33"/>
      <x v="20"/>
    </i>
    <i t="default">
      <x v="33"/>
    </i>
    <i>
      <x v="34"/>
      <x v="6"/>
    </i>
    <i r="1">
      <x v="8"/>
    </i>
    <i r="1">
      <x v="9"/>
    </i>
    <i r="1">
      <x v="10"/>
    </i>
    <i r="1">
      <x v="12"/>
    </i>
    <i r="1">
      <x v="14"/>
    </i>
    <i r="1">
      <x v="15"/>
    </i>
    <i r="1">
      <x v="20"/>
    </i>
    <i r="1">
      <x v="22"/>
    </i>
    <i r="1">
      <x v="25"/>
    </i>
    <i r="1">
      <x v="26"/>
    </i>
    <i t="default">
      <x v="34"/>
    </i>
    <i>
      <x v="35"/>
      <x v="6"/>
    </i>
    <i r="1">
      <x v="7"/>
    </i>
    <i r="1">
      <x v="8"/>
    </i>
    <i r="1">
      <x v="9"/>
    </i>
    <i r="1">
      <x v="12"/>
    </i>
    <i r="1">
      <x v="15"/>
    </i>
    <i r="1">
      <x v="18"/>
    </i>
    <i r="1">
      <x v="20"/>
    </i>
    <i r="1">
      <x v="22"/>
    </i>
    <i r="1">
      <x v="26"/>
    </i>
    <i t="default">
      <x v="35"/>
    </i>
    <i>
      <x v="36"/>
      <x v="6"/>
    </i>
    <i r="1">
      <x v="7"/>
    </i>
    <i r="1">
      <x v="8"/>
    </i>
    <i r="1">
      <x v="9"/>
    </i>
    <i r="1">
      <x v="15"/>
    </i>
    <i r="1">
      <x v="21"/>
    </i>
    <i r="1">
      <x v="22"/>
    </i>
    <i r="1">
      <x v="26"/>
    </i>
    <i t="default">
      <x v="36"/>
    </i>
    <i>
      <x v="37"/>
      <x v="6"/>
    </i>
    <i r="1">
      <x v="7"/>
    </i>
    <i r="1">
      <x v="8"/>
    </i>
    <i r="1">
      <x v="9"/>
    </i>
    <i r="1">
      <x v="13"/>
    </i>
    <i r="1">
      <x v="14"/>
    </i>
    <i r="1">
      <x v="17"/>
    </i>
    <i r="1">
      <x v="19"/>
    </i>
    <i r="1">
      <x v="20"/>
    </i>
    <i r="1">
      <x v="21"/>
    </i>
    <i r="1">
      <x v="22"/>
    </i>
    <i r="1">
      <x v="24"/>
    </i>
    <i r="1">
      <x v="26"/>
    </i>
    <i t="default">
      <x v="37"/>
    </i>
    <i>
      <x v="38"/>
      <x v="6"/>
    </i>
    <i r="1">
      <x v="7"/>
    </i>
    <i r="1">
      <x v="8"/>
    </i>
    <i r="1">
      <x v="9"/>
    </i>
    <i r="1">
      <x v="10"/>
    </i>
    <i r="1">
      <x v="13"/>
    </i>
    <i r="1">
      <x v="22"/>
    </i>
    <i r="1">
      <x v="24"/>
    </i>
    <i r="1">
      <x v="26"/>
    </i>
    <i t="default">
      <x v="38"/>
    </i>
    <i>
      <x v="39"/>
      <x v="27"/>
    </i>
    <i t="default">
      <x v="39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djustments" fld="3" baseField="0" baseItem="0"/>
    <dataField name="Sum of Amount" fld="4" baseField="0" baseItem="0"/>
  </dataFields>
  <formats count="1">
    <format dxfId="119">
      <pivotArea outline="0" fieldPosition="0"/>
    </format>
  </formats>
  <pivotTableStyleInfo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D3:AE69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80">
        <item m="1" x="74"/>
        <item m="1" x="118"/>
        <item m="1" x="142"/>
        <item x="0"/>
        <item x="1"/>
        <item x="2"/>
        <item x="3"/>
        <item m="1" x="65"/>
        <item x="4"/>
        <item x="5"/>
        <item m="1" x="77"/>
        <item x="6"/>
        <item m="1" x="84"/>
        <item x="7"/>
        <item x="8"/>
        <item x="11"/>
        <item m="1" x="132"/>
        <item m="1" x="121"/>
        <item x="10"/>
        <item x="9"/>
        <item m="1" x="114"/>
        <item x="12"/>
        <item x="13"/>
        <item m="1" x="78"/>
        <item m="1" x="94"/>
        <item x="14"/>
        <item m="1" x="102"/>
        <item m="1" x="161"/>
        <item x="15"/>
        <item x="16"/>
        <item m="1" x="101"/>
        <item x="17"/>
        <item m="1" x="146"/>
        <item x="18"/>
        <item x="19"/>
        <item m="1" x="103"/>
        <item x="20"/>
        <item m="1" x="80"/>
        <item x="21"/>
        <item m="1" x="139"/>
        <item m="1" x="164"/>
        <item m="1" x="76"/>
        <item m="1" x="169"/>
        <item m="1" x="152"/>
        <item x="22"/>
        <item x="23"/>
        <item x="24"/>
        <item x="25"/>
        <item m="1" x="125"/>
        <item m="1" x="141"/>
        <item x="26"/>
        <item m="1" x="116"/>
        <item m="1" x="89"/>
        <item m="1" x="111"/>
        <item m="1" x="87"/>
        <item m="1" x="150"/>
        <item m="1" x="93"/>
        <item m="1" x="143"/>
        <item m="1" x="70"/>
        <item m="1" x="71"/>
        <item m="1" x="72"/>
        <item m="1" x="120"/>
        <item x="27"/>
        <item m="1" x="75"/>
        <item m="1" x="157"/>
        <item m="1" x="66"/>
        <item m="1" x="95"/>
        <item x="28"/>
        <item m="1" x="104"/>
        <item m="1" x="153"/>
        <item m="1" x="144"/>
        <item m="1" x="168"/>
        <item m="1" x="176"/>
        <item x="29"/>
        <item m="1" x="112"/>
        <item m="1" x="68"/>
        <item m="1" x="88"/>
        <item m="1" x="82"/>
        <item x="30"/>
        <item m="1" x="170"/>
        <item x="31"/>
        <item x="32"/>
        <item x="33"/>
        <item x="34"/>
        <item m="1" x="174"/>
        <item m="1" x="98"/>
        <item x="35"/>
        <item m="1" x="119"/>
        <item x="36"/>
        <item m="1" x="69"/>
        <item m="1" x="117"/>
        <item x="37"/>
        <item m="1" x="160"/>
        <item m="1" x="133"/>
        <item x="38"/>
        <item m="1" x="97"/>
        <item x="39"/>
        <item x="40"/>
        <item m="1" x="115"/>
        <item m="1" x="175"/>
        <item m="1" x="92"/>
        <item m="1" x="85"/>
        <item m="1" x="155"/>
        <item m="1" x="123"/>
        <item x="41"/>
        <item m="1" x="166"/>
        <item m="1" x="163"/>
        <item m="1" x="158"/>
        <item m="1" x="148"/>
        <item m="1" x="178"/>
        <item m="1" x="171"/>
        <item m="1" x="172"/>
        <item m="1" x="154"/>
        <item m="1" x="79"/>
        <item m="1" x="147"/>
        <item m="1" x="173"/>
        <item x="42"/>
        <item x="43"/>
        <item m="1" x="135"/>
        <item m="1" x="136"/>
        <item m="1" x="130"/>
        <item m="1" x="113"/>
        <item x="44"/>
        <item x="45"/>
        <item x="46"/>
        <item x="47"/>
        <item m="1" x="110"/>
        <item m="1" x="165"/>
        <item x="48"/>
        <item m="1" x="162"/>
        <item m="1" x="149"/>
        <item x="49"/>
        <item m="1" x="131"/>
        <item x="50"/>
        <item m="1" x="90"/>
        <item m="1" x="167"/>
        <item m="1" x="83"/>
        <item m="1" x="177"/>
        <item x="51"/>
        <item m="1" x="108"/>
        <item m="1" x="156"/>
        <item x="52"/>
        <item x="53"/>
        <item m="1" x="109"/>
        <item m="1" x="140"/>
        <item x="54"/>
        <item m="1" x="99"/>
        <item x="55"/>
        <item m="1" x="134"/>
        <item x="56"/>
        <item m="1" x="81"/>
        <item m="1" x="105"/>
        <item x="57"/>
        <item m="1" x="106"/>
        <item m="1" x="122"/>
        <item m="1" x="129"/>
        <item m="1" x="127"/>
        <item m="1" x="137"/>
        <item x="59"/>
        <item m="1" x="145"/>
        <item x="60"/>
        <item m="1" x="86"/>
        <item m="1" x="126"/>
        <item m="1" x="159"/>
        <item m="1" x="107"/>
        <item m="1" x="96"/>
        <item m="1" x="73"/>
        <item m="1" x="138"/>
        <item m="1" x="151"/>
        <item x="61"/>
        <item m="1" x="91"/>
        <item x="62"/>
        <item m="1" x="100"/>
        <item x="63"/>
        <item x="64"/>
        <item m="1" x="124"/>
        <item m="1" x="128"/>
        <item m="1" x="67"/>
        <item x="58"/>
        <item t="default"/>
      </items>
    </pivotField>
    <pivotField showAll="0"/>
    <pivotField showAll="0"/>
    <pivotField showAll="0"/>
    <pivotField dataField="1" numFmtId="41" showAll="0"/>
  </pivotFields>
  <rowFields count="1">
    <field x="10"/>
  </rowFields>
  <rowItems count="66">
    <i>
      <x v="3"/>
    </i>
    <i>
      <x v="4"/>
    </i>
    <i>
      <x v="5"/>
    </i>
    <i>
      <x v="6"/>
    </i>
    <i>
      <x v="8"/>
    </i>
    <i>
      <x v="9"/>
    </i>
    <i>
      <x v="11"/>
    </i>
    <i>
      <x v="13"/>
    </i>
    <i>
      <x v="14"/>
    </i>
    <i>
      <x v="15"/>
    </i>
    <i>
      <x v="18"/>
    </i>
    <i>
      <x v="19"/>
    </i>
    <i>
      <x v="21"/>
    </i>
    <i>
      <x v="22"/>
    </i>
    <i>
      <x v="25"/>
    </i>
    <i>
      <x v="28"/>
    </i>
    <i>
      <x v="29"/>
    </i>
    <i>
      <x v="31"/>
    </i>
    <i>
      <x v="33"/>
    </i>
    <i>
      <x v="34"/>
    </i>
    <i>
      <x v="36"/>
    </i>
    <i>
      <x v="38"/>
    </i>
    <i>
      <x v="44"/>
    </i>
    <i>
      <x v="45"/>
    </i>
    <i>
      <x v="46"/>
    </i>
    <i>
      <x v="47"/>
    </i>
    <i>
      <x v="50"/>
    </i>
    <i>
      <x v="62"/>
    </i>
    <i>
      <x v="67"/>
    </i>
    <i>
      <x v="73"/>
    </i>
    <i>
      <x v="78"/>
    </i>
    <i>
      <x v="80"/>
    </i>
    <i>
      <x v="81"/>
    </i>
    <i>
      <x v="82"/>
    </i>
    <i>
      <x v="83"/>
    </i>
    <i>
      <x v="86"/>
    </i>
    <i>
      <x v="88"/>
    </i>
    <i>
      <x v="91"/>
    </i>
    <i>
      <x v="94"/>
    </i>
    <i>
      <x v="96"/>
    </i>
    <i>
      <x v="97"/>
    </i>
    <i>
      <x v="104"/>
    </i>
    <i>
      <x v="116"/>
    </i>
    <i>
      <x v="117"/>
    </i>
    <i>
      <x v="122"/>
    </i>
    <i>
      <x v="123"/>
    </i>
    <i>
      <x v="124"/>
    </i>
    <i>
      <x v="125"/>
    </i>
    <i>
      <x v="128"/>
    </i>
    <i>
      <x v="131"/>
    </i>
    <i>
      <x v="133"/>
    </i>
    <i>
      <x v="138"/>
    </i>
    <i>
      <x v="141"/>
    </i>
    <i>
      <x v="142"/>
    </i>
    <i>
      <x v="145"/>
    </i>
    <i>
      <x v="147"/>
    </i>
    <i>
      <x v="149"/>
    </i>
    <i>
      <x v="152"/>
    </i>
    <i>
      <x v="158"/>
    </i>
    <i>
      <x v="160"/>
    </i>
    <i>
      <x v="169"/>
    </i>
    <i>
      <x v="171"/>
    </i>
    <i>
      <x v="173"/>
    </i>
    <i>
      <x v="174"/>
    </i>
    <i>
      <x v="178"/>
    </i>
    <i t="grand">
      <x/>
    </i>
  </rowItems>
  <colItems count="1">
    <i/>
  </colItems>
  <dataFields count="1">
    <dataField name="Sum of total" fld="14" baseField="11" baseItem="17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4:E39" firstHeaderRow="1" firstDataRow="2" firstDataCol="1" rowPageCount="2" colPageCount="1"/>
  <pivotFields count="15">
    <pivotField compact="0" outline="0" subtotalTop="0" showAll="0" includeNewItemsInFilter="1"/>
    <pivotField axis="axisPage" compact="0" outline="0" subtotalTop="0" showAll="0" includeNewItemsInFilter="1">
      <items count="11">
        <item m="1" x="4"/>
        <item m="1" x="7"/>
        <item m="1" x="8"/>
        <item x="1"/>
        <item m="1" x="3"/>
        <item m="1" x="6"/>
        <item m="1" x="9"/>
        <item m="1" x="2"/>
        <item m="1" x="5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8">
        <item x="1"/>
        <item x="27"/>
        <item x="10"/>
        <item x="11"/>
        <item x="28"/>
        <item x="29"/>
        <item x="12"/>
        <item x="13"/>
        <item x="2"/>
        <item x="14"/>
        <item x="3"/>
        <item x="30"/>
        <item x="15"/>
        <item x="16"/>
        <item x="17"/>
        <item x="26"/>
        <item x="18"/>
        <item x="19"/>
        <item x="31"/>
        <item x="5"/>
        <item x="7"/>
        <item x="20"/>
        <item x="21"/>
        <item x="22"/>
        <item x="8"/>
        <item x="23"/>
        <item x="25"/>
        <item x="24"/>
        <item x="32"/>
        <item x="9"/>
        <item m="1" x="34"/>
        <item m="1" x="36"/>
        <item m="1" x="35"/>
        <item x="6"/>
        <item x="0"/>
        <item x="4"/>
        <item m="1" x="33"/>
        <item t="default"/>
      </items>
    </pivotField>
    <pivotField axis="axisCol" compact="0" outline="0" subtotalTop="0" showAll="0" includeNewItemsInFilter="1">
      <items count="7">
        <item x="0"/>
        <item x="2"/>
        <item m="1" x="4"/>
        <item x="1"/>
        <item m="1" x="3"/>
        <item m="1" x="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48">
        <item m="1" x="39"/>
        <item x="0"/>
        <item m="1" x="14"/>
        <item m="1" x="21"/>
        <item x="12"/>
        <item m="1" x="26"/>
        <item m="1" x="28"/>
        <item m="1" x="30"/>
        <item m="1" x="37"/>
        <item m="1" x="18"/>
        <item m="1" x="19"/>
        <item m="1" x="22"/>
        <item m="1" x="24"/>
        <item m="1" x="27"/>
        <item m="1" x="29"/>
        <item m="1" x="32"/>
        <item m="1" x="44"/>
        <item m="1" x="35"/>
        <item x="3"/>
        <item x="2"/>
        <item x="5"/>
        <item x="9"/>
        <item m="1" x="34"/>
        <item m="1" x="31"/>
        <item x="11"/>
        <item m="1" x="40"/>
        <item m="1" x="23"/>
        <item m="1" x="33"/>
        <item m="1" x="38"/>
        <item m="1" x="36"/>
        <item m="1" x="25"/>
        <item m="1" x="41"/>
        <item m="1" x="15"/>
        <item m="1" x="17"/>
        <item m="1" x="46"/>
        <item m="1" x="43"/>
        <item m="1" x="13"/>
        <item m="1" x="42"/>
        <item m="1" x="16"/>
        <item x="6"/>
        <item x="10"/>
        <item m="1" x="45"/>
        <item x="7"/>
        <item x="4"/>
        <item x="1"/>
        <item x="8"/>
        <item m="1" x="20"/>
        <item t="default"/>
      </items>
    </pivotField>
    <pivotField compact="0" outline="0" subtotalTop="0" showAll="0" includeNewItemsInFilter="1"/>
    <pivotField axis="axisPage" compact="0" outline="0" subtotalTop="0" showAll="0" includeNewItemsInFilter="1">
      <items count="180">
        <item x="1"/>
        <item m="1" x="77"/>
        <item x="6"/>
        <item m="1" x="84"/>
        <item x="7"/>
        <item x="8"/>
        <item m="1" x="132"/>
        <item m="1" x="121"/>
        <item x="10"/>
        <item x="9"/>
        <item x="14"/>
        <item m="1" x="161"/>
        <item x="18"/>
        <item x="20"/>
        <item m="1" x="139"/>
        <item m="1" x="89"/>
        <item m="1" x="87"/>
        <item m="1" x="120"/>
        <item m="1" x="66"/>
        <item x="29"/>
        <item x="30"/>
        <item x="34"/>
        <item m="1" x="174"/>
        <item x="38"/>
        <item x="39"/>
        <item x="40"/>
        <item m="1" x="155"/>
        <item m="1" x="173"/>
        <item m="1" x="135"/>
        <item x="44"/>
        <item m="1" x="165"/>
        <item x="48"/>
        <item x="50"/>
        <item m="1" x="83"/>
        <item m="1" x="177"/>
        <item m="1" x="156"/>
        <item x="52"/>
        <item x="53"/>
        <item x="55"/>
        <item m="1" x="134"/>
        <item m="1" x="81"/>
        <item m="1" x="137"/>
        <item x="60"/>
        <item m="1" x="91"/>
        <item m="1" x="164"/>
        <item m="1" x="73"/>
        <item m="1" x="151"/>
        <item m="1" x="86"/>
        <item m="1" x="168"/>
        <item m="1" x="126"/>
        <item m="1" x="107"/>
        <item m="1" x="123"/>
        <item m="1" x="98"/>
        <item m="1" x="96"/>
        <item m="1" x="138"/>
        <item m="1" x="65"/>
        <item m="1" x="78"/>
        <item m="1" x="150"/>
        <item m="1" x="143"/>
        <item m="1" x="93"/>
        <item m="1" x="70"/>
        <item m="1" x="116"/>
        <item m="1" x="95"/>
        <item m="1" x="170"/>
        <item m="1" x="69"/>
        <item m="1" x="117"/>
        <item m="1" x="169"/>
        <item m="1" x="76"/>
        <item m="1" x="176"/>
        <item m="1" x="159"/>
        <item m="1" x="102"/>
        <item m="1" x="149"/>
        <item m="1" x="162"/>
        <item m="1" x="118"/>
        <item m="1" x="154"/>
        <item x="49"/>
        <item m="1" x="74"/>
        <item x="57"/>
        <item m="1" x="106"/>
        <item m="1" x="105"/>
        <item x="41"/>
        <item m="1" x="131"/>
        <item m="1" x="94"/>
        <item m="1" x="127"/>
        <item m="1" x="71"/>
        <item x="5"/>
        <item m="1" x="80"/>
        <item m="1" x="160"/>
        <item m="1" x="90"/>
        <item m="1" x="152"/>
        <item x="3"/>
        <item x="19"/>
        <item x="0"/>
        <item m="1" x="103"/>
        <item x="56"/>
        <item m="1" x="122"/>
        <item x="31"/>
        <item x="32"/>
        <item m="1" x="72"/>
        <item m="1" x="82"/>
        <item m="1" x="133"/>
        <item m="1" x="175"/>
        <item m="1" x="146"/>
        <item x="22"/>
        <item m="1" x="167"/>
        <item x="61"/>
        <item m="1" x="136"/>
        <item m="1" x="172"/>
        <item m="1" x="112"/>
        <item x="43"/>
        <item x="42"/>
        <item m="1" x="108"/>
        <item x="15"/>
        <item x="35"/>
        <item m="1" x="97"/>
        <item m="1" x="158"/>
        <item m="1" x="113"/>
        <item x="45"/>
        <item x="23"/>
        <item m="1" x="68"/>
        <item m="1" x="130"/>
        <item m="1" x="92"/>
        <item m="1" x="85"/>
        <item m="1" x="166"/>
        <item m="1" x="163"/>
        <item m="1" x="147"/>
        <item m="1" x="79"/>
        <item m="1" x="178"/>
        <item m="1" x="148"/>
        <item m="1" x="114"/>
        <item m="1" x="171"/>
        <item m="1" x="88"/>
        <item x="46"/>
        <item x="47"/>
        <item m="1" x="109"/>
        <item m="1" x="142"/>
        <item m="1" x="115"/>
        <item m="1" x="104"/>
        <item m="1" x="153"/>
        <item x="28"/>
        <item x="21"/>
        <item m="1" x="119"/>
        <item x="24"/>
        <item m="1" x="144"/>
        <item m="1" x="128"/>
        <item x="51"/>
        <item x="2"/>
        <item x="33"/>
        <item m="1" x="67"/>
        <item x="36"/>
        <item x="11"/>
        <item m="1" x="110"/>
        <item x="4"/>
        <item x="12"/>
        <item x="13"/>
        <item m="1" x="101"/>
        <item x="27"/>
        <item m="1" x="75"/>
        <item m="1" x="157"/>
        <item x="37"/>
        <item m="1" x="140"/>
        <item x="59"/>
        <item x="63"/>
        <item x="64"/>
        <item m="1" x="124"/>
        <item x="54"/>
        <item m="1" x="99"/>
        <item x="62"/>
        <item m="1" x="100"/>
        <item x="16"/>
        <item m="1" x="111"/>
        <item x="25"/>
        <item x="26"/>
        <item m="1" x="125"/>
        <item m="1" x="129"/>
        <item m="1" x="145"/>
        <item m="1" x="141"/>
        <item x="17"/>
        <item x="58"/>
        <item t="default"/>
      </items>
    </pivotField>
    <pivotField compact="0" numFmtId="37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37" outline="0" subtotalTop="0" showAll="0" includeNewItemsInFilter="1"/>
  </pivotFields>
  <rowFields count="1">
    <field x="4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3"/>
    </i>
    <i>
      <x v="34"/>
    </i>
    <i>
      <x v="35"/>
    </i>
    <i t="grand">
      <x/>
    </i>
  </rowItems>
  <colFields count="1">
    <field x="5"/>
  </colFields>
  <colItems count="4">
    <i>
      <x/>
    </i>
    <i>
      <x v="1"/>
    </i>
    <i>
      <x v="3"/>
    </i>
    <i t="grand">
      <x/>
    </i>
  </colItems>
  <pageFields count="2">
    <pageField fld="1" hier="0"/>
    <pageField fld="10" hier="0"/>
  </pageFields>
  <dataFields count="1">
    <dataField name="Sum of total" fld="14" baseField="0" baseItem="0" numFmtId="41"/>
  </dataFields>
  <formats count="9">
    <format dxfId="108">
      <pivotArea field="5" type="button" dataOnly="0" labelOnly="1" outline="0" axis="axisCol" fieldPosition="0"/>
    </format>
    <format dxfId="107">
      <pivotArea type="all" dataOnly="0" outline="0" fieldPosition="0"/>
    </format>
    <format dxfId="106">
      <pivotArea type="all" dataOnly="0" outline="0" fieldPosition="0"/>
    </format>
    <format dxfId="105">
      <pivotArea outline="0" fieldPosition="0"/>
    </format>
    <format dxfId="104">
      <pivotArea dataOnly="0" labelOnly="1" outline="0" fieldPosition="0">
        <references count="1">
          <reference field="1" count="0"/>
        </references>
      </pivotArea>
    </format>
    <format dxfId="103">
      <pivotArea dataOnly="0" labelOnly="1" outline="0" fieldPosition="0">
        <references count="1">
          <reference field="10" count="0"/>
        </references>
      </pivotArea>
    </format>
    <format dxfId="102">
      <pivotArea field="8" type="button" dataOnly="0" labelOnly="1" outline="0"/>
    </format>
    <format dxfId="101">
      <pivotArea type="topRight" dataOnly="0" labelOnly="1" outline="0" fieldPosition="0"/>
    </format>
    <format dxfId="100">
      <pivotArea dataOnly="0" labelOnly="1" grandCol="1" outline="0" fieldPosition="0"/>
    </format>
  </formats>
  <pivotTableStyleInfo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2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N14:O19" firstHeaderRow="2" firstDataRow="2" firstDataCol="1" rowPageCount="2" colPageCount="1"/>
  <pivotFields count="15">
    <pivotField compact="0" outline="0" subtotalTop="0" showAll="0" includeNewItemsInFilter="1"/>
    <pivotField axis="axisPage" compact="0" outline="0" subtotalTop="0" showAll="0" includeNewItemsInFilter="1">
      <items count="11">
        <item m="1" x="4"/>
        <item m="1" x="7"/>
        <item m="1" x="8"/>
        <item x="1"/>
        <item m="1" x="3"/>
        <item m="1" x="6"/>
        <item m="1" x="9"/>
        <item m="1" x="2"/>
        <item m="1" x="5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7">
        <item x="0"/>
        <item x="2"/>
        <item m="1" x="4"/>
        <item x="1"/>
        <item m="1" x="3"/>
        <item m="1" x="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48">
        <item x="0"/>
        <item m="1" x="14"/>
        <item m="1" x="21"/>
        <item x="12"/>
        <item m="1" x="26"/>
        <item m="1" x="28"/>
        <item m="1" x="30"/>
        <item m="1" x="37"/>
        <item m="1" x="18"/>
        <item m="1" x="19"/>
        <item m="1" x="39"/>
        <item m="1" x="22"/>
        <item m="1" x="24"/>
        <item m="1" x="27"/>
        <item m="1" x="29"/>
        <item m="1" x="32"/>
        <item m="1" x="44"/>
        <item m="1" x="35"/>
        <item x="2"/>
        <item x="3"/>
        <item x="5"/>
        <item x="9"/>
        <item m="1" x="34"/>
        <item m="1" x="31"/>
        <item x="11"/>
        <item m="1" x="40"/>
        <item m="1" x="23"/>
        <item m="1" x="33"/>
        <item m="1" x="38"/>
        <item m="1" x="36"/>
        <item m="1" x="25"/>
        <item m="1" x="41"/>
        <item m="1" x="15"/>
        <item m="1" x="17"/>
        <item m="1" x="46"/>
        <item m="1" x="43"/>
        <item m="1" x="13"/>
        <item m="1" x="42"/>
        <item m="1" x="16"/>
        <item x="6"/>
        <item x="10"/>
        <item m="1" x="45"/>
        <item x="7"/>
        <item x="4"/>
        <item x="1"/>
        <item x="8"/>
        <item m="1" x="20"/>
        <item t="default"/>
      </items>
    </pivotField>
    <pivotField compact="0" outline="0" subtotalTop="0" showAll="0" includeNewItemsInFilter="1"/>
    <pivotField axis="axisPage" compact="0" outline="0" subtotalTop="0" showAll="0" includeNewItemsInFilter="1">
      <items count="180">
        <item x="1"/>
        <item m="1" x="77"/>
        <item x="6"/>
        <item m="1" x="84"/>
        <item x="7"/>
        <item x="8"/>
        <item m="1" x="132"/>
        <item m="1" x="121"/>
        <item x="10"/>
        <item x="9"/>
        <item x="14"/>
        <item m="1" x="161"/>
        <item x="18"/>
        <item x="20"/>
        <item m="1" x="139"/>
        <item m="1" x="89"/>
        <item m="1" x="87"/>
        <item m="1" x="120"/>
        <item m="1" x="66"/>
        <item x="29"/>
        <item x="30"/>
        <item x="34"/>
        <item m="1" x="174"/>
        <item x="38"/>
        <item x="39"/>
        <item x="40"/>
        <item m="1" x="155"/>
        <item m="1" x="173"/>
        <item m="1" x="135"/>
        <item x="44"/>
        <item m="1" x="165"/>
        <item x="48"/>
        <item x="50"/>
        <item m="1" x="83"/>
        <item m="1" x="177"/>
        <item m="1" x="156"/>
        <item x="52"/>
        <item x="53"/>
        <item x="55"/>
        <item m="1" x="134"/>
        <item m="1" x="81"/>
        <item m="1" x="137"/>
        <item x="60"/>
        <item m="1" x="91"/>
        <item m="1" x="164"/>
        <item m="1" x="73"/>
        <item m="1" x="151"/>
        <item m="1" x="86"/>
        <item m="1" x="168"/>
        <item m="1" x="126"/>
        <item m="1" x="107"/>
        <item m="1" x="123"/>
        <item m="1" x="98"/>
        <item m="1" x="96"/>
        <item m="1" x="138"/>
        <item m="1" x="65"/>
        <item m="1" x="78"/>
        <item m="1" x="150"/>
        <item m="1" x="143"/>
        <item m="1" x="93"/>
        <item m="1" x="70"/>
        <item m="1" x="116"/>
        <item m="1" x="95"/>
        <item m="1" x="170"/>
        <item m="1" x="69"/>
        <item m="1" x="117"/>
        <item m="1" x="169"/>
        <item m="1" x="76"/>
        <item m="1" x="176"/>
        <item m="1" x="159"/>
        <item m="1" x="102"/>
        <item m="1" x="149"/>
        <item m="1" x="162"/>
        <item m="1" x="118"/>
        <item m="1" x="154"/>
        <item x="49"/>
        <item m="1" x="74"/>
        <item x="57"/>
        <item m="1" x="106"/>
        <item m="1" x="105"/>
        <item x="41"/>
        <item m="1" x="131"/>
        <item m="1" x="94"/>
        <item m="1" x="127"/>
        <item m="1" x="71"/>
        <item x="5"/>
        <item m="1" x="80"/>
        <item m="1" x="160"/>
        <item m="1" x="90"/>
        <item m="1" x="152"/>
        <item x="3"/>
        <item x="19"/>
        <item x="0"/>
        <item m="1" x="103"/>
        <item x="56"/>
        <item m="1" x="122"/>
        <item x="31"/>
        <item x="32"/>
        <item m="1" x="72"/>
        <item m="1" x="82"/>
        <item m="1" x="133"/>
        <item m="1" x="175"/>
        <item m="1" x="146"/>
        <item x="22"/>
        <item m="1" x="167"/>
        <item x="61"/>
        <item m="1" x="136"/>
        <item m="1" x="172"/>
        <item m="1" x="112"/>
        <item x="43"/>
        <item x="42"/>
        <item m="1" x="108"/>
        <item x="15"/>
        <item x="35"/>
        <item m="1" x="97"/>
        <item m="1" x="158"/>
        <item m="1" x="113"/>
        <item x="45"/>
        <item x="23"/>
        <item m="1" x="68"/>
        <item m="1" x="130"/>
        <item m="1" x="92"/>
        <item m="1" x="85"/>
        <item m="1" x="166"/>
        <item m="1" x="163"/>
        <item m="1" x="147"/>
        <item m="1" x="79"/>
        <item m="1" x="178"/>
        <item m="1" x="148"/>
        <item m="1" x="114"/>
        <item m="1" x="171"/>
        <item m="1" x="88"/>
        <item x="46"/>
        <item x="47"/>
        <item m="1" x="109"/>
        <item m="1" x="142"/>
        <item m="1" x="115"/>
        <item m="1" x="104"/>
        <item m="1" x="153"/>
        <item x="28"/>
        <item x="21"/>
        <item m="1" x="119"/>
        <item x="24"/>
        <item m="1" x="144"/>
        <item m="1" x="128"/>
        <item x="51"/>
        <item x="2"/>
        <item x="33"/>
        <item m="1" x="67"/>
        <item x="36"/>
        <item x="11"/>
        <item m="1" x="110"/>
        <item x="4"/>
        <item x="12"/>
        <item x="13"/>
        <item m="1" x="101"/>
        <item x="27"/>
        <item m="1" x="75"/>
        <item m="1" x="157"/>
        <item x="37"/>
        <item m="1" x="140"/>
        <item x="59"/>
        <item x="63"/>
        <item x="64"/>
        <item m="1" x="124"/>
        <item x="54"/>
        <item m="1" x="99"/>
        <item x="62"/>
        <item m="1" x="100"/>
        <item x="16"/>
        <item m="1" x="111"/>
        <item x="25"/>
        <item x="26"/>
        <item m="1" x="125"/>
        <item m="1" x="129"/>
        <item m="1" x="145"/>
        <item m="1" x="141"/>
        <item x="17"/>
        <item x="58"/>
        <item t="default"/>
      </items>
    </pivotField>
    <pivotField compact="0" numFmtId="37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37" outline="0" subtotalTop="0" showAll="0" includeNewItemsInFilter="1"/>
  </pivotFields>
  <rowFields count="1">
    <field x="5"/>
  </rowFields>
  <rowItems count="4">
    <i>
      <x/>
    </i>
    <i>
      <x v="1"/>
    </i>
    <i>
      <x v="3"/>
    </i>
    <i t="grand">
      <x/>
    </i>
  </rowItems>
  <colItems count="1">
    <i/>
  </colItems>
  <pageFields count="2">
    <pageField fld="1" hier="0"/>
    <pageField fld="10" hier="0"/>
  </pageFields>
  <dataFields count="1">
    <dataField name="Sum of total" fld="14" baseField="0" baseItem="0" numFmtId="41"/>
  </dataFields>
  <formats count="9">
    <format dxfId="117">
      <pivotArea field="5" type="button" dataOnly="0" labelOnly="1" outline="0" axis="axisRow" fieldPosition="0"/>
    </format>
    <format dxfId="116">
      <pivotArea type="all" dataOnly="0" outline="0" fieldPosition="0"/>
    </format>
    <format dxfId="115">
      <pivotArea type="all" dataOnly="0" outline="0" fieldPosition="0"/>
    </format>
    <format dxfId="114">
      <pivotArea outline="0" fieldPosition="0"/>
    </format>
    <format dxfId="113">
      <pivotArea dataOnly="0" labelOnly="1" outline="0" fieldPosition="0">
        <references count="1">
          <reference field="1" count="0"/>
        </references>
      </pivotArea>
    </format>
    <format dxfId="112">
      <pivotArea dataOnly="0" labelOnly="1" outline="0" fieldPosition="0">
        <references count="1">
          <reference field="10" count="0"/>
        </references>
      </pivotArea>
    </format>
    <format dxfId="111">
      <pivotArea field="8" type="button" dataOnly="0" labelOnly="1" outline="0"/>
    </format>
    <format dxfId="110">
      <pivotArea type="topRight" dataOnly="0" labelOnly="1" outline="0" fieldPosition="0"/>
    </format>
    <format dxfId="109">
      <pivotArea dataOnly="0" labelOnly="1" grandCol="1" outline="0" fieldPosition="0"/>
    </format>
  </formats>
  <pivotTableStyleInfo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4:O39" firstHeaderRow="1" firstDataRow="2" firstDataCol="1" rowPageCount="2" colPageCount="1"/>
  <pivotFields count="15">
    <pivotField compact="0" outline="0" subtotalTop="0" showAll="0" includeNewItemsInFilter="1"/>
    <pivotField axis="axisPage" compact="0" outline="0" subtotalTop="0" showAll="0" includeNewItemsInFilter="1">
      <items count="11">
        <item m="1" x="4"/>
        <item m="1" x="7"/>
        <item m="1" x="8"/>
        <item x="1"/>
        <item m="1" x="3"/>
        <item m="1" x="6"/>
        <item m="1" x="9"/>
        <item m="1" x="2"/>
        <item m="1" x="5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8">
        <item x="1"/>
        <item x="27"/>
        <item x="10"/>
        <item x="11"/>
        <item x="28"/>
        <item x="29"/>
        <item x="12"/>
        <item x="13"/>
        <item x="2"/>
        <item x="14"/>
        <item x="3"/>
        <item x="30"/>
        <item x="15"/>
        <item x="16"/>
        <item x="17"/>
        <item x="26"/>
        <item x="18"/>
        <item x="19"/>
        <item x="31"/>
        <item x="5"/>
        <item x="7"/>
        <item x="20"/>
        <item x="21"/>
        <item x="22"/>
        <item x="8"/>
        <item x="23"/>
        <item x="25"/>
        <item x="24"/>
        <item x="32"/>
        <item x="9"/>
        <item m="1" x="34"/>
        <item m="1" x="36"/>
        <item m="1" x="35"/>
        <item x="6"/>
        <item x="0"/>
        <item x="4"/>
        <item h="1" m="1" x="33"/>
        <item t="default"/>
      </items>
    </pivotField>
    <pivotField compact="0" outline="0" subtotalTop="0" showAll="0" includeNewItemsInFilter="1">
      <items count="7">
        <item x="0"/>
        <item x="2"/>
        <item m="1" x="4"/>
        <item x="1"/>
        <item m="1" x="3"/>
        <item m="1" x="5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48">
        <item m="1" x="39"/>
        <item x="0"/>
        <item m="1" x="14"/>
        <item m="1" x="21"/>
        <item x="12"/>
        <item m="1" x="26"/>
        <item m="1" x="28"/>
        <item m="1" x="30"/>
        <item m="1" x="37"/>
        <item m="1" x="18"/>
        <item m="1" x="19"/>
        <item m="1" x="22"/>
        <item m="1" x="24"/>
        <item m="1" x="27"/>
        <item m="1" x="29"/>
        <item m="1" x="32"/>
        <item m="1" x="44"/>
        <item m="1" x="35"/>
        <item x="3"/>
        <item x="2"/>
        <item x="5"/>
        <item x="9"/>
        <item m="1" x="34"/>
        <item m="1" x="31"/>
        <item x="11"/>
        <item m="1" x="40"/>
        <item m="1" x="23"/>
        <item m="1" x="33"/>
        <item m="1" x="38"/>
        <item m="1" x="36"/>
        <item m="1" x="25"/>
        <item m="1" x="41"/>
        <item m="1" x="15"/>
        <item m="1" x="17"/>
        <item m="1" x="46"/>
        <item m="1" x="43"/>
        <item m="1" x="13"/>
        <item m="1" x="42"/>
        <item m="1" x="16"/>
        <item x="6"/>
        <item x="10"/>
        <item m="1" x="45"/>
        <item x="7"/>
        <item x="4"/>
        <item x="1"/>
        <item x="8"/>
        <item m="1" x="20"/>
        <item t="default"/>
      </items>
    </pivotField>
    <pivotField compact="0" outline="0" subtotalTop="0" showAll="0" includeNewItemsInFilter="1"/>
    <pivotField axis="axisPage" compact="0" outline="0" subtotalTop="0" showAll="0" includeNewItemsInFilter="1">
      <items count="180">
        <item x="1"/>
        <item m="1" x="77"/>
        <item x="6"/>
        <item m="1" x="84"/>
        <item x="7"/>
        <item x="8"/>
        <item m="1" x="132"/>
        <item m="1" x="121"/>
        <item x="10"/>
        <item x="9"/>
        <item x="14"/>
        <item m="1" x="161"/>
        <item x="18"/>
        <item x="20"/>
        <item m="1" x="139"/>
        <item m="1" x="89"/>
        <item m="1" x="87"/>
        <item m="1" x="120"/>
        <item m="1" x="66"/>
        <item x="29"/>
        <item x="30"/>
        <item x="34"/>
        <item m="1" x="174"/>
        <item x="38"/>
        <item x="39"/>
        <item x="40"/>
        <item m="1" x="155"/>
        <item m="1" x="173"/>
        <item m="1" x="135"/>
        <item x="44"/>
        <item m="1" x="165"/>
        <item x="48"/>
        <item x="50"/>
        <item m="1" x="83"/>
        <item m="1" x="177"/>
        <item m="1" x="156"/>
        <item x="52"/>
        <item x="53"/>
        <item x="55"/>
        <item m="1" x="134"/>
        <item m="1" x="81"/>
        <item m="1" x="137"/>
        <item x="60"/>
        <item m="1" x="91"/>
        <item m="1" x="164"/>
        <item m="1" x="73"/>
        <item m="1" x="151"/>
        <item m="1" x="86"/>
        <item m="1" x="168"/>
        <item m="1" x="126"/>
        <item m="1" x="107"/>
        <item m="1" x="123"/>
        <item m="1" x="98"/>
        <item m="1" x="96"/>
        <item m="1" x="138"/>
        <item m="1" x="65"/>
        <item m="1" x="78"/>
        <item m="1" x="150"/>
        <item m="1" x="143"/>
        <item m="1" x="93"/>
        <item m="1" x="70"/>
        <item m="1" x="116"/>
        <item m="1" x="95"/>
        <item m="1" x="170"/>
        <item m="1" x="69"/>
        <item m="1" x="117"/>
        <item m="1" x="169"/>
        <item m="1" x="76"/>
        <item m="1" x="176"/>
        <item m="1" x="159"/>
        <item m="1" x="102"/>
        <item m="1" x="149"/>
        <item m="1" x="162"/>
        <item m="1" x="118"/>
        <item m="1" x="154"/>
        <item x="49"/>
        <item m="1" x="74"/>
        <item x="57"/>
        <item m="1" x="106"/>
        <item m="1" x="105"/>
        <item x="41"/>
        <item m="1" x="131"/>
        <item m="1" x="94"/>
        <item m="1" x="127"/>
        <item m="1" x="71"/>
        <item x="5"/>
        <item m="1" x="80"/>
        <item m="1" x="160"/>
        <item m="1" x="90"/>
        <item m="1" x="152"/>
        <item x="3"/>
        <item x="19"/>
        <item x="0"/>
        <item m="1" x="103"/>
        <item x="56"/>
        <item m="1" x="122"/>
        <item x="31"/>
        <item x="32"/>
        <item m="1" x="72"/>
        <item m="1" x="82"/>
        <item m="1" x="133"/>
        <item m="1" x="175"/>
        <item m="1" x="146"/>
        <item x="22"/>
        <item m="1" x="167"/>
        <item x="61"/>
        <item m="1" x="136"/>
        <item m="1" x="172"/>
        <item m="1" x="112"/>
        <item x="43"/>
        <item x="42"/>
        <item m="1" x="108"/>
        <item x="15"/>
        <item x="35"/>
        <item m="1" x="97"/>
        <item m="1" x="158"/>
        <item m="1" x="113"/>
        <item x="45"/>
        <item x="23"/>
        <item m="1" x="68"/>
        <item m="1" x="130"/>
        <item m="1" x="92"/>
        <item m="1" x="85"/>
        <item m="1" x="166"/>
        <item m="1" x="163"/>
        <item m="1" x="147"/>
        <item m="1" x="79"/>
        <item m="1" x="178"/>
        <item m="1" x="148"/>
        <item m="1" x="114"/>
        <item m="1" x="171"/>
        <item m="1" x="88"/>
        <item x="46"/>
        <item x="47"/>
        <item m="1" x="109"/>
        <item m="1" x="142"/>
        <item m="1" x="115"/>
        <item m="1" x="104"/>
        <item m="1" x="153"/>
        <item x="28"/>
        <item x="21"/>
        <item m="1" x="119"/>
        <item x="24"/>
        <item m="1" x="144"/>
        <item m="1" x="128"/>
        <item x="51"/>
        <item x="2"/>
        <item x="33"/>
        <item m="1" x="67"/>
        <item x="36"/>
        <item x="11"/>
        <item m="1" x="110"/>
        <item x="4"/>
        <item x="12"/>
        <item x="13"/>
        <item m="1" x="101"/>
        <item x="27"/>
        <item m="1" x="75"/>
        <item m="1" x="157"/>
        <item x="37"/>
        <item m="1" x="140"/>
        <item x="59"/>
        <item x="63"/>
        <item x="64"/>
        <item m="1" x="124"/>
        <item x="54"/>
        <item m="1" x="99"/>
        <item x="62"/>
        <item m="1" x="100"/>
        <item x="16"/>
        <item m="1" x="111"/>
        <item x="25"/>
        <item x="26"/>
        <item m="1" x="125"/>
        <item m="1" x="129"/>
        <item m="1" x="145"/>
        <item m="1" x="141"/>
        <item x="17"/>
        <item x="58"/>
        <item t="default"/>
      </items>
    </pivotField>
    <pivotField compact="0" numFmtId="37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37" outline="0" subtotalTop="0" showAll="0" includeNewItemsInFilter="1"/>
  </pivotFields>
  <rowFields count="1">
    <field x="4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3"/>
    </i>
    <i>
      <x v="34"/>
    </i>
    <i>
      <x v="35"/>
    </i>
    <i t="grand">
      <x/>
    </i>
  </rowItems>
  <colFields count="1">
    <field x="8"/>
  </colFields>
  <colItems count="14">
    <i>
      <x v="1"/>
    </i>
    <i>
      <x v="4"/>
    </i>
    <i>
      <x v="18"/>
    </i>
    <i>
      <x v="19"/>
    </i>
    <i>
      <x v="20"/>
    </i>
    <i>
      <x v="21"/>
    </i>
    <i>
      <x v="24"/>
    </i>
    <i>
      <x v="39"/>
    </i>
    <i>
      <x v="40"/>
    </i>
    <i>
      <x v="42"/>
    </i>
    <i>
      <x v="43"/>
    </i>
    <i>
      <x v="44"/>
    </i>
    <i>
      <x v="45"/>
    </i>
    <i t="grand">
      <x/>
    </i>
  </colItems>
  <pageFields count="2">
    <pageField fld="1" hier="0"/>
    <pageField fld="10" hier="0"/>
  </pageFields>
  <dataFields count="1">
    <dataField name="Sum of total" fld="14" baseField="0" baseItem="0" numFmtId="41"/>
  </dataFields>
  <formats count="33">
    <format dxfId="81">
      <pivotArea field="5" type="button" dataOnly="0" labelOnly="1" outline="0"/>
    </format>
    <format dxfId="80">
      <pivotArea type="all" dataOnly="0" outline="0" fieldPosition="0"/>
    </format>
    <format dxfId="79">
      <pivotArea type="all" dataOnly="0" outline="0" fieldPosition="0"/>
    </format>
    <format dxfId="78">
      <pivotArea outline="0" fieldPosition="0"/>
    </format>
    <format dxfId="77">
      <pivotArea dataOnly="0" labelOnly="1" outline="0" fieldPosition="0">
        <references count="1">
          <reference field="1" count="0"/>
        </references>
      </pivotArea>
    </format>
    <format dxfId="76">
      <pivotArea dataOnly="0" labelOnly="1" outline="0" fieldPosition="0">
        <references count="1">
          <reference field="10" count="0"/>
        </references>
      </pivotArea>
    </format>
    <format dxfId="75">
      <pivotArea field="8" type="button" dataOnly="0" labelOnly="1" outline="0" axis="axisCol" fieldPosition="0"/>
    </format>
    <format dxfId="74">
      <pivotArea type="topRight" dataOnly="0" labelOnly="1" outline="0" fieldPosition="0"/>
    </format>
    <format dxfId="73">
      <pivotArea dataOnly="0" labelOnly="1" grandCol="1" outline="0" fieldPosition="0"/>
    </format>
    <format dxfId="72">
      <pivotArea field="8" grandRow="1" outline="0" collapsedLevelsAreSubtotals="1" axis="axisCol" fieldPosition="0">
        <references count="1">
          <reference field="8" count="1" selected="0">
            <x v="19"/>
          </reference>
        </references>
      </pivotArea>
    </format>
    <format dxfId="71">
      <pivotArea field="8" grandRow="1" outline="0" collapsedLevelsAreSubtotals="1" axis="axisCol" fieldPosition="0">
        <references count="1">
          <reference field="8" count="1" selected="0">
            <x v="18"/>
          </reference>
        </references>
      </pivotArea>
    </format>
    <format dxfId="70">
      <pivotArea field="8" grandRow="1" outline="0" collapsedLevelsAreSubtotals="1" axis="axisCol" fieldPosition="0">
        <references count="1">
          <reference field="8" count="1" selected="0">
            <x v="18"/>
          </reference>
        </references>
      </pivotArea>
    </format>
    <format dxfId="69">
      <pivotArea field="8" grandRow="1" outline="0" collapsedLevelsAreSubtotals="1" axis="axisCol" fieldPosition="0">
        <references count="1">
          <reference field="8" count="1" selected="0">
            <x v="21"/>
          </reference>
        </references>
      </pivotArea>
    </format>
    <format dxfId="68">
      <pivotArea dataOnly="0" labelOnly="1" outline="0" fieldPosition="0">
        <references count="1">
          <reference field="8" count="1">
            <x v="18"/>
          </reference>
        </references>
      </pivotArea>
    </format>
    <format dxfId="67">
      <pivotArea dataOnly="0" labelOnly="1" outline="0" fieldPosition="0">
        <references count="1">
          <reference field="8" count="1">
            <x v="21"/>
          </reference>
        </references>
      </pivotArea>
    </format>
    <format dxfId="66">
      <pivotArea dataOnly="0" labelOnly="1" outline="0" fieldPosition="0">
        <references count="1">
          <reference field="8" count="1">
            <x v="19"/>
          </reference>
        </references>
      </pivotArea>
    </format>
    <format dxfId="65">
      <pivotArea field="8" grandRow="1" outline="0" collapsedLevelsAreSubtotals="1" axis="axisCol" fieldPosition="0">
        <references count="1">
          <reference field="8" count="1" selected="0">
            <x v="19"/>
          </reference>
        </references>
      </pivotArea>
    </format>
    <format dxfId="64">
      <pivotArea dataOnly="0" outline="0" fieldPosition="0">
        <references count="1">
          <reference field="4" count="8">
            <x v="1"/>
            <x v="3"/>
            <x v="5"/>
            <x v="7"/>
            <x v="9"/>
            <x v="11"/>
            <x v="13"/>
            <x v="15"/>
          </reference>
        </references>
      </pivotArea>
    </format>
    <format dxfId="63">
      <pivotArea outline="0" collapsedLevelsAreSubtotals="1" fieldPosition="0">
        <references count="1">
          <reference field="4" count="1" selected="0">
            <x v="19"/>
          </reference>
        </references>
      </pivotArea>
    </format>
    <format dxfId="62">
      <pivotArea dataOnly="0" labelOnly="1" outline="0" fieldPosition="0">
        <references count="1">
          <reference field="4" count="1">
            <x v="19"/>
          </reference>
        </references>
      </pivotArea>
    </format>
    <format dxfId="61">
      <pivotArea outline="0" collapsedLevelsAreSubtotals="1" fieldPosition="0">
        <references count="1">
          <reference field="4" count="1" selected="0">
            <x v="21"/>
          </reference>
        </references>
      </pivotArea>
    </format>
    <format dxfId="60">
      <pivotArea dataOnly="0" labelOnly="1" outline="0" fieldPosition="0">
        <references count="1">
          <reference field="4" count="1">
            <x v="21"/>
          </reference>
        </references>
      </pivotArea>
    </format>
    <format dxfId="59">
      <pivotArea outline="0" collapsedLevelsAreSubtotals="1" fieldPosition="0">
        <references count="1">
          <reference field="4" count="1" selected="0">
            <x v="23"/>
          </reference>
        </references>
      </pivotArea>
    </format>
    <format dxfId="58">
      <pivotArea dataOnly="0" labelOnly="1" outline="0" fieldPosition="0">
        <references count="1">
          <reference field="4" count="1">
            <x v="23"/>
          </reference>
        </references>
      </pivotArea>
    </format>
    <format dxfId="57">
      <pivotArea outline="0" collapsedLevelsAreSubtotals="1" fieldPosition="0">
        <references count="1">
          <reference field="4" count="1" selected="0">
            <x v="25"/>
          </reference>
        </references>
      </pivotArea>
    </format>
    <format dxfId="56">
      <pivotArea dataOnly="0" labelOnly="1" outline="0" fieldPosition="0">
        <references count="1">
          <reference field="4" count="1">
            <x v="25"/>
          </reference>
        </references>
      </pivotArea>
    </format>
    <format dxfId="55">
      <pivotArea outline="0" collapsedLevelsAreSubtotals="1" fieldPosition="0">
        <references count="1">
          <reference field="4" count="1" selected="0">
            <x v="27"/>
          </reference>
        </references>
      </pivotArea>
    </format>
    <format dxfId="54">
      <pivotArea dataOnly="0" labelOnly="1" outline="0" fieldPosition="0">
        <references count="1">
          <reference field="4" count="1">
            <x v="27"/>
          </reference>
        </references>
      </pivotArea>
    </format>
    <format dxfId="53">
      <pivotArea dataOnly="0" outline="0" fieldPosition="0">
        <references count="1">
          <reference field="4" count="2">
            <x v="29"/>
            <x v="34"/>
          </reference>
        </references>
      </pivotArea>
    </format>
    <format dxfId="52">
      <pivotArea outline="0" collapsedLevelsAreSubtotals="1" fieldPosition="0">
        <references count="2">
          <reference field="4" count="0" selected="0"/>
          <reference field="8" count="1" selected="0">
            <x v="18"/>
          </reference>
        </references>
      </pivotArea>
    </format>
    <format dxfId="51">
      <pivotArea outline="0" collapsedLevelsAreSubtotals="1" fieldPosition="0">
        <references count="2">
          <reference field="4" count="0" selected="0"/>
          <reference field="8" count="1" selected="0">
            <x v="21"/>
          </reference>
        </references>
      </pivotArea>
    </format>
    <format dxfId="50">
      <pivotArea outline="0" collapsedLevelsAreSubtotals="1" fieldPosition="0">
        <references count="2">
          <reference field="4" count="0" selected="0"/>
          <reference field="8" count="1" selected="0">
            <x v="19"/>
          </reference>
        </references>
      </pivotArea>
    </format>
    <format dxfId="49">
      <pivotArea dataOnly="0" labelOnly="1" outline="0" fieldPosition="0">
        <references count="1">
          <reference field="4" count="1">
            <x v="17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PivotTable2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U47:V52" firstHeaderRow="2" firstDataRow="2" firstDataCol="1" rowPageCount="2" colPageCount="1"/>
  <pivotFields count="15">
    <pivotField compact="0" outline="0" subtotalTop="0" showAll="0" includeNewItemsInFilter="1"/>
    <pivotField axis="axisPage" compact="0" outline="0" subtotalTop="0" showAll="0" includeNewItemsInFilter="1">
      <items count="11">
        <item m="1" x="4"/>
        <item m="1" x="7"/>
        <item m="1" x="8"/>
        <item x="1"/>
        <item m="1" x="3"/>
        <item m="1" x="6"/>
        <item m="1" x="9"/>
        <item m="1" x="2"/>
        <item m="1" x="5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7">
        <item x="0"/>
        <item x="2"/>
        <item m="1" x="4"/>
        <item x="1"/>
        <item m="1" x="3"/>
        <item m="1" x="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48">
        <item x="0"/>
        <item m="1" x="14"/>
        <item m="1" x="21"/>
        <item x="12"/>
        <item m="1" x="26"/>
        <item m="1" x="28"/>
        <item m="1" x="30"/>
        <item m="1" x="37"/>
        <item m="1" x="18"/>
        <item m="1" x="19"/>
        <item m="1" x="39"/>
        <item m="1" x="22"/>
        <item m="1" x="24"/>
        <item m="1" x="27"/>
        <item m="1" x="29"/>
        <item m="1" x="32"/>
        <item m="1" x="44"/>
        <item m="1" x="35"/>
        <item x="2"/>
        <item x="3"/>
        <item x="5"/>
        <item x="9"/>
        <item m="1" x="34"/>
        <item m="1" x="31"/>
        <item x="11"/>
        <item m="1" x="40"/>
        <item m="1" x="23"/>
        <item m="1" x="33"/>
        <item m="1" x="38"/>
        <item m="1" x="36"/>
        <item m="1" x="25"/>
        <item m="1" x="41"/>
        <item m="1" x="15"/>
        <item m="1" x="17"/>
        <item m="1" x="46"/>
        <item m="1" x="43"/>
        <item m="1" x="13"/>
        <item m="1" x="42"/>
        <item m="1" x="16"/>
        <item x="6"/>
        <item x="10"/>
        <item m="1" x="45"/>
        <item x="7"/>
        <item x="4"/>
        <item x="1"/>
        <item x="8"/>
        <item m="1" x="20"/>
        <item t="default"/>
      </items>
    </pivotField>
    <pivotField compact="0" outline="0" subtotalTop="0" showAll="0" includeNewItemsInFilter="1"/>
    <pivotField axis="axisPage" compact="0" outline="0" subtotalTop="0" showAll="0" includeNewItemsInFilter="1">
      <items count="180">
        <item x="1"/>
        <item m="1" x="77"/>
        <item x="6"/>
        <item m="1" x="84"/>
        <item x="7"/>
        <item x="8"/>
        <item m="1" x="132"/>
        <item m="1" x="121"/>
        <item x="10"/>
        <item x="9"/>
        <item x="14"/>
        <item m="1" x="161"/>
        <item x="18"/>
        <item x="20"/>
        <item m="1" x="139"/>
        <item m="1" x="89"/>
        <item m="1" x="87"/>
        <item m="1" x="120"/>
        <item m="1" x="66"/>
        <item x="29"/>
        <item x="30"/>
        <item x="34"/>
        <item m="1" x="174"/>
        <item x="38"/>
        <item x="39"/>
        <item x="40"/>
        <item m="1" x="155"/>
        <item m="1" x="173"/>
        <item m="1" x="135"/>
        <item x="44"/>
        <item m="1" x="165"/>
        <item x="48"/>
        <item x="50"/>
        <item m="1" x="83"/>
        <item m="1" x="177"/>
        <item m="1" x="156"/>
        <item x="52"/>
        <item x="53"/>
        <item x="55"/>
        <item m="1" x="134"/>
        <item m="1" x="81"/>
        <item m="1" x="137"/>
        <item x="60"/>
        <item m="1" x="91"/>
        <item m="1" x="164"/>
        <item m="1" x="73"/>
        <item m="1" x="151"/>
        <item m="1" x="86"/>
        <item m="1" x="168"/>
        <item m="1" x="126"/>
        <item m="1" x="107"/>
        <item m="1" x="123"/>
        <item m="1" x="98"/>
        <item m="1" x="96"/>
        <item m="1" x="138"/>
        <item m="1" x="65"/>
        <item m="1" x="78"/>
        <item m="1" x="150"/>
        <item m="1" x="143"/>
        <item m="1" x="93"/>
        <item m="1" x="70"/>
        <item m="1" x="116"/>
        <item m="1" x="95"/>
        <item m="1" x="170"/>
        <item m="1" x="69"/>
        <item m="1" x="117"/>
        <item m="1" x="169"/>
        <item m="1" x="76"/>
        <item m="1" x="176"/>
        <item m="1" x="159"/>
        <item m="1" x="102"/>
        <item m="1" x="149"/>
        <item m="1" x="162"/>
        <item m="1" x="118"/>
        <item m="1" x="154"/>
        <item x="49"/>
        <item m="1" x="74"/>
        <item x="57"/>
        <item m="1" x="106"/>
        <item m="1" x="105"/>
        <item x="41"/>
        <item m="1" x="131"/>
        <item m="1" x="94"/>
        <item m="1" x="127"/>
        <item m="1" x="71"/>
        <item x="5"/>
        <item m="1" x="80"/>
        <item m="1" x="160"/>
        <item m="1" x="90"/>
        <item m="1" x="152"/>
        <item x="3"/>
        <item x="19"/>
        <item x="0"/>
        <item m="1" x="103"/>
        <item x="56"/>
        <item m="1" x="122"/>
        <item x="31"/>
        <item x="32"/>
        <item m="1" x="72"/>
        <item m="1" x="82"/>
        <item m="1" x="133"/>
        <item m="1" x="175"/>
        <item m="1" x="146"/>
        <item x="22"/>
        <item m="1" x="167"/>
        <item x="61"/>
        <item m="1" x="136"/>
        <item m="1" x="172"/>
        <item m="1" x="112"/>
        <item x="43"/>
        <item x="42"/>
        <item m="1" x="108"/>
        <item x="15"/>
        <item x="35"/>
        <item m="1" x="97"/>
        <item m="1" x="158"/>
        <item m="1" x="113"/>
        <item x="45"/>
        <item x="23"/>
        <item m="1" x="68"/>
        <item m="1" x="130"/>
        <item m="1" x="92"/>
        <item m="1" x="85"/>
        <item m="1" x="166"/>
        <item m="1" x="163"/>
        <item m="1" x="147"/>
        <item m="1" x="79"/>
        <item m="1" x="178"/>
        <item m="1" x="148"/>
        <item m="1" x="114"/>
        <item m="1" x="171"/>
        <item m="1" x="88"/>
        <item x="46"/>
        <item x="47"/>
        <item m="1" x="109"/>
        <item m="1" x="142"/>
        <item m="1" x="115"/>
        <item m="1" x="104"/>
        <item m="1" x="153"/>
        <item x="28"/>
        <item x="21"/>
        <item m="1" x="119"/>
        <item x="24"/>
        <item m="1" x="144"/>
        <item m="1" x="128"/>
        <item x="51"/>
        <item x="2"/>
        <item x="33"/>
        <item m="1" x="67"/>
        <item x="36"/>
        <item x="11"/>
        <item m="1" x="110"/>
        <item x="4"/>
        <item x="12"/>
        <item x="13"/>
        <item m="1" x="101"/>
        <item x="27"/>
        <item m="1" x="75"/>
        <item m="1" x="157"/>
        <item x="37"/>
        <item m="1" x="140"/>
        <item x="59"/>
        <item x="63"/>
        <item x="64"/>
        <item m="1" x="124"/>
        <item x="54"/>
        <item m="1" x="99"/>
        <item x="62"/>
        <item m="1" x="100"/>
        <item x="16"/>
        <item m="1" x="111"/>
        <item x="25"/>
        <item x="26"/>
        <item m="1" x="125"/>
        <item m="1" x="129"/>
        <item m="1" x="145"/>
        <item m="1" x="141"/>
        <item x="17"/>
        <item x="58"/>
        <item t="default"/>
      </items>
    </pivotField>
    <pivotField compact="0" numFmtId="37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37" outline="0" subtotalTop="0" showAll="0" includeNewItemsInFilter="1"/>
  </pivotFields>
  <rowFields count="1">
    <field x="5"/>
  </rowFields>
  <rowItems count="4">
    <i>
      <x/>
    </i>
    <i>
      <x v="1"/>
    </i>
    <i>
      <x v="3"/>
    </i>
    <i t="grand">
      <x/>
    </i>
  </rowItems>
  <colItems count="1">
    <i/>
  </colItems>
  <pageFields count="2">
    <pageField fld="1" hier="0"/>
    <pageField fld="10" hier="0"/>
  </pageFields>
  <dataFields count="1">
    <dataField name="Sum of total" fld="14" baseField="0" baseItem="0" numFmtId="41"/>
  </dataFields>
  <formats count="9">
    <format dxfId="90">
      <pivotArea field="5" type="button" dataOnly="0" labelOnly="1" outline="0" axis="axisRow" fieldPosition="0"/>
    </format>
    <format dxfId="89">
      <pivotArea type="all" dataOnly="0" outline="0" fieldPosition="0"/>
    </format>
    <format dxfId="88">
      <pivotArea type="all" dataOnly="0" outline="0" fieldPosition="0"/>
    </format>
    <format dxfId="87">
      <pivotArea outline="0" fieldPosition="0"/>
    </format>
    <format dxfId="86">
      <pivotArea dataOnly="0" labelOnly="1" outline="0" fieldPosition="0">
        <references count="1">
          <reference field="1" count="0"/>
        </references>
      </pivotArea>
    </format>
    <format dxfId="85">
      <pivotArea dataOnly="0" labelOnly="1" outline="0" fieldPosition="0">
        <references count="1">
          <reference field="10" count="0"/>
        </references>
      </pivotArea>
    </format>
    <format dxfId="84">
      <pivotArea field="8" type="button" dataOnly="0" labelOnly="1" outline="0"/>
    </format>
    <format dxfId="83">
      <pivotArea type="topRight" dataOnly="0" labelOnly="1" outline="0" fieldPosition="0"/>
    </format>
    <format dxfId="82">
      <pivotArea dataOnly="0" labelOnly="1" grandCol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7"/>
  <sheetViews>
    <sheetView zoomScale="160" zoomScaleNormal="160" workbookViewId="0">
      <selection activeCell="A2" sqref="A2"/>
    </sheetView>
  </sheetViews>
  <sheetFormatPr defaultColWidth="9.140625" defaultRowHeight="12.75"/>
  <cols>
    <col min="1" max="1" width="9.140625" style="102" customWidth="1"/>
    <col min="2" max="2" width="16.5703125" style="102" bestFit="1" customWidth="1"/>
    <col min="3" max="16384" width="9.140625" style="23"/>
  </cols>
  <sheetData>
    <row r="1" spans="1:2">
      <c r="A1" s="102" t="s">
        <v>49</v>
      </c>
      <c r="B1" s="102" t="s">
        <v>57</v>
      </c>
    </row>
    <row r="2" spans="1:2">
      <c r="A2" s="153" t="s">
        <v>490</v>
      </c>
      <c r="B2" s="152">
        <v>101</v>
      </c>
    </row>
    <row r="3" spans="1:2" s="272" customFormat="1">
      <c r="A3" s="152" t="s">
        <v>464</v>
      </c>
      <c r="B3" s="152">
        <v>123</v>
      </c>
    </row>
    <row r="4" spans="1:2">
      <c r="A4" s="152" t="s">
        <v>257</v>
      </c>
      <c r="B4" s="152" t="s">
        <v>257</v>
      </c>
    </row>
    <row r="5" spans="1:2">
      <c r="A5" s="152" t="s">
        <v>483</v>
      </c>
      <c r="B5" s="152" t="s">
        <v>483</v>
      </c>
    </row>
    <row r="6" spans="1:2">
      <c r="A6" s="152" t="s">
        <v>334</v>
      </c>
      <c r="B6" s="152" t="s">
        <v>258</v>
      </c>
    </row>
    <row r="7" spans="1:2">
      <c r="A7" s="152" t="s">
        <v>335</v>
      </c>
      <c r="B7" s="152" t="s">
        <v>259</v>
      </c>
    </row>
    <row r="8" spans="1:2" s="272" customFormat="1">
      <c r="A8" s="152" t="s">
        <v>260</v>
      </c>
      <c r="B8" s="152" t="s">
        <v>260</v>
      </c>
    </row>
    <row r="9" spans="1:2" s="272" customFormat="1">
      <c r="A9" s="152" t="s">
        <v>459</v>
      </c>
      <c r="B9" s="152" t="s">
        <v>459</v>
      </c>
    </row>
    <row r="10" spans="1:2" s="272" customFormat="1">
      <c r="A10" s="152" t="s">
        <v>337</v>
      </c>
      <c r="B10" s="152" t="s">
        <v>337</v>
      </c>
    </row>
    <row r="11" spans="1:2">
      <c r="A11" s="152" t="s">
        <v>460</v>
      </c>
      <c r="B11" s="152" t="s">
        <v>460</v>
      </c>
    </row>
    <row r="12" spans="1:2">
      <c r="A12" s="152" t="s">
        <v>458</v>
      </c>
      <c r="B12" s="152" t="s">
        <v>458</v>
      </c>
    </row>
    <row r="13" spans="1:2" s="272" customFormat="1">
      <c r="A13" s="152" t="s">
        <v>338</v>
      </c>
      <c r="B13" s="152" t="s">
        <v>338</v>
      </c>
    </row>
    <row r="14" spans="1:2" s="272" customFormat="1">
      <c r="A14" s="152" t="s">
        <v>467</v>
      </c>
      <c r="B14" s="152" t="s">
        <v>467</v>
      </c>
    </row>
    <row r="15" spans="1:2" s="272" customFormat="1">
      <c r="A15" s="152" t="s">
        <v>457</v>
      </c>
      <c r="B15" s="152" t="s">
        <v>457</v>
      </c>
    </row>
    <row r="16" spans="1:2" s="272" customFormat="1">
      <c r="A16" s="152" t="s">
        <v>339</v>
      </c>
      <c r="B16" s="152" t="s">
        <v>339</v>
      </c>
    </row>
    <row r="17" spans="1:2">
      <c r="A17" s="152" t="s">
        <v>461</v>
      </c>
      <c r="B17" s="152" t="s">
        <v>461</v>
      </c>
    </row>
    <row r="18" spans="1:2">
      <c r="A18" s="152" t="s">
        <v>474</v>
      </c>
      <c r="B18" s="152" t="s">
        <v>474</v>
      </c>
    </row>
    <row r="19" spans="1:2">
      <c r="A19" s="152" t="s">
        <v>484</v>
      </c>
      <c r="B19" s="152" t="s">
        <v>484</v>
      </c>
    </row>
    <row r="20" spans="1:2">
      <c r="A20" s="152" t="s">
        <v>471</v>
      </c>
      <c r="B20" s="152" t="s">
        <v>471</v>
      </c>
    </row>
    <row r="21" spans="1:2">
      <c r="A21" s="152" t="s">
        <v>485</v>
      </c>
      <c r="B21" s="152" t="s">
        <v>485</v>
      </c>
    </row>
    <row r="22" spans="1:2">
      <c r="A22" s="152" t="s">
        <v>477</v>
      </c>
      <c r="B22" s="152" t="s">
        <v>477</v>
      </c>
    </row>
    <row r="23" spans="1:2">
      <c r="A23" s="152" t="s">
        <v>486</v>
      </c>
      <c r="B23" s="152" t="s">
        <v>486</v>
      </c>
    </row>
    <row r="24" spans="1:2">
      <c r="A24" s="152" t="s">
        <v>336</v>
      </c>
      <c r="B24" s="152" t="s">
        <v>277</v>
      </c>
    </row>
    <row r="25" spans="1:2">
      <c r="A25" s="151" t="s">
        <v>148</v>
      </c>
      <c r="B25" s="151" t="s">
        <v>148</v>
      </c>
    </row>
    <row r="26" spans="1:2">
      <c r="A26" s="151" t="s">
        <v>261</v>
      </c>
      <c r="B26" s="151" t="s">
        <v>261</v>
      </c>
    </row>
    <row r="27" spans="1:2">
      <c r="A27" s="153" t="s">
        <v>161</v>
      </c>
      <c r="B27" s="152" t="s">
        <v>161</v>
      </c>
    </row>
  </sheetData>
  <phoneticPr fontId="0" type="noConversion"/>
  <pageMargins left="0.75" right="0.75" top="1" bottom="1" header="0.5" footer="0.5"/>
  <pageSetup orientation="portrait" r:id="rId1"/>
  <headerFooter alignWithMargins="0">
    <oddFooter>&amp;L&amp;"Calibri,Regular"&amp;F\&amp;A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-0.249977111117893"/>
    <pageSetUpPr fitToPage="1"/>
  </sheetPr>
  <dimension ref="A1:K383"/>
  <sheetViews>
    <sheetView zoomScale="90" zoomScaleNormal="90" workbookViewId="0">
      <pane ySplit="1" topLeftCell="A241" activePane="bottomLeft" state="frozen"/>
      <selection activeCell="M674" sqref="M674"/>
      <selection pane="bottomLeft" activeCell="G1" sqref="G1:G1048576"/>
    </sheetView>
  </sheetViews>
  <sheetFormatPr defaultColWidth="9.140625" defaultRowHeight="12.75" customHeight="1"/>
  <cols>
    <col min="1" max="1" width="47.85546875" style="26" customWidth="1"/>
    <col min="2" max="2" width="6.42578125" style="26" customWidth="1"/>
    <col min="3" max="3" width="33" style="26" bestFit="1" customWidth="1"/>
    <col min="4" max="4" width="46.5703125" style="26" customWidth="1"/>
    <col min="5" max="5" width="15" style="26" bestFit="1" customWidth="1"/>
    <col min="6" max="6" width="17.140625" style="28" customWidth="1"/>
    <col min="7" max="7" width="16.42578125" style="28" customWidth="1"/>
    <col min="8" max="8" width="16.42578125" style="28" bestFit="1" customWidth="1"/>
    <col min="9" max="10" width="12.85546875" style="125" customWidth="1"/>
    <col min="11" max="11" width="11.5703125" style="26" bestFit="1" customWidth="1"/>
    <col min="12" max="13" width="9.140625" style="26"/>
    <col min="14" max="14" width="16.42578125" style="26" bestFit="1" customWidth="1"/>
    <col min="15" max="15" width="9.140625" style="26"/>
    <col min="16" max="16" width="10.5703125" style="26" bestFit="1" customWidth="1"/>
    <col min="17" max="16384" width="9.140625" style="26"/>
  </cols>
  <sheetData>
    <row r="1" spans="1:11" s="68" customFormat="1" ht="12.75" customHeight="1">
      <c r="A1" s="68" t="s">
        <v>113</v>
      </c>
      <c r="B1" s="68" t="s">
        <v>5</v>
      </c>
      <c r="C1" s="117" t="s">
        <v>72</v>
      </c>
      <c r="D1" s="117" t="s">
        <v>73</v>
      </c>
      <c r="E1" s="117" t="s">
        <v>74</v>
      </c>
      <c r="F1" s="118" t="s">
        <v>154</v>
      </c>
      <c r="G1" s="118"/>
      <c r="H1" s="118" t="s">
        <v>69</v>
      </c>
      <c r="I1" s="119" t="s">
        <v>75</v>
      </c>
      <c r="J1" s="119" t="s">
        <v>76</v>
      </c>
    </row>
    <row r="2" spans="1:11" ht="12.75" customHeight="1">
      <c r="A2" s="26" t="str">
        <f t="shared" ref="A2:A33" si="0">B2&amp;D2&amp;E2</f>
        <v>28Basic Food Employment and Training Grant128-BFET-15</v>
      </c>
      <c r="B2" s="120" t="s">
        <v>114</v>
      </c>
      <c r="C2" s="169" t="s">
        <v>86</v>
      </c>
      <c r="D2" s="280" t="s">
        <v>240</v>
      </c>
      <c r="E2" s="280" t="s">
        <v>347</v>
      </c>
      <c r="F2" s="282">
        <v>0</v>
      </c>
      <c r="G2" s="170"/>
      <c r="H2" s="170">
        <f t="shared" ref="H2:H9" si="1">F2+G2</f>
        <v>0</v>
      </c>
      <c r="I2" s="171">
        <v>41913</v>
      </c>
      <c r="J2" s="171">
        <v>42277</v>
      </c>
      <c r="K2" s="124"/>
    </row>
    <row r="3" spans="1:11" ht="12.75" customHeight="1">
      <c r="A3" s="26" t="str">
        <f t="shared" si="0"/>
        <v>28BEdA Leadership Block Grant128-BLBG-16</v>
      </c>
      <c r="B3" s="120" t="s">
        <v>114</v>
      </c>
      <c r="C3" s="169" t="s">
        <v>86</v>
      </c>
      <c r="D3" s="280" t="s">
        <v>497</v>
      </c>
      <c r="E3" s="280" t="s">
        <v>499</v>
      </c>
      <c r="F3" s="282">
        <v>0</v>
      </c>
      <c r="G3" s="170"/>
      <c r="H3" s="170">
        <f t="shared" si="1"/>
        <v>0</v>
      </c>
      <c r="I3" s="171">
        <v>42186</v>
      </c>
      <c r="J3" s="171">
        <v>42551</v>
      </c>
      <c r="K3" s="124"/>
    </row>
    <row r="4" spans="1:11" ht="12.75" customHeight="1">
      <c r="A4" s="26" t="str">
        <f t="shared" si="0"/>
        <v>28BEdA Master Grant128-BEDA-16</v>
      </c>
      <c r="B4" s="120" t="s">
        <v>114</v>
      </c>
      <c r="C4" s="169" t="s">
        <v>86</v>
      </c>
      <c r="D4" s="280" t="s">
        <v>498</v>
      </c>
      <c r="E4" s="280" t="s">
        <v>500</v>
      </c>
      <c r="F4" s="282">
        <v>0</v>
      </c>
      <c r="G4" s="170"/>
      <c r="H4" s="170">
        <f t="shared" si="1"/>
        <v>0</v>
      </c>
      <c r="I4" s="171">
        <v>42186</v>
      </c>
      <c r="J4" s="171">
        <v>42551</v>
      </c>
      <c r="K4" s="124"/>
    </row>
    <row r="5" spans="1:11" ht="12.75" customHeight="1">
      <c r="A5" s="26" t="str">
        <f t="shared" si="0"/>
        <v>28BEdA State Plan Innovations Grant128-BSPI-15</v>
      </c>
      <c r="B5" s="120" t="s">
        <v>114</v>
      </c>
      <c r="C5" s="121" t="s">
        <v>86</v>
      </c>
      <c r="D5" s="280" t="s">
        <v>412</v>
      </c>
      <c r="E5" s="280" t="s">
        <v>413</v>
      </c>
      <c r="F5" s="282">
        <v>0</v>
      </c>
      <c r="G5" s="170"/>
      <c r="H5" s="170">
        <f t="shared" si="1"/>
        <v>0</v>
      </c>
      <c r="I5" s="125">
        <v>41944</v>
      </c>
      <c r="J5" s="125">
        <v>42551</v>
      </c>
      <c r="K5" s="124"/>
    </row>
    <row r="6" spans="1:11" ht="12.75" customHeight="1">
      <c r="A6" s="26" t="str">
        <f t="shared" si="0"/>
        <v>28Early Achievers Opportunity Grant Application128-EAOG-16</v>
      </c>
      <c r="B6" s="120" t="s">
        <v>114</v>
      </c>
      <c r="C6" s="121" t="s">
        <v>86</v>
      </c>
      <c r="D6" s="280" t="s">
        <v>241</v>
      </c>
      <c r="E6" s="280" t="s">
        <v>501</v>
      </c>
      <c r="F6" s="282">
        <v>0</v>
      </c>
      <c r="G6" s="170"/>
      <c r="H6" s="170">
        <f t="shared" si="1"/>
        <v>0</v>
      </c>
      <c r="I6" s="125">
        <v>42186</v>
      </c>
      <c r="J6" s="125">
        <v>42551</v>
      </c>
      <c r="K6" s="124"/>
    </row>
    <row r="7" spans="1:11" ht="12.75" customHeight="1">
      <c r="A7" s="26" t="str">
        <f t="shared" si="0"/>
        <v>28Perkins Leadership Block Grant128-PLB-16</v>
      </c>
      <c r="B7" s="120" t="s">
        <v>114</v>
      </c>
      <c r="C7" s="121" t="s">
        <v>86</v>
      </c>
      <c r="D7" s="280" t="s">
        <v>233</v>
      </c>
      <c r="E7" s="280" t="s">
        <v>502</v>
      </c>
      <c r="F7" s="282">
        <v>0</v>
      </c>
      <c r="G7" s="170"/>
      <c r="H7" s="170">
        <f t="shared" si="1"/>
        <v>0</v>
      </c>
      <c r="I7" s="125">
        <v>42186</v>
      </c>
      <c r="J7" s="125">
        <v>42551</v>
      </c>
      <c r="K7" s="124"/>
    </row>
    <row r="8" spans="1:11" ht="12.75" customHeight="1">
      <c r="A8" s="26" t="str">
        <f t="shared" si="0"/>
        <v>28Perkins Plan128-PRK-16</v>
      </c>
      <c r="B8" s="120" t="s">
        <v>114</v>
      </c>
      <c r="C8" s="121" t="s">
        <v>86</v>
      </c>
      <c r="D8" s="280" t="s">
        <v>231</v>
      </c>
      <c r="E8" s="280" t="s">
        <v>503</v>
      </c>
      <c r="F8" s="282">
        <v>0</v>
      </c>
      <c r="G8" s="170"/>
      <c r="H8" s="170">
        <f t="shared" si="1"/>
        <v>0</v>
      </c>
      <c r="I8" s="125">
        <v>42186</v>
      </c>
      <c r="J8" s="125">
        <v>42551</v>
      </c>
      <c r="K8" s="124"/>
    </row>
    <row r="9" spans="1:11" ht="12.75" customHeight="1">
      <c r="A9" s="26" t="str">
        <f t="shared" si="0"/>
        <v>28WorkFirst Delivery Agreement128-WFDA-16</v>
      </c>
      <c r="B9" s="120" t="s">
        <v>114</v>
      </c>
      <c r="C9" s="121" t="s">
        <v>86</v>
      </c>
      <c r="D9" s="280" t="s">
        <v>232</v>
      </c>
      <c r="E9" s="280" t="s">
        <v>504</v>
      </c>
      <c r="F9" s="282">
        <v>0</v>
      </c>
      <c r="G9" s="170"/>
      <c r="H9" s="170">
        <f t="shared" si="1"/>
        <v>0</v>
      </c>
      <c r="I9" s="125">
        <v>42186</v>
      </c>
      <c r="J9" s="125">
        <v>42551</v>
      </c>
      <c r="K9" s="124"/>
    </row>
    <row r="10" spans="1:11" ht="12.75" customHeight="1">
      <c r="A10" s="24" t="str">
        <f t="shared" si="0"/>
        <v>28</v>
      </c>
      <c r="B10" s="126" t="s">
        <v>114</v>
      </c>
      <c r="C10" s="136" t="s">
        <v>86</v>
      </c>
      <c r="D10" s="127"/>
      <c r="E10" s="127"/>
      <c r="F10" s="284"/>
      <c r="G10" s="284"/>
      <c r="H10" s="128"/>
      <c r="I10" s="129"/>
      <c r="J10" s="129"/>
      <c r="K10" s="124"/>
    </row>
    <row r="11" spans="1:11" ht="12.75" customHeight="1">
      <c r="A11" s="26" t="str">
        <f t="shared" si="0"/>
        <v>8Basic Food Employment and Training Grant108-BFET-15</v>
      </c>
      <c r="B11" s="120" t="s">
        <v>122</v>
      </c>
      <c r="C11" s="172" t="s">
        <v>165</v>
      </c>
      <c r="D11" s="280" t="s">
        <v>240</v>
      </c>
      <c r="E11" s="280" t="s">
        <v>348</v>
      </c>
      <c r="F11" s="282">
        <v>0</v>
      </c>
      <c r="G11" s="170"/>
      <c r="H11" s="170">
        <f t="shared" ref="H11:H20" si="2">F11+G11</f>
        <v>0</v>
      </c>
      <c r="I11" s="171">
        <v>41913</v>
      </c>
      <c r="J11" s="171">
        <v>42277</v>
      </c>
      <c r="K11" s="124"/>
    </row>
    <row r="12" spans="1:11" ht="12.75" customHeight="1">
      <c r="A12" s="26" t="str">
        <f t="shared" si="0"/>
        <v>8BEdA Leadership Block Grant108-BLBG-16</v>
      </c>
      <c r="B12" s="120" t="s">
        <v>122</v>
      </c>
      <c r="C12" s="172" t="s">
        <v>165</v>
      </c>
      <c r="D12" s="280" t="s">
        <v>497</v>
      </c>
      <c r="E12" s="280" t="s">
        <v>507</v>
      </c>
      <c r="F12" s="282">
        <v>0</v>
      </c>
      <c r="G12" s="170"/>
      <c r="H12" s="170">
        <f t="shared" si="2"/>
        <v>0</v>
      </c>
      <c r="I12" s="171">
        <v>42186</v>
      </c>
      <c r="J12" s="171">
        <v>42551</v>
      </c>
      <c r="K12" s="124"/>
    </row>
    <row r="13" spans="1:11" ht="12.75" customHeight="1">
      <c r="A13" s="26" t="str">
        <f t="shared" si="0"/>
        <v>8BEdA Master Grant108-BEDA-16</v>
      </c>
      <c r="B13" s="120" t="s">
        <v>122</v>
      </c>
      <c r="C13" s="172" t="s">
        <v>165</v>
      </c>
      <c r="D13" s="280" t="s">
        <v>498</v>
      </c>
      <c r="E13" s="280" t="s">
        <v>508</v>
      </c>
      <c r="F13" s="282">
        <v>0</v>
      </c>
      <c r="G13" s="170"/>
      <c r="H13" s="170">
        <f t="shared" si="2"/>
        <v>0</v>
      </c>
      <c r="I13" s="171">
        <v>42186</v>
      </c>
      <c r="J13" s="171">
        <v>42551</v>
      </c>
      <c r="K13" s="124"/>
    </row>
    <row r="14" spans="1:11" ht="12.75" customHeight="1">
      <c r="A14" s="26" t="str">
        <f t="shared" si="0"/>
        <v>8BEdA Program – EL Civics Grant Budget108-ELC-16</v>
      </c>
      <c r="B14" s="120" t="s">
        <v>122</v>
      </c>
      <c r="C14" s="172" t="s">
        <v>165</v>
      </c>
      <c r="D14" s="280" t="s">
        <v>505</v>
      </c>
      <c r="E14" s="280" t="s">
        <v>509</v>
      </c>
      <c r="F14" s="282">
        <v>0</v>
      </c>
      <c r="G14" s="170"/>
      <c r="H14" s="170">
        <f t="shared" si="2"/>
        <v>0</v>
      </c>
      <c r="I14" s="171">
        <v>42186</v>
      </c>
      <c r="J14" s="171">
        <v>42551</v>
      </c>
      <c r="K14" s="124"/>
    </row>
    <row r="15" spans="1:11" ht="12.75" customHeight="1">
      <c r="A15" s="26" t="str">
        <f t="shared" si="0"/>
        <v>8Early Achievers Opportunity Grant Application108-EAOG-16</v>
      </c>
      <c r="B15" s="120" t="s">
        <v>122</v>
      </c>
      <c r="C15" s="172" t="s">
        <v>165</v>
      </c>
      <c r="D15" s="280" t="s">
        <v>241</v>
      </c>
      <c r="E15" s="280" t="s">
        <v>510</v>
      </c>
      <c r="F15" s="282">
        <v>0</v>
      </c>
      <c r="G15" s="170"/>
      <c r="H15" s="170">
        <f t="shared" si="2"/>
        <v>0</v>
      </c>
      <c r="I15" s="171">
        <v>42186</v>
      </c>
      <c r="J15" s="171">
        <v>42551</v>
      </c>
      <c r="K15" s="124"/>
    </row>
    <row r="16" spans="1:11" ht="12.75" customHeight="1">
      <c r="A16" s="26" t="str">
        <f t="shared" si="0"/>
        <v>8Perkins Leadership Block Grant108-PLB-16</v>
      </c>
      <c r="B16" s="120" t="s">
        <v>122</v>
      </c>
      <c r="C16" s="172" t="s">
        <v>165</v>
      </c>
      <c r="D16" s="280" t="s">
        <v>233</v>
      </c>
      <c r="E16" s="280" t="s">
        <v>511</v>
      </c>
      <c r="F16" s="282">
        <v>0</v>
      </c>
      <c r="G16" s="170"/>
      <c r="H16" s="170">
        <f t="shared" si="2"/>
        <v>0</v>
      </c>
      <c r="I16" s="171">
        <v>42186</v>
      </c>
      <c r="J16" s="171">
        <v>42551</v>
      </c>
      <c r="K16" s="124"/>
    </row>
    <row r="17" spans="1:11" ht="12.75" customHeight="1">
      <c r="A17" s="26" t="str">
        <f t="shared" si="0"/>
        <v>8Perkins Plan108-PRK-16</v>
      </c>
      <c r="B17" s="120" t="s">
        <v>122</v>
      </c>
      <c r="C17" s="172" t="s">
        <v>165</v>
      </c>
      <c r="D17" s="280" t="s">
        <v>231</v>
      </c>
      <c r="E17" s="280" t="s">
        <v>512</v>
      </c>
      <c r="F17" s="282">
        <v>0</v>
      </c>
      <c r="G17" s="170"/>
      <c r="H17" s="170">
        <f t="shared" si="2"/>
        <v>0</v>
      </c>
      <c r="I17" s="171">
        <v>42186</v>
      </c>
      <c r="J17" s="171">
        <v>42551</v>
      </c>
      <c r="K17" s="124"/>
    </row>
    <row r="18" spans="1:11" ht="12.75" customHeight="1">
      <c r="A18" s="26" t="str">
        <f t="shared" si="0"/>
        <v>8Phase III I-DEA Grant108-IDEA-16</v>
      </c>
      <c r="B18" s="120" t="s">
        <v>122</v>
      </c>
      <c r="C18" s="172" t="s">
        <v>165</v>
      </c>
      <c r="D18" s="280" t="s">
        <v>506</v>
      </c>
      <c r="E18" s="280" t="s">
        <v>513</v>
      </c>
      <c r="F18" s="282">
        <v>0</v>
      </c>
      <c r="G18" s="170"/>
      <c r="H18" s="170">
        <f t="shared" si="2"/>
        <v>0</v>
      </c>
      <c r="I18" s="171">
        <v>42186</v>
      </c>
      <c r="J18" s="171">
        <v>42551</v>
      </c>
      <c r="K18" s="124"/>
    </row>
    <row r="19" spans="1:11" ht="12.75" customHeight="1">
      <c r="A19" s="26" t="str">
        <f t="shared" si="0"/>
        <v>8Transcript Grid for Placement Project108-TG-15</v>
      </c>
      <c r="B19" s="120" t="s">
        <v>122</v>
      </c>
      <c r="C19" s="172" t="s">
        <v>165</v>
      </c>
      <c r="D19" s="280" t="s">
        <v>429</v>
      </c>
      <c r="E19" s="280" t="s">
        <v>514</v>
      </c>
      <c r="F19" s="282">
        <v>0</v>
      </c>
      <c r="G19" s="170"/>
      <c r="H19" s="170">
        <f t="shared" si="2"/>
        <v>0</v>
      </c>
      <c r="I19" s="175">
        <v>42005</v>
      </c>
      <c r="J19" s="175">
        <v>42247</v>
      </c>
      <c r="K19" s="124"/>
    </row>
    <row r="20" spans="1:11" ht="12.75" customHeight="1">
      <c r="A20" s="26" t="str">
        <f t="shared" si="0"/>
        <v>8WorkFirst Delivery Agreement108-WFDA-16</v>
      </c>
      <c r="B20" s="120" t="s">
        <v>122</v>
      </c>
      <c r="C20" s="133" t="s">
        <v>165</v>
      </c>
      <c r="D20" s="280" t="s">
        <v>232</v>
      </c>
      <c r="E20" s="280" t="s">
        <v>515</v>
      </c>
      <c r="F20" s="282">
        <v>0</v>
      </c>
      <c r="G20" s="122"/>
      <c r="H20" s="170">
        <f t="shared" si="2"/>
        <v>0</v>
      </c>
      <c r="I20" s="123">
        <v>42186</v>
      </c>
      <c r="J20" s="123">
        <v>42551</v>
      </c>
      <c r="K20" s="124"/>
    </row>
    <row r="21" spans="1:11" ht="12.75" customHeight="1">
      <c r="A21" s="24" t="str">
        <f t="shared" si="0"/>
        <v>8</v>
      </c>
      <c r="B21" s="126" t="s">
        <v>122</v>
      </c>
      <c r="C21" s="136" t="s">
        <v>165</v>
      </c>
      <c r="D21" s="127"/>
      <c r="E21" s="127"/>
      <c r="F21" s="284"/>
      <c r="G21" s="284"/>
      <c r="H21" s="128"/>
      <c r="I21" s="129"/>
      <c r="J21" s="129"/>
      <c r="K21" s="124"/>
    </row>
    <row r="22" spans="1:11" ht="12.75" customHeight="1">
      <c r="A22" s="26" t="str">
        <f t="shared" si="0"/>
        <v>25Basic Food Employment and Training Grant125-BFET-15</v>
      </c>
      <c r="B22" s="120" t="s">
        <v>139</v>
      </c>
      <c r="C22" s="176" t="s">
        <v>87</v>
      </c>
      <c r="D22" s="280" t="s">
        <v>240</v>
      </c>
      <c r="E22" s="280" t="s">
        <v>349</v>
      </c>
      <c r="F22" s="285"/>
      <c r="G22" s="170"/>
      <c r="H22" s="170">
        <f t="shared" ref="H22:H29" si="3">F22+G22</f>
        <v>0</v>
      </c>
      <c r="I22" s="171">
        <v>41913</v>
      </c>
      <c r="J22" s="171">
        <v>42277</v>
      </c>
      <c r="K22" s="124"/>
    </row>
    <row r="23" spans="1:11" ht="12.75" customHeight="1">
      <c r="A23" s="26" t="str">
        <f t="shared" si="0"/>
        <v>25BEdA Leadership Block Grant125-BLBG-16</v>
      </c>
      <c r="B23" s="120" t="s">
        <v>139</v>
      </c>
      <c r="C23" s="176" t="s">
        <v>87</v>
      </c>
      <c r="D23" s="280" t="s">
        <v>497</v>
      </c>
      <c r="E23" s="280" t="s">
        <v>516</v>
      </c>
      <c r="F23" s="285"/>
      <c r="G23" s="170"/>
      <c r="H23" s="170">
        <f t="shared" si="3"/>
        <v>0</v>
      </c>
      <c r="I23" s="171">
        <v>42186</v>
      </c>
      <c r="J23" s="171">
        <v>42551</v>
      </c>
      <c r="K23" s="124"/>
    </row>
    <row r="24" spans="1:11" ht="12.75" customHeight="1">
      <c r="A24" s="26" t="str">
        <f t="shared" si="0"/>
        <v>25BEdA Master Grant125-BEDA-16</v>
      </c>
      <c r="B24" s="120" t="s">
        <v>139</v>
      </c>
      <c r="C24" s="121" t="s">
        <v>87</v>
      </c>
      <c r="D24" s="280" t="s">
        <v>498</v>
      </c>
      <c r="E24" s="280" t="s">
        <v>517</v>
      </c>
      <c r="F24" s="285"/>
      <c r="G24" s="122"/>
      <c r="H24" s="170">
        <f t="shared" si="3"/>
        <v>0</v>
      </c>
      <c r="I24" s="125">
        <v>42186</v>
      </c>
      <c r="J24" s="125">
        <v>42551</v>
      </c>
      <c r="K24" s="124"/>
    </row>
    <row r="25" spans="1:11" ht="12.75" customHeight="1">
      <c r="A25" s="26" t="str">
        <f t="shared" si="0"/>
        <v>25BEdA Program – EL Civics Grant Budget125-ELC-16</v>
      </c>
      <c r="B25" s="120" t="s">
        <v>139</v>
      </c>
      <c r="C25" s="121" t="s">
        <v>87</v>
      </c>
      <c r="D25" s="280" t="s">
        <v>505</v>
      </c>
      <c r="E25" s="280" t="s">
        <v>518</v>
      </c>
      <c r="F25" s="285"/>
      <c r="G25" s="122"/>
      <c r="H25" s="170">
        <f t="shared" si="3"/>
        <v>0</v>
      </c>
      <c r="I25" s="125">
        <v>42186</v>
      </c>
      <c r="J25" s="125">
        <v>42551</v>
      </c>
      <c r="K25" s="124"/>
    </row>
    <row r="26" spans="1:11" ht="12.75" customHeight="1">
      <c r="A26" s="26" t="str">
        <f t="shared" si="0"/>
        <v>25I-DEA Grant125-IDEA-15</v>
      </c>
      <c r="B26" s="120" t="s">
        <v>139</v>
      </c>
      <c r="C26" s="121" t="s">
        <v>87</v>
      </c>
      <c r="D26" s="280" t="s">
        <v>242</v>
      </c>
      <c r="E26" s="280" t="s">
        <v>350</v>
      </c>
      <c r="F26" s="285"/>
      <c r="G26" s="122"/>
      <c r="H26" s="170">
        <f t="shared" si="3"/>
        <v>0</v>
      </c>
      <c r="I26" s="125">
        <v>41821</v>
      </c>
      <c r="J26" s="125">
        <v>42551</v>
      </c>
      <c r="K26" s="124"/>
    </row>
    <row r="27" spans="1:11" ht="12.75" customHeight="1">
      <c r="A27" s="26" t="str">
        <f t="shared" si="0"/>
        <v>25Perkins Leadership Block Grant125-PLB-16</v>
      </c>
      <c r="B27" s="120" t="s">
        <v>139</v>
      </c>
      <c r="C27" s="121" t="s">
        <v>87</v>
      </c>
      <c r="D27" s="280" t="s">
        <v>233</v>
      </c>
      <c r="E27" s="280" t="s">
        <v>519</v>
      </c>
      <c r="F27" s="285"/>
      <c r="G27" s="122"/>
      <c r="H27" s="170">
        <f t="shared" si="3"/>
        <v>0</v>
      </c>
      <c r="I27" s="125">
        <v>42208</v>
      </c>
      <c r="J27" s="125">
        <v>42551</v>
      </c>
      <c r="K27" s="124"/>
    </row>
    <row r="28" spans="1:11" ht="12.75" customHeight="1">
      <c r="A28" s="26" t="str">
        <f t="shared" si="0"/>
        <v>25Perkins Plan125-PRK-16</v>
      </c>
      <c r="B28" s="120" t="s">
        <v>139</v>
      </c>
      <c r="C28" s="121" t="s">
        <v>87</v>
      </c>
      <c r="D28" s="280" t="s">
        <v>231</v>
      </c>
      <c r="E28" s="280" t="s">
        <v>520</v>
      </c>
      <c r="F28" s="285"/>
      <c r="G28" s="122"/>
      <c r="H28" s="170">
        <f t="shared" si="3"/>
        <v>0</v>
      </c>
      <c r="I28" s="125">
        <v>42186</v>
      </c>
      <c r="J28" s="125">
        <v>42551</v>
      </c>
      <c r="K28" s="124"/>
    </row>
    <row r="29" spans="1:11" ht="12.75" customHeight="1">
      <c r="A29" s="26" t="str">
        <f t="shared" si="0"/>
        <v>25WorkFirst Delivery Agreement125-WFDA-16</v>
      </c>
      <c r="B29" s="120" t="s">
        <v>139</v>
      </c>
      <c r="C29" s="121" t="s">
        <v>87</v>
      </c>
      <c r="D29" s="280" t="s">
        <v>232</v>
      </c>
      <c r="E29" s="280" t="s">
        <v>521</v>
      </c>
      <c r="F29" s="285"/>
      <c r="G29" s="122"/>
      <c r="H29" s="170">
        <f t="shared" si="3"/>
        <v>0</v>
      </c>
      <c r="I29" s="125">
        <v>42186</v>
      </c>
      <c r="J29" s="125">
        <v>42551</v>
      </c>
      <c r="K29" s="124"/>
    </row>
    <row r="30" spans="1:11" ht="12.75" customHeight="1">
      <c r="A30" s="24" t="str">
        <f t="shared" si="0"/>
        <v>25</v>
      </c>
      <c r="B30" s="126" t="s">
        <v>139</v>
      </c>
      <c r="C30" s="127" t="s">
        <v>87</v>
      </c>
      <c r="D30" s="127"/>
      <c r="E30" s="127"/>
      <c r="F30" s="284"/>
      <c r="G30" s="284"/>
      <c r="H30" s="128"/>
      <c r="I30" s="129"/>
      <c r="J30" s="129"/>
      <c r="K30" s="124"/>
    </row>
    <row r="31" spans="1:11" ht="12.75" customHeight="1">
      <c r="A31" s="26" t="str">
        <f t="shared" si="0"/>
        <v>18Basic Food Employment and Training Grant118-BFET-15</v>
      </c>
      <c r="B31" s="120" t="s">
        <v>132</v>
      </c>
      <c r="C31" s="176" t="s">
        <v>77</v>
      </c>
      <c r="D31" s="280" t="s">
        <v>240</v>
      </c>
      <c r="E31" s="280" t="s">
        <v>351</v>
      </c>
      <c r="F31" s="282"/>
      <c r="G31" s="170"/>
      <c r="H31" s="170">
        <f t="shared" ref="H31:H40" si="4">F31+G31</f>
        <v>0</v>
      </c>
      <c r="I31" s="171">
        <v>41913</v>
      </c>
      <c r="J31" s="171">
        <v>42277</v>
      </c>
      <c r="K31" s="124"/>
    </row>
    <row r="32" spans="1:11" ht="12.75" customHeight="1">
      <c r="A32" s="26" t="str">
        <f t="shared" si="0"/>
        <v>18BEdA Leadership Block Grant118-BLBG-16</v>
      </c>
      <c r="B32" s="120" t="s">
        <v>132</v>
      </c>
      <c r="C32" s="176" t="s">
        <v>77</v>
      </c>
      <c r="D32" s="280" t="s">
        <v>497</v>
      </c>
      <c r="E32" s="280" t="s">
        <v>522</v>
      </c>
      <c r="F32" s="282"/>
      <c r="G32" s="170"/>
      <c r="H32" s="170">
        <f t="shared" si="4"/>
        <v>0</v>
      </c>
      <c r="I32" s="171">
        <v>42186</v>
      </c>
      <c r="J32" s="171">
        <v>42551</v>
      </c>
      <c r="K32" s="124"/>
    </row>
    <row r="33" spans="1:11" ht="12.75" customHeight="1">
      <c r="A33" s="26" t="str">
        <f t="shared" si="0"/>
        <v>18BEdA Master Grant118-BEDA-16</v>
      </c>
      <c r="B33" s="120" t="s">
        <v>132</v>
      </c>
      <c r="C33" s="176" t="s">
        <v>77</v>
      </c>
      <c r="D33" s="280" t="s">
        <v>498</v>
      </c>
      <c r="E33" s="280" t="s">
        <v>523</v>
      </c>
      <c r="F33" s="282"/>
      <c r="G33" s="170"/>
      <c r="H33" s="170">
        <f t="shared" si="4"/>
        <v>0</v>
      </c>
      <c r="I33" s="171">
        <v>42186</v>
      </c>
      <c r="J33" s="171">
        <v>42551</v>
      </c>
      <c r="K33" s="124"/>
    </row>
    <row r="34" spans="1:11" ht="12.75" customHeight="1">
      <c r="A34" s="26" t="str">
        <f t="shared" ref="A34:A65" si="5">B34&amp;D34&amp;E34</f>
        <v>18BEdA Program – EL Civics Grant Budget118-ELC-16</v>
      </c>
      <c r="B34" s="120" t="s">
        <v>132</v>
      </c>
      <c r="C34" s="176" t="s">
        <v>77</v>
      </c>
      <c r="D34" s="280" t="s">
        <v>505</v>
      </c>
      <c r="E34" s="280" t="s">
        <v>524</v>
      </c>
      <c r="F34" s="282"/>
      <c r="G34" s="170"/>
      <c r="H34" s="170">
        <f t="shared" si="4"/>
        <v>0</v>
      </c>
      <c r="I34" s="171">
        <v>42186</v>
      </c>
      <c r="J34" s="171">
        <v>42551</v>
      </c>
      <c r="K34" s="124"/>
    </row>
    <row r="35" spans="1:11" ht="12.75" customHeight="1">
      <c r="A35" s="26" t="str">
        <f t="shared" si="5"/>
        <v>18BEdA State Plan Innovations Grant118-BSPI-15</v>
      </c>
      <c r="B35" s="120" t="s">
        <v>132</v>
      </c>
      <c r="C35" s="176" t="s">
        <v>77</v>
      </c>
      <c r="D35" s="280" t="s">
        <v>412</v>
      </c>
      <c r="E35" s="280" t="s">
        <v>414</v>
      </c>
      <c r="F35" s="282"/>
      <c r="G35" s="170"/>
      <c r="H35" s="170">
        <f t="shared" si="4"/>
        <v>0</v>
      </c>
      <c r="I35" s="171">
        <v>41944</v>
      </c>
      <c r="J35" s="171">
        <v>42551</v>
      </c>
      <c r="K35" s="124"/>
    </row>
    <row r="36" spans="1:11" ht="12.75" customHeight="1">
      <c r="A36" s="26" t="str">
        <f t="shared" si="5"/>
        <v>18I-DEA Grant118-IDEA-13</v>
      </c>
      <c r="B36" s="120" t="s">
        <v>132</v>
      </c>
      <c r="C36" s="176" t="s">
        <v>77</v>
      </c>
      <c r="D36" s="280" t="s">
        <v>242</v>
      </c>
      <c r="E36" s="280" t="s">
        <v>243</v>
      </c>
      <c r="F36" s="282"/>
      <c r="G36" s="170"/>
      <c r="H36" s="170">
        <f t="shared" si="4"/>
        <v>0</v>
      </c>
      <c r="I36" s="171">
        <v>41275</v>
      </c>
      <c r="J36" s="171">
        <v>42551</v>
      </c>
      <c r="K36" s="124"/>
    </row>
    <row r="37" spans="1:11" ht="12.75" customHeight="1">
      <c r="A37" s="26" t="str">
        <f t="shared" si="5"/>
        <v>18Job Skills Program Grant118-JSP-16SH</v>
      </c>
      <c r="B37" s="120" t="s">
        <v>132</v>
      </c>
      <c r="C37" s="176" t="s">
        <v>77</v>
      </c>
      <c r="D37" s="280" t="s">
        <v>269</v>
      </c>
      <c r="E37" s="280" t="s">
        <v>525</v>
      </c>
      <c r="F37" s="282"/>
      <c r="G37" s="170"/>
      <c r="H37" s="170">
        <f t="shared" si="4"/>
        <v>0</v>
      </c>
      <c r="I37" s="178">
        <v>42186</v>
      </c>
      <c r="J37" s="178">
        <v>42916</v>
      </c>
      <c r="K37" s="124"/>
    </row>
    <row r="38" spans="1:11" ht="12.75" customHeight="1">
      <c r="A38" s="26" t="str">
        <f t="shared" si="5"/>
        <v>18Perkins Plan118-PRK-16</v>
      </c>
      <c r="B38" s="120" t="s">
        <v>132</v>
      </c>
      <c r="C38" s="176" t="s">
        <v>77</v>
      </c>
      <c r="D38" s="280" t="s">
        <v>231</v>
      </c>
      <c r="E38" s="280" t="s">
        <v>526</v>
      </c>
      <c r="F38" s="282"/>
      <c r="G38" s="170"/>
      <c r="H38" s="170">
        <f t="shared" si="4"/>
        <v>0</v>
      </c>
      <c r="I38" s="178">
        <v>42186</v>
      </c>
      <c r="J38" s="178">
        <v>42551</v>
      </c>
      <c r="K38" s="124"/>
    </row>
    <row r="39" spans="1:11" ht="12.75" customHeight="1">
      <c r="A39" s="26" t="str">
        <f t="shared" si="5"/>
        <v>18Transcript Grid for Placement Project118-TG-15</v>
      </c>
      <c r="B39" s="120" t="s">
        <v>132</v>
      </c>
      <c r="C39" s="176" t="s">
        <v>77</v>
      </c>
      <c r="D39" s="280" t="s">
        <v>429</v>
      </c>
      <c r="E39" s="280" t="s">
        <v>430</v>
      </c>
      <c r="F39" s="282"/>
      <c r="G39" s="170"/>
      <c r="H39" s="170">
        <f t="shared" si="4"/>
        <v>0</v>
      </c>
      <c r="I39" s="178">
        <v>42005</v>
      </c>
      <c r="J39" s="178">
        <v>42247</v>
      </c>
      <c r="K39" s="124"/>
    </row>
    <row r="40" spans="1:11" ht="12.75" customHeight="1">
      <c r="A40" s="26" t="str">
        <f t="shared" si="5"/>
        <v>18WorkFirst Delivery Agreement118-WFDA-16</v>
      </c>
      <c r="B40" s="120" t="s">
        <v>132</v>
      </c>
      <c r="C40" s="176" t="s">
        <v>77</v>
      </c>
      <c r="D40" s="280" t="s">
        <v>232</v>
      </c>
      <c r="E40" s="280" t="s">
        <v>527</v>
      </c>
      <c r="F40" s="282"/>
      <c r="G40" s="170"/>
      <c r="H40" s="170">
        <f t="shared" si="4"/>
        <v>0</v>
      </c>
      <c r="I40" s="178">
        <v>42186</v>
      </c>
      <c r="J40" s="178">
        <v>42551</v>
      </c>
      <c r="K40" s="124"/>
    </row>
    <row r="41" spans="1:11" ht="12.75" customHeight="1">
      <c r="A41" s="24" t="str">
        <f t="shared" si="5"/>
        <v>18</v>
      </c>
      <c r="B41" s="126" t="s">
        <v>132</v>
      </c>
      <c r="C41" s="127" t="s">
        <v>77</v>
      </c>
      <c r="D41" s="127"/>
      <c r="E41" s="127"/>
      <c r="F41" s="284"/>
      <c r="G41" s="284"/>
      <c r="H41" s="128"/>
      <c r="I41" s="179"/>
      <c r="J41" s="179"/>
      <c r="K41" s="124"/>
    </row>
    <row r="42" spans="1:11" ht="12.75" customHeight="1">
      <c r="A42" s="26" t="str">
        <f t="shared" si="5"/>
        <v>30Basic Food Employment and Training Grant130-BFET-15</v>
      </c>
      <c r="B42" s="120" t="s">
        <v>143</v>
      </c>
      <c r="C42" s="176" t="s">
        <v>88</v>
      </c>
      <c r="D42" s="280" t="s">
        <v>240</v>
      </c>
      <c r="E42" s="280" t="s">
        <v>352</v>
      </c>
      <c r="F42" s="282"/>
      <c r="G42" s="170"/>
      <c r="H42" s="170">
        <f t="shared" ref="H42:H49" si="6">F42+G42</f>
        <v>0</v>
      </c>
      <c r="I42" s="171">
        <v>41913</v>
      </c>
      <c r="J42" s="171">
        <v>42277</v>
      </c>
      <c r="K42" s="124"/>
    </row>
    <row r="43" spans="1:11" ht="12.75" customHeight="1">
      <c r="A43" s="26" t="str">
        <f t="shared" si="5"/>
        <v>30BEdA Leadership Block Grant130-BLBG-16</v>
      </c>
      <c r="B43" s="120" t="s">
        <v>143</v>
      </c>
      <c r="C43" s="176" t="s">
        <v>88</v>
      </c>
      <c r="D43" s="280" t="s">
        <v>497</v>
      </c>
      <c r="E43" s="280" t="s">
        <v>528</v>
      </c>
      <c r="F43" s="282"/>
      <c r="G43" s="170"/>
      <c r="H43" s="170">
        <f t="shared" si="6"/>
        <v>0</v>
      </c>
      <c r="I43" s="171">
        <v>42186</v>
      </c>
      <c r="J43" s="171">
        <v>42551</v>
      </c>
      <c r="K43" s="124"/>
    </row>
    <row r="44" spans="1:11" ht="12.75" customHeight="1">
      <c r="A44" s="26" t="str">
        <f t="shared" si="5"/>
        <v>30BEdA Master Grant130-BEDA-16</v>
      </c>
      <c r="B44" s="120" t="s">
        <v>143</v>
      </c>
      <c r="C44" s="176" t="s">
        <v>88</v>
      </c>
      <c r="D44" s="280" t="s">
        <v>498</v>
      </c>
      <c r="E44" s="280" t="s">
        <v>529</v>
      </c>
      <c r="F44" s="282"/>
      <c r="G44" s="170"/>
      <c r="H44" s="170">
        <f t="shared" si="6"/>
        <v>0</v>
      </c>
      <c r="I44" s="171">
        <v>42186</v>
      </c>
      <c r="J44" s="171">
        <v>42551</v>
      </c>
      <c r="K44" s="124"/>
    </row>
    <row r="45" spans="1:11" ht="12.75" customHeight="1">
      <c r="A45" s="26" t="str">
        <f t="shared" si="5"/>
        <v>30BEdA Program – EL Civics Grant Budget130-ELC-16</v>
      </c>
      <c r="B45" s="120" t="s">
        <v>143</v>
      </c>
      <c r="C45" s="176" t="s">
        <v>88</v>
      </c>
      <c r="D45" s="280" t="s">
        <v>505</v>
      </c>
      <c r="E45" s="280" t="s">
        <v>530</v>
      </c>
      <c r="F45" s="282"/>
      <c r="G45" s="170"/>
      <c r="H45" s="170">
        <f t="shared" si="6"/>
        <v>0</v>
      </c>
      <c r="I45" s="180">
        <v>42186</v>
      </c>
      <c r="J45" s="180">
        <v>42551</v>
      </c>
      <c r="K45" s="124"/>
    </row>
    <row r="46" spans="1:11" ht="12.75" customHeight="1">
      <c r="A46" s="26" t="str">
        <f t="shared" si="5"/>
        <v>30Misc. General Grant130-B2C-15</v>
      </c>
      <c r="B46" s="120" t="s">
        <v>143</v>
      </c>
      <c r="C46" s="176" t="s">
        <v>88</v>
      </c>
      <c r="D46" s="280" t="s">
        <v>235</v>
      </c>
      <c r="E46" s="280" t="s">
        <v>427</v>
      </c>
      <c r="F46" s="282"/>
      <c r="G46" s="170"/>
      <c r="H46" s="170">
        <f t="shared" si="6"/>
        <v>0</v>
      </c>
      <c r="I46" s="180">
        <v>41977</v>
      </c>
      <c r="J46" s="180">
        <v>42551</v>
      </c>
      <c r="K46" s="124"/>
    </row>
    <row r="47" spans="1:11" ht="12.75" customHeight="1">
      <c r="A47" s="26" t="str">
        <f t="shared" si="5"/>
        <v>30Misc. General Grant130-ELRN-16</v>
      </c>
      <c r="B47" s="120" t="s">
        <v>143</v>
      </c>
      <c r="C47" s="176" t="s">
        <v>88</v>
      </c>
      <c r="D47" s="280" t="s">
        <v>235</v>
      </c>
      <c r="E47" s="280" t="s">
        <v>531</v>
      </c>
      <c r="F47" s="282"/>
      <c r="G47" s="170"/>
      <c r="H47" s="170">
        <f t="shared" si="6"/>
        <v>0</v>
      </c>
      <c r="I47" s="180">
        <v>42248</v>
      </c>
      <c r="J47" s="180">
        <v>42551</v>
      </c>
      <c r="K47" s="124"/>
    </row>
    <row r="48" spans="1:11" ht="12.75" customHeight="1">
      <c r="A48" s="26" t="str">
        <f t="shared" si="5"/>
        <v>30Perkins Leadership Block Grant130-PLB-16</v>
      </c>
      <c r="B48" s="120" t="s">
        <v>143</v>
      </c>
      <c r="C48" s="176" t="s">
        <v>88</v>
      </c>
      <c r="D48" s="280" t="s">
        <v>233</v>
      </c>
      <c r="E48" s="280" t="s">
        <v>532</v>
      </c>
      <c r="F48" s="282"/>
      <c r="G48" s="170"/>
      <c r="H48" s="170">
        <f t="shared" si="6"/>
        <v>0</v>
      </c>
      <c r="I48" s="180">
        <v>42186</v>
      </c>
      <c r="J48" s="180">
        <v>42551</v>
      </c>
      <c r="K48" s="124"/>
    </row>
    <row r="49" spans="1:11" ht="12.75" customHeight="1">
      <c r="A49" s="26" t="str">
        <f t="shared" si="5"/>
        <v>30Phase III I-DEA Grant130-IDEA-16</v>
      </c>
      <c r="B49" s="120" t="s">
        <v>143</v>
      </c>
      <c r="C49" s="176" t="s">
        <v>88</v>
      </c>
      <c r="D49" s="280" t="s">
        <v>506</v>
      </c>
      <c r="E49" s="280" t="s">
        <v>533</v>
      </c>
      <c r="F49" s="282"/>
      <c r="G49" s="170"/>
      <c r="H49" s="170">
        <f t="shared" si="6"/>
        <v>0</v>
      </c>
      <c r="I49" s="180">
        <v>42186</v>
      </c>
      <c r="J49" s="180">
        <v>42551</v>
      </c>
      <c r="K49" s="124"/>
    </row>
    <row r="50" spans="1:11" ht="12.75" customHeight="1">
      <c r="A50" s="24" t="str">
        <f t="shared" si="5"/>
        <v>30</v>
      </c>
      <c r="B50" s="126" t="s">
        <v>143</v>
      </c>
      <c r="C50" s="127" t="s">
        <v>88</v>
      </c>
      <c r="D50" s="131"/>
      <c r="E50" s="131"/>
      <c r="F50" s="284"/>
      <c r="G50" s="284"/>
      <c r="H50" s="128"/>
      <c r="I50" s="129"/>
      <c r="J50" s="129"/>
      <c r="K50" s="124"/>
    </row>
    <row r="51" spans="1:11" ht="12.75" customHeight="1">
      <c r="A51" s="26" t="str">
        <f t="shared" si="5"/>
        <v>12Basic Food Employment and Training Grant112-BFET-15</v>
      </c>
      <c r="B51" s="120" t="s">
        <v>126</v>
      </c>
      <c r="C51" s="176" t="s">
        <v>89</v>
      </c>
      <c r="D51" s="280" t="s">
        <v>240</v>
      </c>
      <c r="E51" s="280" t="s">
        <v>353</v>
      </c>
      <c r="F51" s="282"/>
      <c r="G51" s="170"/>
      <c r="H51" s="170">
        <f t="shared" ref="H51:H61" si="7">F51+G51</f>
        <v>0</v>
      </c>
      <c r="I51" s="180">
        <v>41913</v>
      </c>
      <c r="J51" s="180">
        <v>42277</v>
      </c>
      <c r="K51" s="124"/>
    </row>
    <row r="52" spans="1:11" ht="12.75" customHeight="1">
      <c r="A52" s="26" t="str">
        <f t="shared" si="5"/>
        <v>12BEdA Leadership Block Grant112-BLBG-16</v>
      </c>
      <c r="B52" s="120" t="s">
        <v>126</v>
      </c>
      <c r="C52" s="176" t="s">
        <v>89</v>
      </c>
      <c r="D52" s="280" t="s">
        <v>497</v>
      </c>
      <c r="E52" s="280" t="s">
        <v>534</v>
      </c>
      <c r="F52" s="282"/>
      <c r="G52" s="170"/>
      <c r="H52" s="170">
        <f t="shared" si="7"/>
        <v>0</v>
      </c>
      <c r="I52" s="180">
        <v>42186</v>
      </c>
      <c r="J52" s="180">
        <v>42551</v>
      </c>
      <c r="K52" s="124"/>
    </row>
    <row r="53" spans="1:11" ht="12.75" customHeight="1">
      <c r="A53" s="26" t="str">
        <f t="shared" si="5"/>
        <v>12BEdA Master Grant112-BEDA-16</v>
      </c>
      <c r="B53" s="120" t="s">
        <v>126</v>
      </c>
      <c r="C53" s="176" t="s">
        <v>89</v>
      </c>
      <c r="D53" s="280" t="s">
        <v>498</v>
      </c>
      <c r="E53" s="280" t="s">
        <v>535</v>
      </c>
      <c r="F53" s="282"/>
      <c r="G53" s="170"/>
      <c r="H53" s="170">
        <f t="shared" si="7"/>
        <v>0</v>
      </c>
      <c r="I53" s="180">
        <v>42186</v>
      </c>
      <c r="J53" s="180">
        <v>42551</v>
      </c>
      <c r="K53" s="124"/>
    </row>
    <row r="54" spans="1:11" ht="12.75" customHeight="1">
      <c r="A54" s="26" t="str">
        <f t="shared" si="5"/>
        <v>12BEdA Program – EL Civics Grant Budget112-ELC-16</v>
      </c>
      <c r="B54" s="120" t="s">
        <v>126</v>
      </c>
      <c r="C54" s="176" t="s">
        <v>89</v>
      </c>
      <c r="D54" s="280" t="s">
        <v>505</v>
      </c>
      <c r="E54" s="280" t="s">
        <v>536</v>
      </c>
      <c r="F54" s="282"/>
      <c r="G54" s="170"/>
      <c r="H54" s="170">
        <f t="shared" si="7"/>
        <v>0</v>
      </c>
      <c r="I54" s="180">
        <v>42186</v>
      </c>
      <c r="J54" s="180">
        <v>42551</v>
      </c>
      <c r="K54" s="124"/>
    </row>
    <row r="55" spans="1:11" ht="12.75" customHeight="1">
      <c r="A55" s="26" t="str">
        <f t="shared" si="5"/>
        <v>12Correctional Education Grant112-CE-16</v>
      </c>
      <c r="B55" s="120" t="s">
        <v>126</v>
      </c>
      <c r="C55" s="176" t="s">
        <v>89</v>
      </c>
      <c r="D55" s="280" t="s">
        <v>267</v>
      </c>
      <c r="E55" s="280" t="s">
        <v>537</v>
      </c>
      <c r="F55" s="282"/>
      <c r="G55" s="170"/>
      <c r="H55" s="170">
        <f t="shared" si="7"/>
        <v>0</v>
      </c>
      <c r="I55" s="180">
        <v>42186</v>
      </c>
      <c r="J55" s="180">
        <v>42551</v>
      </c>
      <c r="K55" s="124"/>
    </row>
    <row r="56" spans="1:11" ht="12.75" customHeight="1">
      <c r="A56" s="26" t="str">
        <f t="shared" si="5"/>
        <v>12Early Achievers Opportunity Grant Application112-EAOG-16</v>
      </c>
      <c r="B56" s="120" t="s">
        <v>126</v>
      </c>
      <c r="C56" s="121" t="s">
        <v>89</v>
      </c>
      <c r="D56" s="280" t="s">
        <v>241</v>
      </c>
      <c r="E56" s="280" t="s">
        <v>538</v>
      </c>
      <c r="F56" s="283"/>
      <c r="G56" s="122"/>
      <c r="H56" s="170">
        <f t="shared" si="7"/>
        <v>0</v>
      </c>
      <c r="I56" s="123">
        <v>42186</v>
      </c>
      <c r="J56" s="123">
        <v>42551</v>
      </c>
      <c r="K56" s="124"/>
    </row>
    <row r="57" spans="1:11" ht="12.75" customHeight="1">
      <c r="A57" s="26" t="str">
        <f t="shared" si="5"/>
        <v>12Perkins Innovation Project112-PIP-16</v>
      </c>
      <c r="B57" s="120" t="s">
        <v>126</v>
      </c>
      <c r="C57" s="121" t="s">
        <v>89</v>
      </c>
      <c r="D57" s="280" t="s">
        <v>234</v>
      </c>
      <c r="E57" s="280" t="s">
        <v>539</v>
      </c>
      <c r="F57" s="283"/>
      <c r="G57" s="122"/>
      <c r="H57" s="170">
        <f t="shared" si="7"/>
        <v>0</v>
      </c>
      <c r="I57" s="123">
        <v>42186</v>
      </c>
      <c r="J57" s="123">
        <v>42551</v>
      </c>
      <c r="K57" s="124"/>
    </row>
    <row r="58" spans="1:11" ht="12.75" customHeight="1">
      <c r="A58" s="26" t="str">
        <f t="shared" si="5"/>
        <v>12Perkins Leadership Block Grant112-PLB-16</v>
      </c>
      <c r="B58" s="120" t="s">
        <v>126</v>
      </c>
      <c r="C58" s="121" t="s">
        <v>89</v>
      </c>
      <c r="D58" s="280" t="s">
        <v>233</v>
      </c>
      <c r="E58" s="280" t="s">
        <v>540</v>
      </c>
      <c r="F58" s="283"/>
      <c r="G58" s="122"/>
      <c r="H58" s="170">
        <f t="shared" si="7"/>
        <v>0</v>
      </c>
      <c r="I58" s="123">
        <v>42186</v>
      </c>
      <c r="J58" s="123">
        <v>42551</v>
      </c>
      <c r="K58" s="124"/>
    </row>
    <row r="59" spans="1:11" ht="12.75" customHeight="1">
      <c r="A59" s="26" t="str">
        <f t="shared" si="5"/>
        <v>12Perkins Plan112-PRK-16</v>
      </c>
      <c r="B59" s="120" t="s">
        <v>126</v>
      </c>
      <c r="C59" s="121" t="s">
        <v>89</v>
      </c>
      <c r="D59" s="280" t="s">
        <v>231</v>
      </c>
      <c r="E59" s="280" t="s">
        <v>541</v>
      </c>
      <c r="F59" s="283"/>
      <c r="G59" s="122"/>
      <c r="H59" s="170">
        <f t="shared" si="7"/>
        <v>0</v>
      </c>
      <c r="I59" s="123">
        <v>42186</v>
      </c>
      <c r="J59" s="123">
        <v>42551</v>
      </c>
      <c r="K59" s="124"/>
    </row>
    <row r="60" spans="1:11" ht="12.75" customHeight="1">
      <c r="A60" s="26" t="str">
        <f t="shared" si="5"/>
        <v>12Phase III I-DEA Grant112-IDEA-16</v>
      </c>
      <c r="B60" s="120" t="s">
        <v>126</v>
      </c>
      <c r="C60" s="121" t="s">
        <v>89</v>
      </c>
      <c r="D60" s="280" t="s">
        <v>506</v>
      </c>
      <c r="E60" s="280" t="s">
        <v>542</v>
      </c>
      <c r="F60" s="283"/>
      <c r="G60" s="122"/>
      <c r="H60" s="170">
        <f t="shared" si="7"/>
        <v>0</v>
      </c>
      <c r="I60" s="123">
        <v>42186</v>
      </c>
      <c r="J60" s="123">
        <v>42551</v>
      </c>
      <c r="K60" s="124"/>
    </row>
    <row r="61" spans="1:11" ht="12.75" customHeight="1">
      <c r="A61" s="26" t="str">
        <f t="shared" si="5"/>
        <v>12WorkFirst Delivery Agreement112-WFDA-16</v>
      </c>
      <c r="B61" s="120" t="s">
        <v>126</v>
      </c>
      <c r="C61" s="121" t="s">
        <v>89</v>
      </c>
      <c r="D61" s="280" t="s">
        <v>232</v>
      </c>
      <c r="E61" s="280" t="s">
        <v>543</v>
      </c>
      <c r="F61" s="283"/>
      <c r="G61" s="122"/>
      <c r="H61" s="170">
        <f t="shared" si="7"/>
        <v>0</v>
      </c>
      <c r="I61" s="123">
        <v>42186</v>
      </c>
      <c r="J61" s="123">
        <v>42551</v>
      </c>
      <c r="K61" s="124"/>
    </row>
    <row r="62" spans="1:11" ht="12.75" customHeight="1">
      <c r="A62" s="24" t="str">
        <f t="shared" si="5"/>
        <v>12</v>
      </c>
      <c r="B62" s="126" t="s">
        <v>126</v>
      </c>
      <c r="C62" s="127" t="s">
        <v>89</v>
      </c>
      <c r="D62" s="127"/>
      <c r="E62" s="127"/>
      <c r="F62" s="284"/>
      <c r="G62" s="284"/>
      <c r="H62" s="128"/>
      <c r="I62" s="129"/>
      <c r="J62" s="129"/>
      <c r="K62" s="124"/>
    </row>
    <row r="63" spans="1:11" ht="12.75" customHeight="1">
      <c r="A63" s="26" t="str">
        <f t="shared" si="5"/>
        <v>14Basic Food Employment and Training Grant114-BFET-15</v>
      </c>
      <c r="B63" s="120" t="s">
        <v>128</v>
      </c>
      <c r="C63" s="176" t="s">
        <v>90</v>
      </c>
      <c r="D63" s="280" t="s">
        <v>240</v>
      </c>
      <c r="E63" s="280" t="s">
        <v>355</v>
      </c>
      <c r="F63" s="283"/>
      <c r="G63" s="170"/>
      <c r="H63" s="170">
        <f t="shared" ref="H63:H73" si="8">F63+G63</f>
        <v>0</v>
      </c>
      <c r="I63" s="180">
        <v>41913</v>
      </c>
      <c r="J63" s="180">
        <v>42277</v>
      </c>
      <c r="K63" s="124"/>
    </row>
    <row r="64" spans="1:11" ht="12.75" customHeight="1">
      <c r="A64" s="26" t="str">
        <f t="shared" si="5"/>
        <v>14BEdA Leadership Block Grant114-BLBG-16</v>
      </c>
      <c r="B64" s="120" t="s">
        <v>128</v>
      </c>
      <c r="C64" s="176" t="s">
        <v>90</v>
      </c>
      <c r="D64" s="280" t="s">
        <v>497</v>
      </c>
      <c r="E64" s="280" t="s">
        <v>544</v>
      </c>
      <c r="F64" s="283"/>
      <c r="G64" s="170"/>
      <c r="H64" s="170">
        <f t="shared" si="8"/>
        <v>0</v>
      </c>
      <c r="I64" s="180">
        <v>42186</v>
      </c>
      <c r="J64" s="180">
        <v>42551</v>
      </c>
      <c r="K64" s="124"/>
    </row>
    <row r="65" spans="1:11" ht="12.75" customHeight="1">
      <c r="A65" s="26" t="str">
        <f t="shared" si="5"/>
        <v>14BEdA Master Grant114-BEDA-16</v>
      </c>
      <c r="B65" s="120" t="s">
        <v>128</v>
      </c>
      <c r="C65" s="176" t="s">
        <v>90</v>
      </c>
      <c r="D65" s="280" t="s">
        <v>498</v>
      </c>
      <c r="E65" s="280" t="s">
        <v>545</v>
      </c>
      <c r="F65" s="283"/>
      <c r="G65" s="170"/>
      <c r="H65" s="170">
        <f t="shared" si="8"/>
        <v>0</v>
      </c>
      <c r="I65" s="180">
        <v>42186</v>
      </c>
      <c r="J65" s="180">
        <v>42551</v>
      </c>
      <c r="K65" s="124"/>
    </row>
    <row r="66" spans="1:11" ht="12.75" customHeight="1">
      <c r="A66" s="26" t="str">
        <f t="shared" ref="A66:A97" si="9">B66&amp;D66&amp;E66</f>
        <v>14BEdA Program – EL Civics Grant Budget114-ELC-16</v>
      </c>
      <c r="B66" s="120" t="s">
        <v>128</v>
      </c>
      <c r="C66" s="176" t="s">
        <v>90</v>
      </c>
      <c r="D66" s="280" t="s">
        <v>505</v>
      </c>
      <c r="E66" s="280" t="s">
        <v>546</v>
      </c>
      <c r="F66" s="282"/>
      <c r="G66" s="170"/>
      <c r="H66" s="170">
        <f t="shared" si="8"/>
        <v>0</v>
      </c>
      <c r="I66" s="178">
        <v>42186</v>
      </c>
      <c r="J66" s="178">
        <v>42551</v>
      </c>
      <c r="K66" s="124"/>
    </row>
    <row r="67" spans="1:11" ht="12.75" customHeight="1">
      <c r="A67" s="26" t="str">
        <f t="shared" si="9"/>
        <v>14Correctional Education Grant114-CE-16</v>
      </c>
      <c r="B67" s="120" t="s">
        <v>128</v>
      </c>
      <c r="C67" s="176" t="s">
        <v>90</v>
      </c>
      <c r="D67" s="280" t="s">
        <v>267</v>
      </c>
      <c r="E67" s="280" t="s">
        <v>547</v>
      </c>
      <c r="F67" s="282"/>
      <c r="G67" s="170"/>
      <c r="H67" s="170">
        <f t="shared" si="8"/>
        <v>0</v>
      </c>
      <c r="I67" s="178">
        <v>42186</v>
      </c>
      <c r="J67" s="178">
        <v>42551</v>
      </c>
      <c r="K67" s="124"/>
    </row>
    <row r="68" spans="1:11" ht="12.75" customHeight="1">
      <c r="A68" s="26" t="str">
        <f t="shared" si="9"/>
        <v>14Early Achievers Opportunity Grant Application114-EAOG-16</v>
      </c>
      <c r="B68" s="120" t="s">
        <v>128</v>
      </c>
      <c r="C68" s="176" t="s">
        <v>90</v>
      </c>
      <c r="D68" s="280" t="s">
        <v>241</v>
      </c>
      <c r="E68" s="280" t="s">
        <v>548</v>
      </c>
      <c r="F68" s="282"/>
      <c r="G68" s="170"/>
      <c r="H68" s="170">
        <f t="shared" si="8"/>
        <v>0</v>
      </c>
      <c r="I68" s="178">
        <v>42186</v>
      </c>
      <c r="J68" s="178">
        <v>42551</v>
      </c>
      <c r="K68" s="124"/>
    </row>
    <row r="69" spans="1:11" ht="12.75" customHeight="1">
      <c r="A69" s="26" t="str">
        <f t="shared" si="9"/>
        <v>14Faculty Learning Communities Initiative Grant114-FLCA-16IL</v>
      </c>
      <c r="B69" s="120" t="s">
        <v>128</v>
      </c>
      <c r="C69" s="176" t="s">
        <v>90</v>
      </c>
      <c r="D69" s="280" t="s">
        <v>274</v>
      </c>
      <c r="E69" s="280" t="s">
        <v>549</v>
      </c>
      <c r="F69" s="282"/>
      <c r="G69" s="170"/>
      <c r="H69" s="170">
        <f t="shared" si="8"/>
        <v>0</v>
      </c>
      <c r="I69" s="178">
        <v>42186</v>
      </c>
      <c r="J69" s="178">
        <v>42551</v>
      </c>
      <c r="K69" s="124"/>
    </row>
    <row r="70" spans="1:11" ht="12.75" customHeight="1">
      <c r="A70" s="26" t="str">
        <f t="shared" si="9"/>
        <v>14I-DEA Grant114-IDEA-15</v>
      </c>
      <c r="B70" s="120" t="s">
        <v>128</v>
      </c>
      <c r="C70" s="176" t="s">
        <v>90</v>
      </c>
      <c r="D70" s="280" t="s">
        <v>242</v>
      </c>
      <c r="E70" s="280" t="s">
        <v>356</v>
      </c>
      <c r="F70" s="282"/>
      <c r="G70" s="170"/>
      <c r="H70" s="170">
        <f t="shared" si="8"/>
        <v>0</v>
      </c>
      <c r="I70" s="178">
        <v>41821</v>
      </c>
      <c r="J70" s="178">
        <v>42551</v>
      </c>
      <c r="K70" s="124"/>
    </row>
    <row r="71" spans="1:11" ht="12.75" customHeight="1">
      <c r="A71" s="26" t="str">
        <f t="shared" si="9"/>
        <v>14Perkins Leadership Block Grant114-PLB-16</v>
      </c>
      <c r="B71" s="120" t="s">
        <v>128</v>
      </c>
      <c r="C71" s="176" t="s">
        <v>90</v>
      </c>
      <c r="D71" s="280" t="s">
        <v>233</v>
      </c>
      <c r="E71" s="280" t="s">
        <v>550</v>
      </c>
      <c r="F71" s="282"/>
      <c r="G71" s="170"/>
      <c r="H71" s="170">
        <f t="shared" si="8"/>
        <v>0</v>
      </c>
      <c r="I71" s="178">
        <v>42186</v>
      </c>
      <c r="J71" s="178">
        <v>42551</v>
      </c>
      <c r="K71" s="124"/>
    </row>
    <row r="72" spans="1:11" ht="12.75" customHeight="1">
      <c r="A72" s="26" t="str">
        <f t="shared" si="9"/>
        <v>14Perkins Plan114-PRK-16</v>
      </c>
      <c r="B72" s="120" t="s">
        <v>128</v>
      </c>
      <c r="C72" s="176" t="s">
        <v>90</v>
      </c>
      <c r="D72" s="280" t="s">
        <v>231</v>
      </c>
      <c r="E72" s="280" t="s">
        <v>551</v>
      </c>
      <c r="F72" s="282"/>
      <c r="G72" s="170"/>
      <c r="H72" s="170">
        <f t="shared" si="8"/>
        <v>0</v>
      </c>
      <c r="I72" s="178">
        <v>42186</v>
      </c>
      <c r="J72" s="178">
        <v>42551</v>
      </c>
      <c r="K72" s="124"/>
    </row>
    <row r="73" spans="1:11" ht="12.75" customHeight="1">
      <c r="A73" s="26" t="str">
        <f t="shared" si="9"/>
        <v>14WorkFirst Delivery Agreement114-WFDA-16</v>
      </c>
      <c r="B73" s="120" t="s">
        <v>128</v>
      </c>
      <c r="C73" s="176" t="s">
        <v>90</v>
      </c>
      <c r="D73" s="280" t="s">
        <v>232</v>
      </c>
      <c r="E73" s="280" t="s">
        <v>552</v>
      </c>
      <c r="F73" s="282"/>
      <c r="G73" s="170"/>
      <c r="H73" s="170">
        <f t="shared" si="8"/>
        <v>0</v>
      </c>
      <c r="I73" s="178">
        <v>42186</v>
      </c>
      <c r="J73" s="178">
        <v>42551</v>
      </c>
      <c r="K73" s="124"/>
    </row>
    <row r="74" spans="1:11" ht="12.75" customHeight="1">
      <c r="A74" s="24" t="str">
        <f t="shared" si="9"/>
        <v>14</v>
      </c>
      <c r="B74" s="126" t="s">
        <v>128</v>
      </c>
      <c r="C74" s="127" t="s">
        <v>90</v>
      </c>
      <c r="D74" s="131"/>
      <c r="E74" s="131"/>
      <c r="F74" s="284"/>
      <c r="G74" s="128"/>
      <c r="H74" s="128"/>
      <c r="I74" s="132"/>
      <c r="J74" s="132"/>
      <c r="K74" s="124"/>
    </row>
    <row r="75" spans="1:11" ht="12.75" customHeight="1">
      <c r="A75" s="26" t="str">
        <f t="shared" si="9"/>
        <v>29Basic Food Employment and Training Grant129-BFET-15</v>
      </c>
      <c r="B75" s="120" t="s">
        <v>142</v>
      </c>
      <c r="C75" s="176" t="s">
        <v>91</v>
      </c>
      <c r="D75" s="280" t="s">
        <v>240</v>
      </c>
      <c r="E75" s="280" t="s">
        <v>357</v>
      </c>
      <c r="F75" s="282"/>
      <c r="G75" s="170"/>
      <c r="H75" s="170">
        <f t="shared" ref="H75:H82" si="10">F75+G75</f>
        <v>0</v>
      </c>
      <c r="I75" s="180">
        <v>41913</v>
      </c>
      <c r="J75" s="180">
        <v>42277</v>
      </c>
      <c r="K75" s="124"/>
    </row>
    <row r="76" spans="1:11" ht="12.75" customHeight="1">
      <c r="A76" s="26" t="str">
        <f t="shared" si="9"/>
        <v>29BEdA Leadership Block Grant129-BLBG-16</v>
      </c>
      <c r="B76" s="120" t="s">
        <v>142</v>
      </c>
      <c r="C76" s="176" t="s">
        <v>91</v>
      </c>
      <c r="D76" s="280" t="s">
        <v>497</v>
      </c>
      <c r="E76" s="280" t="s">
        <v>553</v>
      </c>
      <c r="F76" s="282"/>
      <c r="G76" s="170"/>
      <c r="H76" s="170">
        <f t="shared" si="10"/>
        <v>0</v>
      </c>
      <c r="I76" s="180">
        <v>42186</v>
      </c>
      <c r="J76" s="180">
        <v>42551</v>
      </c>
      <c r="K76" s="124"/>
    </row>
    <row r="77" spans="1:11" ht="12.75" customHeight="1">
      <c r="A77" s="26" t="str">
        <f t="shared" si="9"/>
        <v>29BEdA Master Grant129-BEDA-16</v>
      </c>
      <c r="B77" s="120" t="s">
        <v>142</v>
      </c>
      <c r="C77" s="176" t="s">
        <v>91</v>
      </c>
      <c r="D77" s="280" t="s">
        <v>498</v>
      </c>
      <c r="E77" s="280" t="s">
        <v>554</v>
      </c>
      <c r="F77" s="282"/>
      <c r="G77" s="170"/>
      <c r="H77" s="170">
        <f t="shared" si="10"/>
        <v>0</v>
      </c>
      <c r="I77" s="180">
        <v>42186</v>
      </c>
      <c r="J77" s="180">
        <v>42551</v>
      </c>
      <c r="K77" s="124"/>
    </row>
    <row r="78" spans="1:11" ht="12.75" customHeight="1">
      <c r="A78" s="26" t="str">
        <f t="shared" si="9"/>
        <v>29BEdA Program – EL Civics Grant Budget129-ELC-16</v>
      </c>
      <c r="B78" s="120" t="s">
        <v>142</v>
      </c>
      <c r="C78" s="176" t="s">
        <v>91</v>
      </c>
      <c r="D78" s="280" t="s">
        <v>505</v>
      </c>
      <c r="E78" s="280" t="s">
        <v>555</v>
      </c>
      <c r="F78" s="282"/>
      <c r="G78" s="170"/>
      <c r="H78" s="170">
        <f t="shared" si="10"/>
        <v>0</v>
      </c>
      <c r="I78" s="178">
        <v>42186</v>
      </c>
      <c r="J78" s="178">
        <v>42551</v>
      </c>
      <c r="K78" s="124"/>
    </row>
    <row r="79" spans="1:11" ht="12.75" customHeight="1">
      <c r="A79" s="26" t="str">
        <f t="shared" si="9"/>
        <v>29BEdA State Plan Innovations Grant129-BSPI-15</v>
      </c>
      <c r="B79" s="120" t="s">
        <v>142</v>
      </c>
      <c r="C79" s="176" t="s">
        <v>91</v>
      </c>
      <c r="D79" s="280" t="s">
        <v>412</v>
      </c>
      <c r="E79" s="280" t="s">
        <v>415</v>
      </c>
      <c r="F79" s="282"/>
      <c r="G79" s="170"/>
      <c r="H79" s="170">
        <f t="shared" si="10"/>
        <v>0</v>
      </c>
      <c r="I79" s="178">
        <v>41944</v>
      </c>
      <c r="J79" s="178">
        <v>42551</v>
      </c>
      <c r="K79" s="124"/>
    </row>
    <row r="80" spans="1:11" ht="12.75" customHeight="1">
      <c r="A80" s="26" t="str">
        <f t="shared" si="9"/>
        <v>29Perkins Plan129-PRK-16</v>
      </c>
      <c r="B80" s="120" t="s">
        <v>142</v>
      </c>
      <c r="C80" s="176" t="s">
        <v>91</v>
      </c>
      <c r="D80" s="280" t="s">
        <v>231</v>
      </c>
      <c r="E80" s="280" t="s">
        <v>556</v>
      </c>
      <c r="F80" s="282"/>
      <c r="G80" s="170"/>
      <c r="H80" s="170">
        <f t="shared" si="10"/>
        <v>0</v>
      </c>
      <c r="I80" s="178">
        <v>42186</v>
      </c>
      <c r="J80" s="178">
        <v>42551</v>
      </c>
      <c r="K80" s="124"/>
    </row>
    <row r="81" spans="1:11" ht="12.75" customHeight="1">
      <c r="A81" s="26" t="str">
        <f t="shared" si="9"/>
        <v>29Phase III I-DEA Grant129-IDEA-16</v>
      </c>
      <c r="B81" s="120" t="s">
        <v>142</v>
      </c>
      <c r="C81" s="176" t="s">
        <v>91</v>
      </c>
      <c r="D81" s="280" t="s">
        <v>506</v>
      </c>
      <c r="E81" s="280" t="s">
        <v>557</v>
      </c>
      <c r="F81" s="282"/>
      <c r="G81" s="170"/>
      <c r="H81" s="170">
        <f t="shared" si="10"/>
        <v>0</v>
      </c>
      <c r="I81" s="178">
        <v>42186</v>
      </c>
      <c r="J81" s="178">
        <v>42551</v>
      </c>
      <c r="K81" s="124"/>
    </row>
    <row r="82" spans="1:11" ht="12.75" customHeight="1">
      <c r="A82" s="26" t="str">
        <f t="shared" si="9"/>
        <v>29WorkFirst Delivery Agreement129-WFDA-16</v>
      </c>
      <c r="B82" s="120" t="s">
        <v>142</v>
      </c>
      <c r="C82" s="176" t="s">
        <v>91</v>
      </c>
      <c r="D82" s="280" t="s">
        <v>232</v>
      </c>
      <c r="E82" s="280" t="s">
        <v>558</v>
      </c>
      <c r="F82" s="282"/>
      <c r="G82" s="170"/>
      <c r="H82" s="170">
        <f t="shared" si="10"/>
        <v>0</v>
      </c>
      <c r="I82" s="178">
        <v>42186</v>
      </c>
      <c r="J82" s="178">
        <v>42551</v>
      </c>
      <c r="K82" s="124"/>
    </row>
    <row r="83" spans="1:11" ht="12.75" customHeight="1">
      <c r="A83" s="24" t="str">
        <f t="shared" si="9"/>
        <v>29</v>
      </c>
      <c r="B83" s="126" t="s">
        <v>142</v>
      </c>
      <c r="C83" s="127" t="s">
        <v>91</v>
      </c>
      <c r="D83" s="127"/>
      <c r="E83" s="127"/>
      <c r="F83" s="284"/>
      <c r="G83" s="128"/>
      <c r="H83" s="128"/>
      <c r="I83" s="129"/>
      <c r="J83" s="129"/>
      <c r="K83" s="124"/>
    </row>
    <row r="84" spans="1:11" ht="12.75" customHeight="1">
      <c r="A84" s="26" t="str">
        <f t="shared" si="9"/>
        <v>19Basic Food Employment and Training Grant119-BFET-15</v>
      </c>
      <c r="B84" s="120" t="s">
        <v>133</v>
      </c>
      <c r="C84" s="176" t="s">
        <v>78</v>
      </c>
      <c r="D84" s="280" t="s">
        <v>240</v>
      </c>
      <c r="E84" s="280" t="s">
        <v>358</v>
      </c>
      <c r="F84" s="282"/>
      <c r="G84" s="170"/>
      <c r="H84" s="170">
        <f t="shared" ref="H84:H90" si="11">F84+G84</f>
        <v>0</v>
      </c>
      <c r="I84" s="180">
        <v>41913</v>
      </c>
      <c r="J84" s="180">
        <v>42277</v>
      </c>
      <c r="K84" s="124"/>
    </row>
    <row r="85" spans="1:11" ht="12.75" customHeight="1">
      <c r="A85" s="26" t="str">
        <f t="shared" si="9"/>
        <v>19BEdA Leadership Block Grant119-BLBG-16</v>
      </c>
      <c r="B85" s="120" t="s">
        <v>133</v>
      </c>
      <c r="C85" s="176" t="s">
        <v>78</v>
      </c>
      <c r="D85" s="280" t="s">
        <v>497</v>
      </c>
      <c r="E85" s="280" t="s">
        <v>559</v>
      </c>
      <c r="F85" s="282"/>
      <c r="G85" s="170"/>
      <c r="H85" s="170">
        <f t="shared" si="11"/>
        <v>0</v>
      </c>
      <c r="I85" s="180">
        <v>42186</v>
      </c>
      <c r="J85" s="180">
        <v>42551</v>
      </c>
      <c r="K85" s="124"/>
    </row>
    <row r="86" spans="1:11" ht="12.75" customHeight="1">
      <c r="A86" s="26" t="str">
        <f t="shared" si="9"/>
        <v>19BEdA Master Grant119-BEDA-16</v>
      </c>
      <c r="B86" s="120" t="s">
        <v>133</v>
      </c>
      <c r="C86" s="176" t="s">
        <v>78</v>
      </c>
      <c r="D86" s="280" t="s">
        <v>498</v>
      </c>
      <c r="E86" s="280" t="s">
        <v>560</v>
      </c>
      <c r="F86" s="282"/>
      <c r="G86" s="170"/>
      <c r="H86" s="170">
        <f t="shared" si="11"/>
        <v>0</v>
      </c>
      <c r="I86" s="180">
        <v>42186</v>
      </c>
      <c r="J86" s="180">
        <v>42551</v>
      </c>
      <c r="K86" s="124"/>
    </row>
    <row r="87" spans="1:11" ht="12.75" customHeight="1">
      <c r="A87" s="26" t="str">
        <f t="shared" si="9"/>
        <v>19BEdA Program – EL Civics Grant Budget119-ELC-16</v>
      </c>
      <c r="B87" s="120" t="s">
        <v>133</v>
      </c>
      <c r="C87" s="176" t="s">
        <v>78</v>
      </c>
      <c r="D87" s="280" t="s">
        <v>505</v>
      </c>
      <c r="E87" s="280" t="s">
        <v>561</v>
      </c>
      <c r="F87" s="282"/>
      <c r="G87" s="170"/>
      <c r="H87" s="170">
        <f t="shared" si="11"/>
        <v>0</v>
      </c>
      <c r="I87" s="180">
        <v>42186</v>
      </c>
      <c r="J87" s="180">
        <v>42551</v>
      </c>
      <c r="K87" s="124"/>
    </row>
    <row r="88" spans="1:11" ht="12.75" customHeight="1">
      <c r="A88" s="26" t="str">
        <f t="shared" si="9"/>
        <v>19Perkins Plan119-PRK-16</v>
      </c>
      <c r="B88" s="120" t="s">
        <v>133</v>
      </c>
      <c r="C88" s="176" t="s">
        <v>78</v>
      </c>
      <c r="D88" s="280" t="s">
        <v>231</v>
      </c>
      <c r="E88" s="280" t="s">
        <v>562</v>
      </c>
      <c r="F88" s="282"/>
      <c r="G88" s="170"/>
      <c r="H88" s="170">
        <f t="shared" si="11"/>
        <v>0</v>
      </c>
      <c r="I88" s="180">
        <v>42186</v>
      </c>
      <c r="J88" s="180">
        <v>42551</v>
      </c>
      <c r="K88" s="124"/>
    </row>
    <row r="89" spans="1:11" ht="12.75" customHeight="1">
      <c r="A89" s="26" t="str">
        <f t="shared" si="9"/>
        <v>19Phase III I-DEA Grant119-IDEA-16</v>
      </c>
      <c r="B89" s="120" t="s">
        <v>133</v>
      </c>
      <c r="C89" s="176" t="s">
        <v>78</v>
      </c>
      <c r="D89" s="280" t="s">
        <v>506</v>
      </c>
      <c r="E89" s="280" t="s">
        <v>563</v>
      </c>
      <c r="F89" s="282"/>
      <c r="G89" s="170"/>
      <c r="H89" s="170">
        <f t="shared" si="11"/>
        <v>0</v>
      </c>
      <c r="I89" s="180">
        <v>42186</v>
      </c>
      <c r="J89" s="180">
        <v>42551</v>
      </c>
      <c r="K89" s="124"/>
    </row>
    <row r="90" spans="1:11" ht="12.75" customHeight="1">
      <c r="A90" s="26" t="str">
        <f t="shared" si="9"/>
        <v>19WorkFirst Delivery Agreement119-WFDA-16</v>
      </c>
      <c r="B90" s="120" t="s">
        <v>133</v>
      </c>
      <c r="C90" s="176" t="s">
        <v>78</v>
      </c>
      <c r="D90" s="280" t="s">
        <v>232</v>
      </c>
      <c r="E90" s="280" t="s">
        <v>564</v>
      </c>
      <c r="F90" s="282"/>
      <c r="G90" s="170"/>
      <c r="H90" s="170">
        <f t="shared" si="11"/>
        <v>0</v>
      </c>
      <c r="I90" s="180">
        <v>42186</v>
      </c>
      <c r="J90" s="180">
        <v>42551</v>
      </c>
      <c r="K90" s="124"/>
    </row>
    <row r="91" spans="1:11" ht="12.75" customHeight="1">
      <c r="A91" s="24" t="str">
        <f t="shared" si="9"/>
        <v>19</v>
      </c>
      <c r="B91" s="126" t="s">
        <v>133</v>
      </c>
      <c r="C91" s="127" t="s">
        <v>78</v>
      </c>
      <c r="D91" s="127"/>
      <c r="E91" s="127"/>
      <c r="F91" s="284"/>
      <c r="G91" s="128"/>
      <c r="H91" s="128"/>
      <c r="I91" s="129"/>
      <c r="J91" s="129"/>
      <c r="K91" s="124"/>
    </row>
    <row r="92" spans="1:11" ht="12.75" customHeight="1">
      <c r="A92" s="26" t="str">
        <f t="shared" si="9"/>
        <v>23Basic Food Employment and Training Grant123-BFET-15</v>
      </c>
      <c r="B92" s="120" t="s">
        <v>137</v>
      </c>
      <c r="C92" s="176" t="s">
        <v>79</v>
      </c>
      <c r="D92" s="280" t="s">
        <v>240</v>
      </c>
      <c r="E92" s="280" t="s">
        <v>360</v>
      </c>
      <c r="F92" s="283"/>
      <c r="G92" s="170"/>
      <c r="H92" s="170">
        <f t="shared" ref="H92:H102" si="12">F92+G92</f>
        <v>0</v>
      </c>
      <c r="I92" s="180">
        <v>41913</v>
      </c>
      <c r="J92" s="180">
        <v>42277</v>
      </c>
      <c r="K92" s="124"/>
    </row>
    <row r="93" spans="1:11" ht="12.75" customHeight="1">
      <c r="A93" s="26" t="str">
        <f t="shared" si="9"/>
        <v>23BEdA Leadership Block Grant123-BLBG-16</v>
      </c>
      <c r="B93" s="120" t="s">
        <v>137</v>
      </c>
      <c r="C93" s="176" t="s">
        <v>79</v>
      </c>
      <c r="D93" s="280" t="s">
        <v>497</v>
      </c>
      <c r="E93" s="280" t="s">
        <v>565</v>
      </c>
      <c r="F93" s="282"/>
      <c r="G93" s="170"/>
      <c r="H93" s="170">
        <f t="shared" si="12"/>
        <v>0</v>
      </c>
      <c r="I93" s="178">
        <v>42186</v>
      </c>
      <c r="J93" s="178">
        <v>42551</v>
      </c>
      <c r="K93" s="124"/>
    </row>
    <row r="94" spans="1:11" ht="12.75" customHeight="1">
      <c r="A94" s="26" t="str">
        <f t="shared" si="9"/>
        <v>23BEdA Master Grant123-BEDA-16</v>
      </c>
      <c r="B94" s="120" t="s">
        <v>137</v>
      </c>
      <c r="C94" s="176" t="s">
        <v>79</v>
      </c>
      <c r="D94" s="280" t="s">
        <v>498</v>
      </c>
      <c r="E94" s="280" t="s">
        <v>566</v>
      </c>
      <c r="F94" s="283"/>
      <c r="G94" s="170"/>
      <c r="H94" s="170">
        <f t="shared" si="12"/>
        <v>0</v>
      </c>
      <c r="I94" s="180">
        <v>42186</v>
      </c>
      <c r="J94" s="180">
        <v>42551</v>
      </c>
      <c r="K94" s="124"/>
    </row>
    <row r="95" spans="1:11" ht="12.75" customHeight="1">
      <c r="A95" s="26" t="str">
        <f t="shared" si="9"/>
        <v>23BEdA Program – EL Civics Grant Budget123-ELC-16</v>
      </c>
      <c r="B95" s="120" t="s">
        <v>137</v>
      </c>
      <c r="C95" s="176" t="s">
        <v>79</v>
      </c>
      <c r="D95" s="280" t="s">
        <v>505</v>
      </c>
      <c r="E95" s="280" t="s">
        <v>567</v>
      </c>
      <c r="F95" s="283"/>
      <c r="G95" s="170"/>
      <c r="H95" s="170">
        <f t="shared" si="12"/>
        <v>0</v>
      </c>
      <c r="I95" s="180">
        <v>42186</v>
      </c>
      <c r="J95" s="180">
        <v>42551</v>
      </c>
      <c r="K95" s="124"/>
    </row>
    <row r="96" spans="1:11" ht="12.75" customHeight="1">
      <c r="A96" s="26" t="str">
        <f t="shared" si="9"/>
        <v>23Correctional Education Grant123-CE-16</v>
      </c>
      <c r="B96" s="120" t="s">
        <v>137</v>
      </c>
      <c r="C96" s="176" t="s">
        <v>79</v>
      </c>
      <c r="D96" s="280" t="s">
        <v>267</v>
      </c>
      <c r="E96" s="280" t="s">
        <v>568</v>
      </c>
      <c r="F96" s="282"/>
      <c r="G96" s="170"/>
      <c r="H96" s="170">
        <f t="shared" si="12"/>
        <v>0</v>
      </c>
      <c r="I96" s="178">
        <v>42186</v>
      </c>
      <c r="J96" s="178">
        <v>42551</v>
      </c>
      <c r="K96" s="124"/>
    </row>
    <row r="97" spans="1:11" ht="12.75" customHeight="1">
      <c r="A97" s="26" t="str">
        <f t="shared" si="9"/>
        <v>23Early Achievers Opportunity Grant Application123-EAOG-16</v>
      </c>
      <c r="B97" s="120" t="s">
        <v>137</v>
      </c>
      <c r="C97" s="176" t="s">
        <v>79</v>
      </c>
      <c r="D97" s="280" t="s">
        <v>241</v>
      </c>
      <c r="E97" s="280" t="s">
        <v>569</v>
      </c>
      <c r="F97" s="282"/>
      <c r="G97" s="170"/>
      <c r="H97" s="170">
        <f t="shared" si="12"/>
        <v>0</v>
      </c>
      <c r="I97" s="178">
        <v>42186</v>
      </c>
      <c r="J97" s="178">
        <v>42551</v>
      </c>
      <c r="K97" s="124"/>
    </row>
    <row r="98" spans="1:11" ht="12.75" customHeight="1">
      <c r="A98" s="26" t="str">
        <f t="shared" ref="A98:A115" si="13">B98&amp;D98&amp;E98</f>
        <v>23I-DEA Grant123-IDEA-15</v>
      </c>
      <c r="B98" s="120" t="s">
        <v>137</v>
      </c>
      <c r="C98" s="176" t="s">
        <v>79</v>
      </c>
      <c r="D98" s="280" t="s">
        <v>242</v>
      </c>
      <c r="E98" s="280" t="s">
        <v>361</v>
      </c>
      <c r="F98" s="282"/>
      <c r="G98" s="170"/>
      <c r="H98" s="170">
        <f t="shared" si="12"/>
        <v>0</v>
      </c>
      <c r="I98" s="178">
        <v>41821</v>
      </c>
      <c r="J98" s="178">
        <v>42551</v>
      </c>
      <c r="K98" s="124"/>
    </row>
    <row r="99" spans="1:11" ht="12.75" customHeight="1">
      <c r="A99" s="26" t="str">
        <f t="shared" si="13"/>
        <v>23Misc. Detailed Grant123-B2C-15</v>
      </c>
      <c r="B99" s="120" t="s">
        <v>137</v>
      </c>
      <c r="C99" s="176" t="s">
        <v>79</v>
      </c>
      <c r="D99" s="280" t="s">
        <v>244</v>
      </c>
      <c r="E99" s="280" t="s">
        <v>570</v>
      </c>
      <c r="F99" s="282"/>
      <c r="G99" s="170"/>
      <c r="H99" s="170">
        <f t="shared" si="12"/>
        <v>0</v>
      </c>
      <c r="I99" s="178">
        <v>42065</v>
      </c>
      <c r="J99" s="178">
        <v>42551</v>
      </c>
      <c r="K99" s="124"/>
    </row>
    <row r="100" spans="1:11" ht="12.75" customHeight="1">
      <c r="A100" s="26" t="str">
        <f t="shared" si="13"/>
        <v>23Perkins Leadership Block Grant123-PLB-16</v>
      </c>
      <c r="B100" s="120" t="s">
        <v>137</v>
      </c>
      <c r="C100" s="176" t="s">
        <v>79</v>
      </c>
      <c r="D100" s="280" t="s">
        <v>233</v>
      </c>
      <c r="E100" s="280" t="s">
        <v>571</v>
      </c>
      <c r="F100" s="282"/>
      <c r="G100" s="170"/>
      <c r="H100" s="170">
        <f t="shared" si="12"/>
        <v>0</v>
      </c>
      <c r="I100" s="178">
        <v>42186</v>
      </c>
      <c r="J100" s="178">
        <v>42551</v>
      </c>
      <c r="K100" s="124"/>
    </row>
    <row r="101" spans="1:11" ht="12.75" customHeight="1">
      <c r="A101" s="26" t="str">
        <f t="shared" si="13"/>
        <v>23Perkins Plan123-PRK-16</v>
      </c>
      <c r="B101" s="120" t="s">
        <v>137</v>
      </c>
      <c r="C101" s="176" t="s">
        <v>79</v>
      </c>
      <c r="D101" s="280" t="s">
        <v>231</v>
      </c>
      <c r="E101" s="280" t="s">
        <v>572</v>
      </c>
      <c r="F101" s="282"/>
      <c r="G101" s="170"/>
      <c r="H101" s="170">
        <f t="shared" si="12"/>
        <v>0</v>
      </c>
      <c r="I101" s="178">
        <v>42186</v>
      </c>
      <c r="J101" s="178">
        <v>42551</v>
      </c>
      <c r="K101" s="124"/>
    </row>
    <row r="102" spans="1:11" ht="12.75" customHeight="1">
      <c r="A102" s="26" t="str">
        <f t="shared" si="13"/>
        <v>23WorkFirst Delivery Agreement123-WFDA-16</v>
      </c>
      <c r="B102" s="120" t="s">
        <v>137</v>
      </c>
      <c r="C102" s="176" t="s">
        <v>79</v>
      </c>
      <c r="D102" s="280" t="s">
        <v>232</v>
      </c>
      <c r="E102" s="280" t="s">
        <v>573</v>
      </c>
      <c r="F102" s="282"/>
      <c r="G102" s="170"/>
      <c r="H102" s="170">
        <f t="shared" si="12"/>
        <v>0</v>
      </c>
      <c r="I102" s="180">
        <v>42186</v>
      </c>
      <c r="J102" s="180">
        <v>42551</v>
      </c>
      <c r="K102" s="124"/>
    </row>
    <row r="103" spans="1:11" ht="12.75" customHeight="1">
      <c r="A103" s="24" t="str">
        <f t="shared" si="13"/>
        <v>23</v>
      </c>
      <c r="B103" s="126" t="s">
        <v>137</v>
      </c>
      <c r="C103" s="127" t="s">
        <v>79</v>
      </c>
      <c r="D103" s="127"/>
      <c r="E103" s="127"/>
      <c r="F103" s="284"/>
      <c r="G103" s="128"/>
      <c r="H103" s="128"/>
      <c r="I103" s="129"/>
      <c r="J103" s="129"/>
      <c r="K103" s="124"/>
    </row>
    <row r="104" spans="1:11" ht="12.75" customHeight="1">
      <c r="A104" s="26" t="str">
        <f t="shared" si="13"/>
        <v>5Basic Food Employment and Training Grant105-BFET-15</v>
      </c>
      <c r="B104" s="120" t="s">
        <v>119</v>
      </c>
      <c r="C104" s="176" t="s">
        <v>92</v>
      </c>
      <c r="D104" s="280" t="s">
        <v>240</v>
      </c>
      <c r="E104" s="280" t="s">
        <v>362</v>
      </c>
      <c r="F104" s="283"/>
      <c r="G104" s="170"/>
      <c r="H104" s="170">
        <f t="shared" ref="H104:H115" si="14">F104+G104</f>
        <v>0</v>
      </c>
      <c r="I104" s="180">
        <v>41913</v>
      </c>
      <c r="J104" s="180">
        <v>42277</v>
      </c>
      <c r="K104" s="124"/>
    </row>
    <row r="105" spans="1:11" ht="12.75" customHeight="1">
      <c r="A105" s="26" t="str">
        <f t="shared" si="13"/>
        <v>5BEdA Leadership Block Grant105-BLBG-16</v>
      </c>
      <c r="B105" s="120" t="s">
        <v>119</v>
      </c>
      <c r="C105" s="176" t="s">
        <v>92</v>
      </c>
      <c r="D105" s="280" t="s">
        <v>497</v>
      </c>
      <c r="E105" s="280" t="s">
        <v>574</v>
      </c>
      <c r="F105" s="283"/>
      <c r="G105" s="170"/>
      <c r="H105" s="170">
        <f t="shared" si="14"/>
        <v>0</v>
      </c>
      <c r="I105" s="180">
        <v>42186</v>
      </c>
      <c r="J105" s="180">
        <v>42551</v>
      </c>
      <c r="K105" s="124"/>
    </row>
    <row r="106" spans="1:11" ht="12.75" customHeight="1">
      <c r="A106" s="26" t="str">
        <f t="shared" si="13"/>
        <v>5BEdA Master Grant105-BEDA-16</v>
      </c>
      <c r="B106" s="120" t="s">
        <v>119</v>
      </c>
      <c r="C106" s="176" t="s">
        <v>92</v>
      </c>
      <c r="D106" s="280" t="s">
        <v>498</v>
      </c>
      <c r="E106" s="280" t="s">
        <v>575</v>
      </c>
      <c r="F106" s="283"/>
      <c r="G106" s="170"/>
      <c r="H106" s="170">
        <f t="shared" si="14"/>
        <v>0</v>
      </c>
      <c r="I106" s="180">
        <v>42186</v>
      </c>
      <c r="J106" s="180">
        <v>42551</v>
      </c>
      <c r="K106" s="124"/>
    </row>
    <row r="107" spans="1:11" ht="12.75" customHeight="1">
      <c r="A107" s="26" t="str">
        <f t="shared" si="13"/>
        <v>5BEdA Program – EL Civics Grant Budget105-ELC-16</v>
      </c>
      <c r="B107" s="120" t="s">
        <v>119</v>
      </c>
      <c r="C107" s="176" t="s">
        <v>92</v>
      </c>
      <c r="D107" s="280" t="s">
        <v>505</v>
      </c>
      <c r="E107" s="280" t="s">
        <v>576</v>
      </c>
      <c r="F107" s="282"/>
      <c r="G107" s="170"/>
      <c r="H107" s="170">
        <f t="shared" si="14"/>
        <v>0</v>
      </c>
      <c r="I107" s="178">
        <v>42186</v>
      </c>
      <c r="J107" s="178">
        <v>42551</v>
      </c>
      <c r="K107" s="124"/>
    </row>
    <row r="108" spans="1:11" ht="12.75" customHeight="1">
      <c r="A108" s="26" t="str">
        <f t="shared" si="13"/>
        <v>5Early Achievers Opportunity Grant Application105-EAOG-16</v>
      </c>
      <c r="B108" s="120" t="s">
        <v>119</v>
      </c>
      <c r="C108" s="176" t="s">
        <v>92</v>
      </c>
      <c r="D108" s="280" t="s">
        <v>241</v>
      </c>
      <c r="E108" s="280" t="s">
        <v>577</v>
      </c>
      <c r="F108" s="282"/>
      <c r="G108" s="170"/>
      <c r="H108" s="170">
        <f t="shared" si="14"/>
        <v>0</v>
      </c>
      <c r="I108" s="178">
        <v>42186</v>
      </c>
      <c r="J108" s="178">
        <v>42551</v>
      </c>
      <c r="K108" s="124"/>
    </row>
    <row r="109" spans="1:11" ht="12.75" customHeight="1">
      <c r="A109" s="26" t="str">
        <f t="shared" si="13"/>
        <v>5Misc. General Grant105-NGCC-15</v>
      </c>
      <c r="B109" s="120" t="s">
        <v>119</v>
      </c>
      <c r="C109" s="176" t="s">
        <v>92</v>
      </c>
      <c r="D109" s="280" t="s">
        <v>235</v>
      </c>
      <c r="E109" s="280" t="s">
        <v>578</v>
      </c>
      <c r="F109" s="282"/>
      <c r="G109" s="170"/>
      <c r="H109" s="170">
        <f t="shared" si="14"/>
        <v>0</v>
      </c>
      <c r="I109" s="180">
        <v>42037</v>
      </c>
      <c r="J109" s="180">
        <v>42735</v>
      </c>
      <c r="K109" s="124"/>
    </row>
    <row r="110" spans="1:11" ht="12.75" customHeight="1">
      <c r="A110" s="26" t="str">
        <f t="shared" si="13"/>
        <v>5Misc. General Grant105-NGST-15</v>
      </c>
      <c r="B110" s="120" t="s">
        <v>119</v>
      </c>
      <c r="C110" s="176" t="s">
        <v>92</v>
      </c>
      <c r="D110" s="280" t="s">
        <v>235</v>
      </c>
      <c r="E110" s="280" t="s">
        <v>579</v>
      </c>
      <c r="F110" s="282"/>
      <c r="G110" s="170"/>
      <c r="H110" s="170">
        <f t="shared" si="14"/>
        <v>0</v>
      </c>
      <c r="I110" s="180">
        <v>42037</v>
      </c>
      <c r="J110" s="180">
        <v>42551</v>
      </c>
      <c r="K110" s="124"/>
    </row>
    <row r="111" spans="1:11" ht="12.75" customHeight="1">
      <c r="A111" s="26" t="str">
        <f t="shared" si="13"/>
        <v>5Perkins Leadership Block Grant105-PLB-16</v>
      </c>
      <c r="B111" s="120" t="s">
        <v>119</v>
      </c>
      <c r="C111" s="176" t="s">
        <v>92</v>
      </c>
      <c r="D111" s="280" t="s">
        <v>233</v>
      </c>
      <c r="E111" s="280" t="s">
        <v>580</v>
      </c>
      <c r="F111" s="282"/>
      <c r="G111" s="170"/>
      <c r="H111" s="170">
        <f t="shared" si="14"/>
        <v>0</v>
      </c>
      <c r="I111" s="178">
        <v>42186</v>
      </c>
      <c r="J111" s="178">
        <v>42551</v>
      </c>
      <c r="K111" s="124"/>
    </row>
    <row r="112" spans="1:11" ht="12.75" customHeight="1">
      <c r="A112" s="26" t="str">
        <f t="shared" si="13"/>
        <v>5Perkins Non-Traditional Employment &amp; Training Gran105-PNT-16</v>
      </c>
      <c r="B112" s="120" t="s">
        <v>119</v>
      </c>
      <c r="C112" s="121" t="s">
        <v>92</v>
      </c>
      <c r="D112" s="280" t="s">
        <v>359</v>
      </c>
      <c r="E112" s="280" t="s">
        <v>581</v>
      </c>
      <c r="F112" s="283"/>
      <c r="G112" s="122"/>
      <c r="H112" s="170">
        <f t="shared" si="14"/>
        <v>0</v>
      </c>
      <c r="I112" s="123">
        <v>42186</v>
      </c>
      <c r="J112" s="123">
        <v>42551</v>
      </c>
      <c r="K112" s="124"/>
    </row>
    <row r="113" spans="1:11" ht="12.75" customHeight="1">
      <c r="A113" s="26" t="str">
        <f t="shared" si="13"/>
        <v>5Perkins Plan105-PRK-16</v>
      </c>
      <c r="B113" s="120" t="s">
        <v>119</v>
      </c>
      <c r="C113" s="121" t="s">
        <v>92</v>
      </c>
      <c r="D113" s="280" t="s">
        <v>231</v>
      </c>
      <c r="E113" s="280" t="s">
        <v>582</v>
      </c>
      <c r="F113" s="283"/>
      <c r="G113" s="122"/>
      <c r="H113" s="170">
        <f t="shared" si="14"/>
        <v>0</v>
      </c>
      <c r="I113" s="123">
        <v>42186</v>
      </c>
      <c r="J113" s="123">
        <v>42551</v>
      </c>
      <c r="K113" s="124"/>
    </row>
    <row r="114" spans="1:11" ht="12.75" customHeight="1">
      <c r="A114" s="26" t="str">
        <f t="shared" si="13"/>
        <v>5Phase III I-DEA Grant105-IDEA-16</v>
      </c>
      <c r="B114" s="120" t="s">
        <v>119</v>
      </c>
      <c r="C114" s="121" t="s">
        <v>92</v>
      </c>
      <c r="D114" s="280" t="s">
        <v>506</v>
      </c>
      <c r="E114" s="280" t="s">
        <v>583</v>
      </c>
      <c r="F114" s="283"/>
      <c r="G114" s="122"/>
      <c r="H114" s="170">
        <f t="shared" si="14"/>
        <v>0</v>
      </c>
      <c r="I114" s="123">
        <v>42186</v>
      </c>
      <c r="J114" s="123">
        <v>42551</v>
      </c>
      <c r="K114" s="124"/>
    </row>
    <row r="115" spans="1:11" ht="12.75" customHeight="1">
      <c r="A115" s="26" t="str">
        <f t="shared" si="13"/>
        <v>5WorkFirst Delivery Agreement105-WFDA-16</v>
      </c>
      <c r="B115" s="120" t="s">
        <v>119</v>
      </c>
      <c r="C115" s="121" t="s">
        <v>92</v>
      </c>
      <c r="D115" s="280" t="s">
        <v>232</v>
      </c>
      <c r="E115" s="280" t="s">
        <v>584</v>
      </c>
      <c r="F115" s="283"/>
      <c r="G115" s="122"/>
      <c r="H115" s="170">
        <f t="shared" si="14"/>
        <v>0</v>
      </c>
      <c r="I115" s="123">
        <v>42186</v>
      </c>
      <c r="J115" s="123">
        <v>42551</v>
      </c>
      <c r="K115" s="124"/>
    </row>
    <row r="116" spans="1:11" ht="12.75" customHeight="1">
      <c r="A116" s="24" t="str">
        <f>B116&amp;D115&amp;E116</f>
        <v>5WorkFirst Delivery Agreement</v>
      </c>
      <c r="B116" s="126" t="s">
        <v>119</v>
      </c>
      <c r="C116" s="127" t="s">
        <v>92</v>
      </c>
      <c r="D116" s="127"/>
      <c r="E116" s="127"/>
      <c r="F116" s="284"/>
      <c r="G116" s="128"/>
      <c r="H116" s="128"/>
      <c r="I116" s="129"/>
      <c r="J116" s="129"/>
      <c r="K116" s="124"/>
    </row>
    <row r="117" spans="1:11" ht="12.75" customHeight="1">
      <c r="A117" s="26" t="str">
        <f t="shared" ref="A117:A149" si="15">B117&amp;D117&amp;E117</f>
        <v>2Basic Food Employment and Training Grant102-BFET-15</v>
      </c>
      <c r="B117" s="120" t="s">
        <v>116</v>
      </c>
      <c r="C117" s="176" t="s">
        <v>93</v>
      </c>
      <c r="D117" s="280" t="s">
        <v>240</v>
      </c>
      <c r="E117" s="280" t="s">
        <v>363</v>
      </c>
      <c r="F117" s="282"/>
      <c r="G117" s="170"/>
      <c r="H117" s="170">
        <f t="shared" ref="H117:H126" si="16">F117+G117</f>
        <v>0</v>
      </c>
      <c r="I117" s="178">
        <v>41913</v>
      </c>
      <c r="J117" s="178">
        <v>42277</v>
      </c>
      <c r="K117" s="124"/>
    </row>
    <row r="118" spans="1:11" ht="12.75" customHeight="1">
      <c r="A118" s="26" t="str">
        <f t="shared" si="15"/>
        <v>2BEdA Master Grant102-BEDA-16</v>
      </c>
      <c r="B118" s="120" t="s">
        <v>116</v>
      </c>
      <c r="C118" s="176" t="s">
        <v>93</v>
      </c>
      <c r="D118" s="280" t="s">
        <v>498</v>
      </c>
      <c r="E118" s="280" t="s">
        <v>585</v>
      </c>
      <c r="F118" s="282"/>
      <c r="G118" s="170"/>
      <c r="H118" s="170">
        <f t="shared" si="16"/>
        <v>0</v>
      </c>
      <c r="I118" s="178">
        <v>42186</v>
      </c>
      <c r="J118" s="178">
        <v>42551</v>
      </c>
      <c r="K118" s="124"/>
    </row>
    <row r="119" spans="1:11" ht="12.75" customHeight="1">
      <c r="A119" s="26" t="str">
        <f t="shared" si="15"/>
        <v>2BEdA Program – EL Civics Grant Budget102-ELC-16</v>
      </c>
      <c r="B119" s="120" t="s">
        <v>116</v>
      </c>
      <c r="C119" s="121" t="s">
        <v>93</v>
      </c>
      <c r="D119" s="280" t="s">
        <v>505</v>
      </c>
      <c r="E119" s="280" t="s">
        <v>586</v>
      </c>
      <c r="F119" s="283"/>
      <c r="G119" s="122"/>
      <c r="H119" s="170">
        <f t="shared" si="16"/>
        <v>0</v>
      </c>
      <c r="I119" s="123">
        <v>42186</v>
      </c>
      <c r="J119" s="123">
        <v>42551</v>
      </c>
      <c r="K119" s="124"/>
    </row>
    <row r="120" spans="1:11" ht="12.75" customHeight="1">
      <c r="A120" s="26" t="str">
        <f t="shared" si="15"/>
        <v>2BEdA State Plan Innovations Grant102-BPSI-15</v>
      </c>
      <c r="B120" s="120" t="s">
        <v>116</v>
      </c>
      <c r="C120" s="121" t="s">
        <v>93</v>
      </c>
      <c r="D120" s="280" t="s">
        <v>412</v>
      </c>
      <c r="E120" s="280" t="s">
        <v>416</v>
      </c>
      <c r="F120" s="283"/>
      <c r="G120" s="122"/>
      <c r="H120" s="170">
        <f t="shared" si="16"/>
        <v>0</v>
      </c>
      <c r="I120" s="123">
        <v>41944</v>
      </c>
      <c r="J120" s="123">
        <v>42551</v>
      </c>
      <c r="K120" s="124"/>
    </row>
    <row r="121" spans="1:11" ht="12.75" customHeight="1">
      <c r="A121" s="26" t="str">
        <f t="shared" si="15"/>
        <v>2Correctional Education Grant102-CE-16</v>
      </c>
      <c r="B121" s="120" t="s">
        <v>116</v>
      </c>
      <c r="C121" s="121" t="s">
        <v>93</v>
      </c>
      <c r="D121" s="280" t="s">
        <v>267</v>
      </c>
      <c r="E121" s="280" t="s">
        <v>587</v>
      </c>
      <c r="F121" s="283"/>
      <c r="G121" s="122"/>
      <c r="H121" s="170">
        <f t="shared" si="16"/>
        <v>0</v>
      </c>
      <c r="I121" s="123">
        <v>42186</v>
      </c>
      <c r="J121" s="123">
        <v>42551</v>
      </c>
      <c r="K121" s="124"/>
    </row>
    <row r="122" spans="1:11" ht="12.75" customHeight="1">
      <c r="A122" s="26" t="str">
        <f t="shared" si="15"/>
        <v>2I-DEA Grant102-IDEA-15</v>
      </c>
      <c r="B122" s="120" t="s">
        <v>116</v>
      </c>
      <c r="C122" s="121" t="s">
        <v>93</v>
      </c>
      <c r="D122" s="280" t="s">
        <v>242</v>
      </c>
      <c r="E122" s="280" t="s">
        <v>364</v>
      </c>
      <c r="F122" s="283"/>
      <c r="G122" s="122"/>
      <c r="H122" s="170">
        <f t="shared" si="16"/>
        <v>0</v>
      </c>
      <c r="I122" s="123">
        <v>41821</v>
      </c>
      <c r="J122" s="123">
        <v>42551</v>
      </c>
      <c r="K122" s="124"/>
    </row>
    <row r="123" spans="1:11" ht="12.75" customHeight="1">
      <c r="A123" s="26" t="str">
        <f t="shared" si="15"/>
        <v>2Misc. General Grant102-IDRV4-15</v>
      </c>
      <c r="B123" s="120" t="s">
        <v>116</v>
      </c>
      <c r="C123" s="121" t="s">
        <v>93</v>
      </c>
      <c r="D123" s="280" t="s">
        <v>235</v>
      </c>
      <c r="E123" s="280" t="s">
        <v>588</v>
      </c>
      <c r="F123" s="283"/>
      <c r="G123" s="122"/>
      <c r="H123" s="170">
        <f t="shared" si="16"/>
        <v>0</v>
      </c>
      <c r="I123" s="123">
        <v>42146</v>
      </c>
      <c r="J123" s="123">
        <v>42277</v>
      </c>
      <c r="K123" s="124"/>
    </row>
    <row r="124" spans="1:11" ht="12.75" customHeight="1">
      <c r="A124" s="26" t="str">
        <f t="shared" si="15"/>
        <v>2Perkins Leadership Block Grant102-PLB-16</v>
      </c>
      <c r="B124" s="120" t="s">
        <v>116</v>
      </c>
      <c r="C124" s="121" t="s">
        <v>93</v>
      </c>
      <c r="D124" s="280" t="s">
        <v>233</v>
      </c>
      <c r="E124" s="280" t="s">
        <v>589</v>
      </c>
      <c r="F124" s="283"/>
      <c r="G124" s="122"/>
      <c r="H124" s="170">
        <f t="shared" si="16"/>
        <v>0</v>
      </c>
      <c r="I124" s="123">
        <v>42193</v>
      </c>
      <c r="J124" s="123">
        <v>42551</v>
      </c>
      <c r="K124" s="124"/>
    </row>
    <row r="125" spans="1:11" ht="12.75" customHeight="1">
      <c r="A125" s="26" t="str">
        <f t="shared" si="15"/>
        <v>2Perkins Plan102-PRK-16</v>
      </c>
      <c r="B125" s="120" t="s">
        <v>116</v>
      </c>
      <c r="C125" s="121" t="s">
        <v>93</v>
      </c>
      <c r="D125" s="280" t="s">
        <v>231</v>
      </c>
      <c r="E125" s="280" t="s">
        <v>590</v>
      </c>
      <c r="F125" s="283"/>
      <c r="G125" s="122"/>
      <c r="H125" s="170">
        <f t="shared" si="16"/>
        <v>0</v>
      </c>
      <c r="I125" s="123">
        <v>42186</v>
      </c>
      <c r="J125" s="123">
        <v>42551</v>
      </c>
      <c r="K125" s="124"/>
    </row>
    <row r="126" spans="1:11" ht="12.75" customHeight="1">
      <c r="A126" s="26" t="str">
        <f t="shared" si="15"/>
        <v>2WorkFirst Delivery Agreement102-WFDA-16</v>
      </c>
      <c r="B126" s="120" t="s">
        <v>116</v>
      </c>
      <c r="C126" s="121" t="s">
        <v>93</v>
      </c>
      <c r="D126" s="280" t="s">
        <v>232</v>
      </c>
      <c r="E126" s="280" t="s">
        <v>591</v>
      </c>
      <c r="F126" s="283"/>
      <c r="G126" s="122"/>
      <c r="H126" s="170">
        <f t="shared" si="16"/>
        <v>0</v>
      </c>
      <c r="I126" s="123">
        <v>42186</v>
      </c>
      <c r="J126" s="123">
        <v>42551</v>
      </c>
      <c r="K126" s="124"/>
    </row>
    <row r="127" spans="1:11" ht="12.75" customHeight="1">
      <c r="A127" s="24" t="str">
        <f t="shared" si="15"/>
        <v>2</v>
      </c>
      <c r="B127" s="126" t="s">
        <v>116</v>
      </c>
      <c r="C127" s="127" t="s">
        <v>93</v>
      </c>
      <c r="D127" s="127"/>
      <c r="E127" s="127"/>
      <c r="F127" s="284"/>
      <c r="G127" s="128"/>
      <c r="H127" s="128"/>
      <c r="I127" s="129"/>
      <c r="J127" s="129"/>
      <c r="K127" s="124"/>
    </row>
    <row r="128" spans="1:11" ht="12.75" customHeight="1">
      <c r="A128" s="26" t="str">
        <f t="shared" si="15"/>
        <v>10Basic Food Employment and Training Grant110-BFET-15</v>
      </c>
      <c r="B128" s="120" t="s">
        <v>124</v>
      </c>
      <c r="C128" s="176" t="s">
        <v>94</v>
      </c>
      <c r="D128" s="280" t="s">
        <v>240</v>
      </c>
      <c r="E128" s="280" t="s">
        <v>365</v>
      </c>
      <c r="F128" s="282"/>
      <c r="G128" s="170"/>
      <c r="H128" s="170">
        <f t="shared" ref="H128:H143" si="17">F128+G128</f>
        <v>0</v>
      </c>
      <c r="I128" s="180">
        <v>41913</v>
      </c>
      <c r="J128" s="180">
        <v>42277</v>
      </c>
      <c r="K128" s="124"/>
    </row>
    <row r="129" spans="1:11" ht="12.75" customHeight="1">
      <c r="A129" s="26" t="str">
        <f t="shared" si="15"/>
        <v>10BEdA Leadership Block Grant110-BLBG-16</v>
      </c>
      <c r="B129" s="120" t="s">
        <v>124</v>
      </c>
      <c r="C129" s="176" t="s">
        <v>94</v>
      </c>
      <c r="D129" s="280" t="s">
        <v>497</v>
      </c>
      <c r="E129" s="280" t="s">
        <v>592</v>
      </c>
      <c r="F129" s="282"/>
      <c r="G129" s="170"/>
      <c r="H129" s="170">
        <f t="shared" si="17"/>
        <v>0</v>
      </c>
      <c r="I129" s="180">
        <v>42186</v>
      </c>
      <c r="J129" s="180">
        <v>42551</v>
      </c>
      <c r="K129" s="124"/>
    </row>
    <row r="130" spans="1:11" ht="12.75" customHeight="1">
      <c r="A130" s="26" t="str">
        <f t="shared" si="15"/>
        <v>10BEdA Master Grant110-BEDA-16</v>
      </c>
      <c r="B130" s="120" t="s">
        <v>124</v>
      </c>
      <c r="C130" s="176" t="s">
        <v>94</v>
      </c>
      <c r="D130" s="280" t="s">
        <v>498</v>
      </c>
      <c r="E130" s="280" t="s">
        <v>593</v>
      </c>
      <c r="F130" s="282"/>
      <c r="G130" s="170"/>
      <c r="H130" s="170">
        <f t="shared" si="17"/>
        <v>0</v>
      </c>
      <c r="I130" s="180">
        <v>42186</v>
      </c>
      <c r="J130" s="180">
        <v>42551</v>
      </c>
      <c r="K130" s="124"/>
    </row>
    <row r="131" spans="1:11" ht="12.75" customHeight="1">
      <c r="A131" s="26" t="str">
        <f t="shared" si="15"/>
        <v>10BEdA Program – EL Civics Grant Budget110-ELC-16</v>
      </c>
      <c r="B131" s="120" t="s">
        <v>124</v>
      </c>
      <c r="C131" s="176" t="s">
        <v>94</v>
      </c>
      <c r="D131" s="280" t="s">
        <v>505</v>
      </c>
      <c r="E131" s="280" t="s">
        <v>594</v>
      </c>
      <c r="F131" s="283"/>
      <c r="G131" s="206"/>
      <c r="H131" s="170">
        <f t="shared" si="17"/>
        <v>0</v>
      </c>
      <c r="I131" s="286">
        <v>42186</v>
      </c>
      <c r="J131" s="286">
        <v>42551</v>
      </c>
      <c r="K131" s="124"/>
    </row>
    <row r="132" spans="1:11" ht="12.75" customHeight="1">
      <c r="A132" s="26" t="str">
        <f t="shared" si="15"/>
        <v>10BEdA State Plan Innovations Grant110-BSPI-15</v>
      </c>
      <c r="B132" s="120" t="s">
        <v>124</v>
      </c>
      <c r="C132" s="121" t="s">
        <v>94</v>
      </c>
      <c r="D132" s="280" t="s">
        <v>412</v>
      </c>
      <c r="E132" s="280" t="s">
        <v>417</v>
      </c>
      <c r="F132" s="283"/>
      <c r="G132" s="122"/>
      <c r="H132" s="170">
        <f t="shared" si="17"/>
        <v>0</v>
      </c>
      <c r="I132" s="123">
        <v>41944</v>
      </c>
      <c r="J132" s="123">
        <v>42551</v>
      </c>
      <c r="K132" s="124"/>
    </row>
    <row r="133" spans="1:11" ht="12.75" customHeight="1">
      <c r="A133" s="26" t="str">
        <f t="shared" si="15"/>
        <v>10Early Achievers Opportunity Grant Application110-EAOG-16</v>
      </c>
      <c r="B133" s="120" t="s">
        <v>124</v>
      </c>
      <c r="C133" s="121" t="s">
        <v>94</v>
      </c>
      <c r="D133" s="280" t="s">
        <v>241</v>
      </c>
      <c r="E133" s="280" t="s">
        <v>595</v>
      </c>
      <c r="F133" s="283"/>
      <c r="G133" s="122"/>
      <c r="H133" s="170">
        <f t="shared" si="17"/>
        <v>0</v>
      </c>
      <c r="I133" s="123">
        <v>42186</v>
      </c>
      <c r="J133" s="123">
        <v>42551</v>
      </c>
      <c r="K133" s="124"/>
    </row>
    <row r="134" spans="1:11" ht="12.75" customHeight="1">
      <c r="A134" s="26" t="str">
        <f t="shared" si="15"/>
        <v>10I-DEA Grant110-IDEA-15</v>
      </c>
      <c r="B134" s="120" t="s">
        <v>124</v>
      </c>
      <c r="C134" s="121" t="s">
        <v>94</v>
      </c>
      <c r="D134" s="280" t="s">
        <v>242</v>
      </c>
      <c r="E134" s="280" t="s">
        <v>366</v>
      </c>
      <c r="F134" s="283"/>
      <c r="G134" s="122"/>
      <c r="H134" s="170">
        <f t="shared" si="17"/>
        <v>0</v>
      </c>
      <c r="I134" s="123">
        <v>41821</v>
      </c>
      <c r="J134" s="123">
        <v>42551</v>
      </c>
      <c r="K134" s="124"/>
    </row>
    <row r="135" spans="1:11" ht="12.75" customHeight="1">
      <c r="A135" s="26" t="str">
        <f t="shared" si="15"/>
        <v>10Job Skills Program Grant110-JSP-16BC</v>
      </c>
      <c r="B135" s="120" t="s">
        <v>124</v>
      </c>
      <c r="C135" s="121" t="s">
        <v>94</v>
      </c>
      <c r="D135" s="280" t="s">
        <v>269</v>
      </c>
      <c r="E135" s="280" t="s">
        <v>596</v>
      </c>
      <c r="F135" s="283"/>
      <c r="G135" s="122"/>
      <c r="H135" s="170">
        <f t="shared" si="17"/>
        <v>0</v>
      </c>
      <c r="I135" s="123">
        <v>42217</v>
      </c>
      <c r="J135" s="123">
        <v>42916</v>
      </c>
      <c r="K135" s="124"/>
    </row>
    <row r="136" spans="1:11" ht="12.75" customHeight="1">
      <c r="A136" s="26" t="str">
        <f t="shared" si="15"/>
        <v>10Job Skills Program Grant110-JSP-16CG</v>
      </c>
      <c r="B136" s="120" t="s">
        <v>124</v>
      </c>
      <c r="C136" s="121" t="s">
        <v>94</v>
      </c>
      <c r="D136" s="280" t="s">
        <v>269</v>
      </c>
      <c r="E136" s="280" t="s">
        <v>597</v>
      </c>
      <c r="F136" s="283"/>
      <c r="G136" s="122"/>
      <c r="H136" s="170">
        <f t="shared" si="17"/>
        <v>0</v>
      </c>
      <c r="I136" s="123">
        <v>42200</v>
      </c>
      <c r="J136" s="123">
        <v>42916</v>
      </c>
      <c r="K136" s="124"/>
    </row>
    <row r="137" spans="1:11" ht="12.75" customHeight="1">
      <c r="A137" s="26" t="str">
        <f t="shared" si="15"/>
        <v>10Job Skills Program Grant110-JSP-16EK</v>
      </c>
      <c r="B137" s="120" t="s">
        <v>124</v>
      </c>
      <c r="C137" s="121" t="s">
        <v>94</v>
      </c>
      <c r="D137" s="280" t="s">
        <v>269</v>
      </c>
      <c r="E137" s="280" t="s">
        <v>598</v>
      </c>
      <c r="F137" s="283"/>
      <c r="G137" s="122"/>
      <c r="H137" s="170">
        <f t="shared" si="17"/>
        <v>0</v>
      </c>
      <c r="I137" s="123">
        <v>42205</v>
      </c>
      <c r="J137" s="123">
        <v>42916</v>
      </c>
      <c r="K137" s="124"/>
    </row>
    <row r="138" spans="1:11" ht="12.75" customHeight="1">
      <c r="A138" s="26" t="str">
        <f t="shared" si="15"/>
        <v>10Job Skills Program Grant110-JSP-16HC</v>
      </c>
      <c r="B138" s="120" t="s">
        <v>124</v>
      </c>
      <c r="C138" s="121" t="s">
        <v>94</v>
      </c>
      <c r="D138" s="280" t="s">
        <v>269</v>
      </c>
      <c r="E138" s="280" t="s">
        <v>599</v>
      </c>
      <c r="F138" s="283"/>
      <c r="G138" s="122"/>
      <c r="H138" s="170">
        <f t="shared" si="17"/>
        <v>0</v>
      </c>
      <c r="I138" s="123">
        <v>42200</v>
      </c>
      <c r="J138" s="123">
        <v>42916</v>
      </c>
      <c r="K138" s="124"/>
    </row>
    <row r="139" spans="1:11" ht="12.75" customHeight="1">
      <c r="A139" s="26" t="str">
        <f t="shared" si="15"/>
        <v>10Job Skills Program Grant110-JSP-16TAS</v>
      </c>
      <c r="B139" s="120" t="s">
        <v>124</v>
      </c>
      <c r="C139" s="121" t="s">
        <v>94</v>
      </c>
      <c r="D139" s="280" t="s">
        <v>269</v>
      </c>
      <c r="E139" s="280" t="s">
        <v>600</v>
      </c>
      <c r="F139" s="283"/>
      <c r="G139" s="122"/>
      <c r="H139" s="170">
        <f t="shared" si="17"/>
        <v>0</v>
      </c>
      <c r="I139" s="123">
        <v>42210</v>
      </c>
      <c r="J139" s="123">
        <v>42916</v>
      </c>
      <c r="K139" s="124"/>
    </row>
    <row r="140" spans="1:11" ht="12.75" customHeight="1">
      <c r="A140" s="26" t="str">
        <f t="shared" si="15"/>
        <v>10Perkins Plan110-PRK-16</v>
      </c>
      <c r="B140" s="120" t="s">
        <v>124</v>
      </c>
      <c r="C140" s="121" t="s">
        <v>94</v>
      </c>
      <c r="D140" s="280" t="s">
        <v>231</v>
      </c>
      <c r="E140" s="280" t="s">
        <v>601</v>
      </c>
      <c r="F140" s="283"/>
      <c r="G140" s="122"/>
      <c r="H140" s="170">
        <f t="shared" si="17"/>
        <v>0</v>
      </c>
      <c r="I140" s="123">
        <v>42186</v>
      </c>
      <c r="J140" s="123">
        <v>42551</v>
      </c>
      <c r="K140" s="124"/>
    </row>
    <row r="141" spans="1:11" ht="12.75" customHeight="1">
      <c r="A141" s="26" t="str">
        <f t="shared" si="15"/>
        <v>10Perkins Special Project110-PSP-16</v>
      </c>
      <c r="B141" s="120" t="s">
        <v>124</v>
      </c>
      <c r="C141" s="121" t="s">
        <v>94</v>
      </c>
      <c r="D141" s="280" t="s">
        <v>354</v>
      </c>
      <c r="E141" s="280" t="s">
        <v>602</v>
      </c>
      <c r="F141" s="283"/>
      <c r="G141" s="122"/>
      <c r="H141" s="170">
        <f t="shared" si="17"/>
        <v>0</v>
      </c>
      <c r="I141" s="123">
        <v>42207</v>
      </c>
      <c r="J141" s="123">
        <v>42551</v>
      </c>
      <c r="K141" s="124"/>
    </row>
    <row r="142" spans="1:11" ht="12.75" customHeight="1">
      <c r="A142" s="26" t="str">
        <f t="shared" si="15"/>
        <v>10Transcript Grid for Placement Project110-TG-15</v>
      </c>
      <c r="B142" s="120" t="s">
        <v>124</v>
      </c>
      <c r="C142" s="121" t="s">
        <v>94</v>
      </c>
      <c r="D142" s="280" t="s">
        <v>429</v>
      </c>
      <c r="E142" s="280" t="s">
        <v>431</v>
      </c>
      <c r="F142" s="283"/>
      <c r="G142" s="122"/>
      <c r="H142" s="170">
        <f t="shared" si="17"/>
        <v>0</v>
      </c>
      <c r="I142" s="123">
        <v>41883</v>
      </c>
      <c r="J142" s="123">
        <v>42247</v>
      </c>
      <c r="K142" s="124"/>
    </row>
    <row r="143" spans="1:11" ht="12.75" customHeight="1">
      <c r="A143" s="26" t="str">
        <f t="shared" si="15"/>
        <v>10WorkFirst Delivery Agreement110-WFDA-16</v>
      </c>
      <c r="B143" s="120" t="s">
        <v>124</v>
      </c>
      <c r="C143" s="121" t="s">
        <v>94</v>
      </c>
      <c r="D143" s="280" t="s">
        <v>232</v>
      </c>
      <c r="E143" s="280" t="s">
        <v>603</v>
      </c>
      <c r="F143" s="283"/>
      <c r="G143" s="122"/>
      <c r="H143" s="170">
        <f t="shared" si="17"/>
        <v>0</v>
      </c>
      <c r="I143" s="123">
        <v>42186</v>
      </c>
      <c r="J143" s="123">
        <v>42551</v>
      </c>
      <c r="K143" s="124"/>
    </row>
    <row r="144" spans="1:11" ht="12.75" customHeight="1">
      <c r="A144" s="24" t="str">
        <f t="shared" si="15"/>
        <v>10</v>
      </c>
      <c r="B144" s="126" t="s">
        <v>124</v>
      </c>
      <c r="C144" s="127" t="s">
        <v>94</v>
      </c>
      <c r="D144" s="127"/>
      <c r="E144" s="127"/>
      <c r="F144" s="284"/>
      <c r="G144" s="128"/>
      <c r="H144" s="128"/>
      <c r="I144" s="129"/>
      <c r="J144" s="129"/>
      <c r="K144" s="124"/>
    </row>
    <row r="145" spans="1:11" ht="12.75" customHeight="1">
      <c r="A145" s="26" t="str">
        <f t="shared" si="15"/>
        <v>9Basic Food Employment and Training Grant109-BFET-15</v>
      </c>
      <c r="B145" s="120" t="s">
        <v>123</v>
      </c>
      <c r="C145" s="176" t="s">
        <v>95</v>
      </c>
      <c r="D145" s="280" t="s">
        <v>240</v>
      </c>
      <c r="E145" s="280" t="s">
        <v>367</v>
      </c>
      <c r="F145" s="282"/>
      <c r="G145" s="170"/>
      <c r="H145" s="170">
        <f t="shared" ref="H145:H155" si="18">F145+G145</f>
        <v>0</v>
      </c>
      <c r="I145" s="180">
        <v>41913</v>
      </c>
      <c r="J145" s="180">
        <v>42277</v>
      </c>
      <c r="K145" s="124"/>
    </row>
    <row r="146" spans="1:11" ht="12.75" customHeight="1">
      <c r="A146" s="26" t="str">
        <f t="shared" si="15"/>
        <v>9BEdA Leadership Block Grant109-BLBG-16</v>
      </c>
      <c r="B146" s="120" t="s">
        <v>123</v>
      </c>
      <c r="C146" s="176" t="s">
        <v>95</v>
      </c>
      <c r="D146" s="280" t="s">
        <v>497</v>
      </c>
      <c r="E146" s="280" t="s">
        <v>604</v>
      </c>
      <c r="F146" s="282"/>
      <c r="G146" s="170"/>
      <c r="H146" s="170">
        <f t="shared" si="18"/>
        <v>0</v>
      </c>
      <c r="I146" s="180">
        <v>42186</v>
      </c>
      <c r="J146" s="180">
        <v>42551</v>
      </c>
      <c r="K146" s="124"/>
    </row>
    <row r="147" spans="1:11" ht="12.75" customHeight="1">
      <c r="A147" s="26" t="str">
        <f t="shared" si="15"/>
        <v>9BEdA Master Grant109-BEDA-16</v>
      </c>
      <c r="B147" s="120" t="s">
        <v>123</v>
      </c>
      <c r="C147" s="176" t="s">
        <v>95</v>
      </c>
      <c r="D147" s="280" t="s">
        <v>498</v>
      </c>
      <c r="E147" s="280" t="s">
        <v>605</v>
      </c>
      <c r="F147" s="282"/>
      <c r="G147" s="170"/>
      <c r="H147" s="170">
        <f t="shared" si="18"/>
        <v>0</v>
      </c>
      <c r="I147" s="178">
        <v>42186</v>
      </c>
      <c r="J147" s="178">
        <v>42551</v>
      </c>
      <c r="K147" s="124"/>
    </row>
    <row r="148" spans="1:11" ht="12.75" customHeight="1">
      <c r="A148" s="26" t="str">
        <f t="shared" si="15"/>
        <v>9BEdA Program – EL Civics Grant Budget109-ELC-16</v>
      </c>
      <c r="B148" s="120" t="s">
        <v>123</v>
      </c>
      <c r="C148" s="176" t="s">
        <v>95</v>
      </c>
      <c r="D148" s="280" t="s">
        <v>505</v>
      </c>
      <c r="E148" s="280" t="s">
        <v>606</v>
      </c>
      <c r="F148" s="282"/>
      <c r="G148" s="170"/>
      <c r="H148" s="170">
        <f t="shared" si="18"/>
        <v>0</v>
      </c>
      <c r="I148" s="178">
        <v>42186</v>
      </c>
      <c r="J148" s="178">
        <v>42551</v>
      </c>
      <c r="K148" s="124"/>
    </row>
    <row r="149" spans="1:11" ht="12.75" customHeight="1">
      <c r="A149" s="26" t="str">
        <f t="shared" si="15"/>
        <v>9BEdA State Plan Innovations Grant109-BSPI-15</v>
      </c>
      <c r="B149" s="120" t="s">
        <v>123</v>
      </c>
      <c r="C149" s="176" t="s">
        <v>95</v>
      </c>
      <c r="D149" s="280" t="s">
        <v>412</v>
      </c>
      <c r="E149" s="280" t="s">
        <v>418</v>
      </c>
      <c r="F149" s="282"/>
      <c r="G149" s="170"/>
      <c r="H149" s="170">
        <f t="shared" si="18"/>
        <v>0</v>
      </c>
      <c r="I149" s="178">
        <v>41944</v>
      </c>
      <c r="J149" s="178">
        <v>42551</v>
      </c>
      <c r="K149" s="124"/>
    </row>
    <row r="150" spans="1:11" ht="12.75" customHeight="1">
      <c r="A150" s="26" t="str">
        <f t="shared" ref="A150:A176" si="19">B150&amp;D150&amp;E150</f>
        <v>9Early Achievers Opportunity Grant Application109-EAOG-16</v>
      </c>
      <c r="B150" s="120" t="s">
        <v>123</v>
      </c>
      <c r="C150" s="176" t="s">
        <v>95</v>
      </c>
      <c r="D150" s="280" t="s">
        <v>241</v>
      </c>
      <c r="E150" s="280" t="s">
        <v>607</v>
      </c>
      <c r="F150" s="282"/>
      <c r="G150" s="170"/>
      <c r="H150" s="170">
        <f t="shared" si="18"/>
        <v>0</v>
      </c>
      <c r="I150" s="178">
        <v>42186</v>
      </c>
      <c r="J150" s="178">
        <v>42551</v>
      </c>
      <c r="K150" s="124"/>
    </row>
    <row r="151" spans="1:11" ht="12.75" customHeight="1">
      <c r="A151" s="26" t="str">
        <f t="shared" si="19"/>
        <v>9Faculty Learning Communities Initiative Grant109-FLCA-16CRE</v>
      </c>
      <c r="B151" s="120" t="s">
        <v>123</v>
      </c>
      <c r="C151" s="176" t="s">
        <v>95</v>
      </c>
      <c r="D151" s="280" t="s">
        <v>274</v>
      </c>
      <c r="E151" s="280" t="s">
        <v>608</v>
      </c>
      <c r="F151" s="282"/>
      <c r="G151" s="170"/>
      <c r="H151" s="170">
        <f t="shared" si="18"/>
        <v>0</v>
      </c>
      <c r="I151" s="178">
        <v>42186</v>
      </c>
      <c r="J151" s="178">
        <v>42551</v>
      </c>
      <c r="K151" s="124"/>
    </row>
    <row r="152" spans="1:11" ht="12.75" customHeight="1">
      <c r="A152" s="26" t="str">
        <f t="shared" si="19"/>
        <v>9Faculty Learning Communities Initiative Grant109-FLCE-16OER</v>
      </c>
      <c r="B152" s="120" t="s">
        <v>123</v>
      </c>
      <c r="C152" s="176" t="s">
        <v>95</v>
      </c>
      <c r="D152" s="280" t="s">
        <v>274</v>
      </c>
      <c r="E152" s="280" t="s">
        <v>609</v>
      </c>
      <c r="F152" s="282"/>
      <c r="G152" s="170"/>
      <c r="H152" s="170">
        <f t="shared" si="18"/>
        <v>0</v>
      </c>
      <c r="I152" s="178">
        <v>42186</v>
      </c>
      <c r="J152" s="178">
        <v>42551</v>
      </c>
      <c r="K152" s="124"/>
    </row>
    <row r="153" spans="1:11" ht="12.75" customHeight="1">
      <c r="A153" s="26" t="str">
        <f t="shared" si="19"/>
        <v>9Perkins Leadership Block Grant109-PLB-16</v>
      </c>
      <c r="B153" s="120" t="s">
        <v>123</v>
      </c>
      <c r="C153" s="176" t="s">
        <v>95</v>
      </c>
      <c r="D153" s="280" t="s">
        <v>233</v>
      </c>
      <c r="E153" s="280" t="s">
        <v>610</v>
      </c>
      <c r="F153" s="282"/>
      <c r="G153" s="170"/>
      <c r="H153" s="170">
        <f t="shared" si="18"/>
        <v>0</v>
      </c>
      <c r="I153" s="178">
        <v>42186</v>
      </c>
      <c r="J153" s="178">
        <v>42551</v>
      </c>
      <c r="K153" s="124"/>
    </row>
    <row r="154" spans="1:11" ht="12.75" customHeight="1">
      <c r="A154" s="26" t="str">
        <f t="shared" si="19"/>
        <v>9Perkins Plan109-PRK-16</v>
      </c>
      <c r="B154" s="120" t="s">
        <v>123</v>
      </c>
      <c r="C154" s="176" t="s">
        <v>95</v>
      </c>
      <c r="D154" s="280" t="s">
        <v>231</v>
      </c>
      <c r="E154" s="280" t="s">
        <v>611</v>
      </c>
      <c r="F154" s="282"/>
      <c r="G154" s="170"/>
      <c r="H154" s="170">
        <f t="shared" si="18"/>
        <v>0</v>
      </c>
      <c r="I154" s="178">
        <v>42186</v>
      </c>
      <c r="J154" s="178">
        <v>42551</v>
      </c>
      <c r="K154" s="124"/>
    </row>
    <row r="155" spans="1:11" ht="12.75" customHeight="1">
      <c r="A155" s="26" t="str">
        <f>B155&amp;D155&amp;E155</f>
        <v>9WorkFirst Delivery Agreement109-WFDA-16</v>
      </c>
      <c r="B155" s="120" t="s">
        <v>123</v>
      </c>
      <c r="C155" s="176" t="s">
        <v>95</v>
      </c>
      <c r="D155" s="280" t="s">
        <v>232</v>
      </c>
      <c r="E155" s="280" t="s">
        <v>612</v>
      </c>
      <c r="F155" s="282"/>
      <c r="G155" s="170"/>
      <c r="H155" s="170">
        <f t="shared" si="18"/>
        <v>0</v>
      </c>
      <c r="I155" s="178">
        <v>42186</v>
      </c>
      <c r="J155" s="178">
        <v>42551</v>
      </c>
      <c r="K155" s="124"/>
    </row>
    <row r="156" spans="1:11" ht="12.75" customHeight="1">
      <c r="A156" s="24" t="str">
        <f t="shared" si="19"/>
        <v>9</v>
      </c>
      <c r="B156" s="126" t="s">
        <v>123</v>
      </c>
      <c r="C156" s="127" t="s">
        <v>95</v>
      </c>
      <c r="D156" s="127"/>
      <c r="E156" s="127"/>
      <c r="F156" s="284"/>
      <c r="G156" s="128"/>
      <c r="H156" s="128"/>
      <c r="I156" s="129"/>
      <c r="J156" s="129"/>
      <c r="K156" s="124"/>
    </row>
    <row r="157" spans="1:11" ht="12.75" customHeight="1">
      <c r="A157" s="26" t="str">
        <f t="shared" si="19"/>
        <v>26Basic Food Employment and Training Grant126-BFET-15</v>
      </c>
      <c r="B157" s="120" t="s">
        <v>140</v>
      </c>
      <c r="C157" s="176" t="s">
        <v>226</v>
      </c>
      <c r="D157" s="280" t="s">
        <v>240</v>
      </c>
      <c r="E157" s="280" t="s">
        <v>368</v>
      </c>
      <c r="F157" s="282"/>
      <c r="G157" s="170"/>
      <c r="H157" s="170">
        <f t="shared" ref="H157:H166" si="20">F157+G157</f>
        <v>0</v>
      </c>
      <c r="I157" s="180">
        <v>41913</v>
      </c>
      <c r="J157" s="180">
        <v>42277</v>
      </c>
      <c r="K157" s="124"/>
    </row>
    <row r="158" spans="1:11" ht="12.75" customHeight="1">
      <c r="A158" s="26" t="str">
        <f t="shared" si="19"/>
        <v>26BEdA Leadership Block Grant126-BLBG-16</v>
      </c>
      <c r="B158" s="120" t="s">
        <v>140</v>
      </c>
      <c r="C158" s="176" t="s">
        <v>226</v>
      </c>
      <c r="D158" s="280" t="s">
        <v>497</v>
      </c>
      <c r="E158" s="280" t="s">
        <v>613</v>
      </c>
      <c r="F158" s="282"/>
      <c r="G158" s="170"/>
      <c r="H158" s="170">
        <f t="shared" si="20"/>
        <v>0</v>
      </c>
      <c r="I158" s="180">
        <v>42186</v>
      </c>
      <c r="J158" s="180">
        <v>42551</v>
      </c>
      <c r="K158" s="124"/>
    </row>
    <row r="159" spans="1:11" ht="12.75" customHeight="1">
      <c r="A159" s="26" t="str">
        <f t="shared" si="19"/>
        <v>26BEdA Master Grant126-BEDA-16</v>
      </c>
      <c r="B159" s="120" t="s">
        <v>140</v>
      </c>
      <c r="C159" s="176" t="s">
        <v>226</v>
      </c>
      <c r="D159" s="280" t="s">
        <v>498</v>
      </c>
      <c r="E159" s="280" t="s">
        <v>614</v>
      </c>
      <c r="F159" s="282"/>
      <c r="G159" s="170"/>
      <c r="H159" s="170">
        <f t="shared" si="20"/>
        <v>0</v>
      </c>
      <c r="I159" s="180">
        <v>42186</v>
      </c>
      <c r="J159" s="180">
        <v>42551</v>
      </c>
      <c r="K159" s="124"/>
    </row>
    <row r="160" spans="1:11" ht="12.75" customHeight="1">
      <c r="A160" s="26" t="str">
        <f t="shared" si="19"/>
        <v>26BEdA Program – EL Civics Grant Budget126-ELC-16</v>
      </c>
      <c r="B160" s="120" t="s">
        <v>140</v>
      </c>
      <c r="C160" s="176" t="s">
        <v>226</v>
      </c>
      <c r="D160" s="280" t="s">
        <v>505</v>
      </c>
      <c r="E160" s="280" t="s">
        <v>615</v>
      </c>
      <c r="F160" s="282"/>
      <c r="G160" s="170"/>
      <c r="H160" s="170">
        <f t="shared" si="20"/>
        <v>0</v>
      </c>
      <c r="I160" s="180">
        <v>42186</v>
      </c>
      <c r="J160" s="180">
        <v>42551</v>
      </c>
      <c r="K160" s="124"/>
    </row>
    <row r="161" spans="1:11" ht="12.75" customHeight="1">
      <c r="A161" s="26" t="str">
        <f t="shared" si="19"/>
        <v>26BEdA State Plan Innovations Grant126-BSPI-15</v>
      </c>
      <c r="B161" s="120" t="s">
        <v>140</v>
      </c>
      <c r="C161" s="176" t="s">
        <v>226</v>
      </c>
      <c r="D161" s="280" t="s">
        <v>412</v>
      </c>
      <c r="E161" s="280" t="s">
        <v>419</v>
      </c>
      <c r="F161" s="282"/>
      <c r="G161" s="170"/>
      <c r="H161" s="170">
        <f t="shared" si="20"/>
        <v>0</v>
      </c>
      <c r="I161" s="180">
        <v>41944</v>
      </c>
      <c r="J161" s="180">
        <v>42551</v>
      </c>
      <c r="K161" s="124"/>
    </row>
    <row r="162" spans="1:11" ht="12.75" customHeight="1">
      <c r="A162" s="26" t="str">
        <f t="shared" si="19"/>
        <v>26Early Achievers Opportunity Grant Application126-EAOG-16</v>
      </c>
      <c r="B162" s="120" t="s">
        <v>140</v>
      </c>
      <c r="C162" s="176" t="s">
        <v>226</v>
      </c>
      <c r="D162" s="280" t="s">
        <v>241</v>
      </c>
      <c r="E162" s="280" t="s">
        <v>616</v>
      </c>
      <c r="F162" s="282"/>
      <c r="G162" s="170"/>
      <c r="H162" s="170">
        <f t="shared" si="20"/>
        <v>0</v>
      </c>
      <c r="I162" s="180">
        <v>42186</v>
      </c>
      <c r="J162" s="180">
        <v>42551</v>
      </c>
      <c r="K162" s="124"/>
    </row>
    <row r="163" spans="1:11" ht="12.75" customHeight="1">
      <c r="A163" s="26" t="str">
        <f t="shared" si="19"/>
        <v>26Faculty Learning Communities Initiative Grant126-FLCA-16</v>
      </c>
      <c r="B163" s="120" t="s">
        <v>140</v>
      </c>
      <c r="C163" s="176" t="s">
        <v>226</v>
      </c>
      <c r="D163" s="280" t="s">
        <v>274</v>
      </c>
      <c r="E163" s="280" t="s">
        <v>617</v>
      </c>
      <c r="F163" s="282"/>
      <c r="G163" s="170"/>
      <c r="H163" s="170">
        <f t="shared" si="20"/>
        <v>0</v>
      </c>
      <c r="I163" s="180">
        <v>42186</v>
      </c>
      <c r="J163" s="180">
        <v>42551</v>
      </c>
      <c r="K163" s="124"/>
    </row>
    <row r="164" spans="1:11" ht="12.75" customHeight="1">
      <c r="A164" s="26" t="str">
        <f t="shared" si="19"/>
        <v>26I-DEA Grant126-IDEA-13</v>
      </c>
      <c r="B164" s="120" t="s">
        <v>140</v>
      </c>
      <c r="C164" s="176" t="s">
        <v>226</v>
      </c>
      <c r="D164" s="280" t="s">
        <v>242</v>
      </c>
      <c r="E164" s="280" t="s">
        <v>245</v>
      </c>
      <c r="F164" s="282"/>
      <c r="G164" s="170"/>
      <c r="H164" s="170">
        <f t="shared" si="20"/>
        <v>0</v>
      </c>
      <c r="I164" s="180">
        <v>41275</v>
      </c>
      <c r="J164" s="180">
        <v>42551</v>
      </c>
      <c r="K164" s="124"/>
    </row>
    <row r="165" spans="1:11" ht="12.75" customHeight="1">
      <c r="A165" s="26" t="str">
        <f t="shared" si="19"/>
        <v>26Perkins Plan126-PRK-16</v>
      </c>
      <c r="B165" s="120" t="s">
        <v>140</v>
      </c>
      <c r="C165" s="176" t="s">
        <v>226</v>
      </c>
      <c r="D165" s="280" t="s">
        <v>231</v>
      </c>
      <c r="E165" s="280" t="s">
        <v>618</v>
      </c>
      <c r="F165" s="282"/>
      <c r="G165" s="170"/>
      <c r="H165" s="170">
        <f t="shared" si="20"/>
        <v>0</v>
      </c>
      <c r="I165" s="180">
        <v>42186</v>
      </c>
      <c r="J165" s="180">
        <v>42551</v>
      </c>
      <c r="K165" s="124"/>
    </row>
    <row r="166" spans="1:11" ht="12.75" customHeight="1">
      <c r="A166" s="26" t="str">
        <f t="shared" si="19"/>
        <v>26WorkFirst Delivery Agreement126-WFDA-16</v>
      </c>
      <c r="B166" s="120" t="s">
        <v>140</v>
      </c>
      <c r="C166" s="176" t="s">
        <v>226</v>
      </c>
      <c r="D166" s="280" t="s">
        <v>232</v>
      </c>
      <c r="E166" s="280" t="s">
        <v>619</v>
      </c>
      <c r="F166" s="282"/>
      <c r="G166" s="170"/>
      <c r="H166" s="170">
        <f t="shared" si="20"/>
        <v>0</v>
      </c>
      <c r="I166" s="180">
        <v>42186</v>
      </c>
      <c r="J166" s="180">
        <v>42551</v>
      </c>
      <c r="K166" s="124"/>
    </row>
    <row r="167" spans="1:11" ht="12.75" customHeight="1">
      <c r="A167" s="24" t="str">
        <f t="shared" si="19"/>
        <v>26</v>
      </c>
      <c r="B167" s="126" t="s">
        <v>140</v>
      </c>
      <c r="C167" s="181" t="s">
        <v>226</v>
      </c>
      <c r="D167" s="131"/>
      <c r="E167" s="131"/>
      <c r="F167" s="284"/>
      <c r="G167" s="128"/>
      <c r="H167" s="128"/>
      <c r="I167" s="129"/>
      <c r="J167" s="129"/>
      <c r="K167" s="124"/>
    </row>
    <row r="168" spans="1:11" ht="12.75" customHeight="1">
      <c r="A168" s="26" t="str">
        <f t="shared" si="19"/>
        <v>13Basic Food Employment and Training Grant113-BFET-15</v>
      </c>
      <c r="B168" s="120" t="s">
        <v>127</v>
      </c>
      <c r="C168" s="176" t="s">
        <v>96</v>
      </c>
      <c r="D168" s="280" t="s">
        <v>240</v>
      </c>
      <c r="E168" s="280" t="s">
        <v>369</v>
      </c>
      <c r="F168" s="283"/>
      <c r="G168" s="170"/>
      <c r="H168" s="170">
        <f t="shared" ref="H168:H176" si="21">F168+G168</f>
        <v>0</v>
      </c>
      <c r="I168" s="180">
        <v>41913</v>
      </c>
      <c r="J168" s="180">
        <v>42277</v>
      </c>
      <c r="K168" s="124"/>
    </row>
    <row r="169" spans="1:11" ht="12.75" customHeight="1">
      <c r="A169" s="26" t="str">
        <f t="shared" si="19"/>
        <v>13BEdA Leadership Block Grant113-BLBG-16</v>
      </c>
      <c r="B169" s="120" t="s">
        <v>127</v>
      </c>
      <c r="C169" s="176" t="s">
        <v>96</v>
      </c>
      <c r="D169" s="280" t="s">
        <v>497</v>
      </c>
      <c r="E169" s="280" t="s">
        <v>620</v>
      </c>
      <c r="F169" s="283"/>
      <c r="G169" s="170"/>
      <c r="H169" s="170">
        <f t="shared" si="21"/>
        <v>0</v>
      </c>
      <c r="I169" s="180">
        <v>42186</v>
      </c>
      <c r="J169" s="180">
        <v>42551</v>
      </c>
      <c r="K169" s="124"/>
    </row>
    <row r="170" spans="1:11" ht="12.75" customHeight="1">
      <c r="A170" s="26" t="str">
        <f t="shared" si="19"/>
        <v>13BEdA Master Grant113-BEDA-16</v>
      </c>
      <c r="B170" s="120" t="s">
        <v>127</v>
      </c>
      <c r="C170" s="176" t="s">
        <v>96</v>
      </c>
      <c r="D170" s="280" t="s">
        <v>498</v>
      </c>
      <c r="E170" s="280" t="s">
        <v>621</v>
      </c>
      <c r="F170" s="283"/>
      <c r="G170" s="170"/>
      <c r="H170" s="170">
        <f t="shared" si="21"/>
        <v>0</v>
      </c>
      <c r="I170" s="180">
        <v>42186</v>
      </c>
      <c r="J170" s="180">
        <v>42551</v>
      </c>
      <c r="K170" s="124"/>
    </row>
    <row r="171" spans="1:11" ht="12.75" customHeight="1">
      <c r="A171" s="26" t="str">
        <f t="shared" si="19"/>
        <v>13BEdA Program – EL Civics Grant Budget113-ELC-16</v>
      </c>
      <c r="B171" s="120" t="s">
        <v>127</v>
      </c>
      <c r="C171" s="176" t="s">
        <v>96</v>
      </c>
      <c r="D171" s="280" t="s">
        <v>505</v>
      </c>
      <c r="E171" s="280" t="s">
        <v>622</v>
      </c>
      <c r="F171" s="283"/>
      <c r="G171" s="170"/>
      <c r="H171" s="170">
        <f t="shared" si="21"/>
        <v>0</v>
      </c>
      <c r="I171" s="180">
        <v>42186</v>
      </c>
      <c r="J171" s="180">
        <v>42551</v>
      </c>
      <c r="K171" s="124"/>
    </row>
    <row r="172" spans="1:11" ht="12.75" customHeight="1">
      <c r="A172" s="26" t="str">
        <f t="shared" si="19"/>
        <v>13Early Achievers Opportunity Grant Application113-EAOG-16</v>
      </c>
      <c r="B172" s="120" t="s">
        <v>127</v>
      </c>
      <c r="C172" s="176" t="s">
        <v>96</v>
      </c>
      <c r="D172" s="280" t="s">
        <v>241</v>
      </c>
      <c r="E172" s="280" t="s">
        <v>623</v>
      </c>
      <c r="F172" s="282"/>
      <c r="G172" s="170"/>
      <c r="H172" s="170">
        <f t="shared" si="21"/>
        <v>0</v>
      </c>
      <c r="I172" s="178">
        <v>42186</v>
      </c>
      <c r="J172" s="178">
        <v>42551</v>
      </c>
      <c r="K172" s="124"/>
    </row>
    <row r="173" spans="1:11" ht="12.75" customHeight="1">
      <c r="A173" s="26" t="str">
        <f t="shared" si="19"/>
        <v>13I-DEA Grant113-IDEA-15</v>
      </c>
      <c r="B173" s="120" t="s">
        <v>127</v>
      </c>
      <c r="C173" s="176" t="s">
        <v>96</v>
      </c>
      <c r="D173" s="280" t="s">
        <v>242</v>
      </c>
      <c r="E173" s="280" t="s">
        <v>370</v>
      </c>
      <c r="F173" s="282"/>
      <c r="G173" s="170"/>
      <c r="H173" s="170">
        <f t="shared" si="21"/>
        <v>0</v>
      </c>
      <c r="I173" s="178">
        <v>41821</v>
      </c>
      <c r="J173" s="178">
        <v>42551</v>
      </c>
      <c r="K173" s="124"/>
    </row>
    <row r="174" spans="1:11" ht="12.75" customHeight="1">
      <c r="A174" s="26" t="str">
        <f t="shared" si="19"/>
        <v>13Perkins Non-Traditional Employment &amp; Training Gran113-PNT-16</v>
      </c>
      <c r="B174" s="120" t="s">
        <v>127</v>
      </c>
      <c r="C174" s="176" t="s">
        <v>96</v>
      </c>
      <c r="D174" s="280" t="s">
        <v>359</v>
      </c>
      <c r="E174" s="280" t="s">
        <v>624</v>
      </c>
      <c r="F174" s="282"/>
      <c r="G174" s="170"/>
      <c r="H174" s="170">
        <f t="shared" si="21"/>
        <v>0</v>
      </c>
      <c r="I174" s="178">
        <v>42186</v>
      </c>
      <c r="J174" s="178">
        <v>42551</v>
      </c>
      <c r="K174" s="124"/>
    </row>
    <row r="175" spans="1:11" ht="12.75" customHeight="1">
      <c r="A175" s="26" t="str">
        <f t="shared" si="19"/>
        <v>13Perkins Plan113-PRK-16</v>
      </c>
      <c r="B175" s="120" t="s">
        <v>127</v>
      </c>
      <c r="C175" s="176" t="s">
        <v>96</v>
      </c>
      <c r="D175" s="280" t="s">
        <v>231</v>
      </c>
      <c r="E175" s="280" t="s">
        <v>625</v>
      </c>
      <c r="F175" s="282"/>
      <c r="G175" s="170"/>
      <c r="H175" s="170">
        <f t="shared" si="21"/>
        <v>0</v>
      </c>
      <c r="I175" s="178">
        <v>42186</v>
      </c>
      <c r="J175" s="178">
        <v>42551</v>
      </c>
      <c r="K175" s="124"/>
    </row>
    <row r="176" spans="1:11" ht="12.75" customHeight="1">
      <c r="A176" s="26" t="str">
        <f t="shared" si="19"/>
        <v>13WorkFirst Delivery Agreement113-WFDA-16</v>
      </c>
      <c r="B176" s="120" t="s">
        <v>127</v>
      </c>
      <c r="C176" s="176" t="s">
        <v>96</v>
      </c>
      <c r="D176" s="280" t="s">
        <v>232</v>
      </c>
      <c r="E176" s="280" t="s">
        <v>626</v>
      </c>
      <c r="F176" s="282"/>
      <c r="G176" s="170"/>
      <c r="H176" s="170">
        <f t="shared" si="21"/>
        <v>0</v>
      </c>
      <c r="I176" s="178">
        <v>42186</v>
      </c>
      <c r="J176" s="178">
        <v>42551</v>
      </c>
      <c r="K176" s="124"/>
    </row>
    <row r="177" spans="1:11" ht="12.75" customHeight="1">
      <c r="A177" s="24" t="str">
        <f t="shared" ref="A177:A240" si="22">B177&amp;D177&amp;E177</f>
        <v>13</v>
      </c>
      <c r="B177" s="126" t="s">
        <v>127</v>
      </c>
      <c r="C177" s="127" t="s">
        <v>96</v>
      </c>
      <c r="D177" s="127"/>
      <c r="E177" s="127"/>
      <c r="F177" s="284"/>
      <c r="G177" s="128"/>
      <c r="H177" s="128"/>
      <c r="I177" s="129"/>
      <c r="J177" s="129"/>
      <c r="K177" s="124"/>
    </row>
    <row r="178" spans="1:11" ht="12.75" customHeight="1">
      <c r="A178" s="26" t="str">
        <f t="shared" ref="A178:A205" si="23">B178&amp;D178&amp;E178</f>
        <v>6Basic Food Employment and Training Grant132-BFET-15</v>
      </c>
      <c r="B178" s="120" t="s">
        <v>120</v>
      </c>
      <c r="C178" s="176" t="s">
        <v>97</v>
      </c>
      <c r="D178" s="280" t="s">
        <v>240</v>
      </c>
      <c r="E178" s="280" t="s">
        <v>371</v>
      </c>
      <c r="F178" s="282"/>
      <c r="G178" s="170"/>
      <c r="H178" s="170">
        <f t="shared" ref="H178:H186" si="24">F178+G178</f>
        <v>0</v>
      </c>
      <c r="I178" s="178">
        <v>41913</v>
      </c>
      <c r="J178" s="178">
        <v>42277</v>
      </c>
      <c r="K178" s="124"/>
    </row>
    <row r="179" spans="1:11" ht="12.75" customHeight="1">
      <c r="A179" s="26" t="str">
        <f t="shared" si="23"/>
        <v>6BEdA Leadership Block Grant132-BLBG-16</v>
      </c>
      <c r="B179" s="120" t="s">
        <v>120</v>
      </c>
      <c r="C179" s="176" t="s">
        <v>97</v>
      </c>
      <c r="D179" s="280" t="s">
        <v>497</v>
      </c>
      <c r="E179" s="280" t="s">
        <v>627</v>
      </c>
      <c r="F179" s="282"/>
      <c r="G179" s="170"/>
      <c r="H179" s="170">
        <f t="shared" si="24"/>
        <v>0</v>
      </c>
      <c r="I179" s="178">
        <v>42186</v>
      </c>
      <c r="J179" s="178">
        <v>42551</v>
      </c>
      <c r="K179" s="124"/>
    </row>
    <row r="180" spans="1:11" ht="12.75" customHeight="1">
      <c r="A180" s="26" t="str">
        <f t="shared" si="23"/>
        <v>6BEdA Master Grant132-BEDA-16</v>
      </c>
      <c r="B180" s="120" t="s">
        <v>120</v>
      </c>
      <c r="C180" s="176" t="s">
        <v>97</v>
      </c>
      <c r="D180" s="280" t="s">
        <v>498</v>
      </c>
      <c r="E180" s="280" t="s">
        <v>628</v>
      </c>
      <c r="F180" s="282"/>
      <c r="G180" s="170"/>
      <c r="H180" s="170">
        <f t="shared" si="24"/>
        <v>0</v>
      </c>
      <c r="I180" s="178">
        <v>42186</v>
      </c>
      <c r="J180" s="178">
        <v>42551</v>
      </c>
      <c r="K180" s="124"/>
    </row>
    <row r="181" spans="1:11" ht="12.75" customHeight="1">
      <c r="A181" s="26" t="str">
        <f t="shared" si="23"/>
        <v>6BEdA Program – EL Civics Grant Budget132-ELC-16</v>
      </c>
      <c r="B181" s="120" t="s">
        <v>120</v>
      </c>
      <c r="C181" s="176" t="s">
        <v>97</v>
      </c>
      <c r="D181" s="280" t="s">
        <v>505</v>
      </c>
      <c r="E181" s="280" t="s">
        <v>629</v>
      </c>
      <c r="F181" s="282"/>
      <c r="G181" s="170"/>
      <c r="H181" s="170">
        <f t="shared" si="24"/>
        <v>0</v>
      </c>
      <c r="I181" s="178">
        <v>42186</v>
      </c>
      <c r="J181" s="178">
        <v>42551</v>
      </c>
      <c r="K181" s="124"/>
    </row>
    <row r="182" spans="1:11" ht="12.75" customHeight="1">
      <c r="A182" s="26" t="str">
        <f t="shared" si="23"/>
        <v>6Early Achievers Opportunity Grant Application132-EAOG-16</v>
      </c>
      <c r="B182" s="120" t="s">
        <v>120</v>
      </c>
      <c r="C182" s="176" t="s">
        <v>97</v>
      </c>
      <c r="D182" s="280" t="s">
        <v>241</v>
      </c>
      <c r="E182" s="280" t="s">
        <v>630</v>
      </c>
      <c r="F182" s="282"/>
      <c r="G182" s="170"/>
      <c r="H182" s="170">
        <f t="shared" si="24"/>
        <v>0</v>
      </c>
      <c r="I182" s="178">
        <v>42186</v>
      </c>
      <c r="J182" s="178">
        <v>42551</v>
      </c>
      <c r="K182" s="124"/>
    </row>
    <row r="183" spans="1:11" ht="12.75" customHeight="1">
      <c r="A183" s="26" t="str">
        <f t="shared" si="23"/>
        <v>6I-DEA Grant132-IDEA-13</v>
      </c>
      <c r="B183" s="120" t="s">
        <v>120</v>
      </c>
      <c r="C183" s="176" t="s">
        <v>97</v>
      </c>
      <c r="D183" s="280" t="s">
        <v>242</v>
      </c>
      <c r="E183" s="280" t="s">
        <v>246</v>
      </c>
      <c r="F183" s="282"/>
      <c r="G183" s="170"/>
      <c r="H183" s="170">
        <f t="shared" si="24"/>
        <v>0</v>
      </c>
      <c r="I183" s="178">
        <v>41275</v>
      </c>
      <c r="J183" s="178">
        <v>42551</v>
      </c>
      <c r="K183" s="124"/>
    </row>
    <row r="184" spans="1:11" ht="12.75" customHeight="1">
      <c r="A184" s="26" t="str">
        <f t="shared" si="23"/>
        <v>6Misc. General Grant132-IDRV-15</v>
      </c>
      <c r="B184" s="120" t="s">
        <v>120</v>
      </c>
      <c r="C184" s="176" t="s">
        <v>97</v>
      </c>
      <c r="D184" s="280" t="s">
        <v>235</v>
      </c>
      <c r="E184" s="280" t="s">
        <v>631</v>
      </c>
      <c r="F184" s="282"/>
      <c r="G184" s="170"/>
      <c r="H184" s="170">
        <f t="shared" si="24"/>
        <v>0</v>
      </c>
      <c r="I184" s="178">
        <v>42171</v>
      </c>
      <c r="J184" s="178">
        <v>42277</v>
      </c>
      <c r="K184" s="124"/>
    </row>
    <row r="185" spans="1:11" ht="12.75" customHeight="1">
      <c r="A185" s="26" t="str">
        <f t="shared" si="23"/>
        <v>6Perkins Plan132-PRK-16</v>
      </c>
      <c r="B185" s="120" t="s">
        <v>120</v>
      </c>
      <c r="C185" s="176" t="s">
        <v>97</v>
      </c>
      <c r="D185" s="280" t="s">
        <v>231</v>
      </c>
      <c r="E185" s="280" t="s">
        <v>632</v>
      </c>
      <c r="F185" s="282"/>
      <c r="G185" s="170"/>
      <c r="H185" s="170">
        <f t="shared" si="24"/>
        <v>0</v>
      </c>
      <c r="I185" s="178">
        <v>42186</v>
      </c>
      <c r="J185" s="178">
        <v>42551</v>
      </c>
      <c r="K185" s="124"/>
    </row>
    <row r="186" spans="1:11" ht="12.75" customHeight="1">
      <c r="A186" s="26" t="str">
        <f t="shared" si="23"/>
        <v>6WorkFirst Delivery Agreement132-WFDA-16</v>
      </c>
      <c r="B186" s="120" t="s">
        <v>120</v>
      </c>
      <c r="C186" s="121" t="s">
        <v>97</v>
      </c>
      <c r="D186" s="280" t="s">
        <v>232</v>
      </c>
      <c r="E186" s="280" t="s">
        <v>633</v>
      </c>
      <c r="F186" s="283"/>
      <c r="G186" s="122"/>
      <c r="H186" s="170">
        <f t="shared" si="24"/>
        <v>0</v>
      </c>
      <c r="I186" s="123">
        <v>42186</v>
      </c>
      <c r="J186" s="123">
        <v>42551</v>
      </c>
      <c r="K186" s="124"/>
    </row>
    <row r="187" spans="1:11" ht="12.75" customHeight="1">
      <c r="A187" s="24" t="str">
        <f t="shared" si="23"/>
        <v>6</v>
      </c>
      <c r="B187" s="126" t="s">
        <v>120</v>
      </c>
      <c r="C187" s="127" t="s">
        <v>97</v>
      </c>
      <c r="D187" s="127"/>
      <c r="E187" s="127"/>
      <c r="F187" s="284"/>
      <c r="G187" s="128"/>
      <c r="H187" s="128"/>
      <c r="I187" s="129"/>
      <c r="J187" s="129"/>
      <c r="K187" s="124"/>
    </row>
    <row r="188" spans="1:11" ht="12.75" customHeight="1">
      <c r="A188" s="26" t="str">
        <f t="shared" si="23"/>
        <v>3Basic Food Employment and Training Grant103-BFET-15</v>
      </c>
      <c r="B188" s="120" t="s">
        <v>117</v>
      </c>
      <c r="C188" s="176" t="s">
        <v>98</v>
      </c>
      <c r="D188" s="280" t="s">
        <v>240</v>
      </c>
      <c r="E188" s="280" t="s">
        <v>372</v>
      </c>
      <c r="F188" s="282"/>
      <c r="G188" s="170"/>
      <c r="H188" s="170">
        <f t="shared" ref="H188:H199" si="25">F188+G188</f>
        <v>0</v>
      </c>
      <c r="I188" s="180">
        <v>41913</v>
      </c>
      <c r="J188" s="180">
        <v>42277</v>
      </c>
      <c r="K188" s="124"/>
    </row>
    <row r="189" spans="1:11" ht="12.75" customHeight="1">
      <c r="A189" s="26" t="str">
        <f t="shared" si="23"/>
        <v>3BEdA Leadership Block Grant103-BLBG-16</v>
      </c>
      <c r="B189" s="120" t="s">
        <v>117</v>
      </c>
      <c r="C189" s="176" t="s">
        <v>98</v>
      </c>
      <c r="D189" s="280" t="s">
        <v>497</v>
      </c>
      <c r="E189" s="280" t="s">
        <v>634</v>
      </c>
      <c r="F189" s="282"/>
      <c r="G189" s="170"/>
      <c r="H189" s="170">
        <f t="shared" si="25"/>
        <v>0</v>
      </c>
      <c r="I189" s="180">
        <v>42186</v>
      </c>
      <c r="J189" s="180">
        <v>42551</v>
      </c>
      <c r="K189" s="124"/>
    </row>
    <row r="190" spans="1:11" ht="12.75" customHeight="1">
      <c r="A190" s="26" t="str">
        <f t="shared" si="23"/>
        <v>3BEdA Master Grant103-BEDA-16</v>
      </c>
      <c r="B190" s="120" t="s">
        <v>117</v>
      </c>
      <c r="C190" s="176" t="s">
        <v>98</v>
      </c>
      <c r="D190" s="280" t="s">
        <v>498</v>
      </c>
      <c r="E190" s="280" t="s">
        <v>635</v>
      </c>
      <c r="F190" s="282"/>
      <c r="G190" s="170"/>
      <c r="H190" s="170">
        <f t="shared" si="25"/>
        <v>0</v>
      </c>
      <c r="I190" s="180">
        <v>42186</v>
      </c>
      <c r="J190" s="180">
        <v>42551</v>
      </c>
      <c r="K190" s="124"/>
    </row>
    <row r="191" spans="1:11" ht="12.75" customHeight="1">
      <c r="A191" s="26" t="str">
        <f t="shared" si="23"/>
        <v>3BEdA Program – EL Civics Grant Budget103-ELC-16</v>
      </c>
      <c r="B191" s="120" t="s">
        <v>117</v>
      </c>
      <c r="C191" s="121" t="s">
        <v>98</v>
      </c>
      <c r="D191" s="280" t="s">
        <v>505</v>
      </c>
      <c r="E191" s="280" t="s">
        <v>636</v>
      </c>
      <c r="F191" s="283"/>
      <c r="G191" s="122"/>
      <c r="H191" s="170">
        <f t="shared" si="25"/>
        <v>0</v>
      </c>
      <c r="I191" s="123">
        <v>42186</v>
      </c>
      <c r="J191" s="123">
        <v>42551</v>
      </c>
      <c r="K191" s="124"/>
    </row>
    <row r="192" spans="1:11" ht="12.75" customHeight="1">
      <c r="A192" s="26" t="str">
        <f t="shared" si="23"/>
        <v>3Early Achievers Opportunity Grant Application103-EAOG-16</v>
      </c>
      <c r="B192" s="120" t="s">
        <v>117</v>
      </c>
      <c r="C192" s="121" t="s">
        <v>98</v>
      </c>
      <c r="D192" s="280" t="s">
        <v>241</v>
      </c>
      <c r="E192" s="280" t="s">
        <v>637</v>
      </c>
      <c r="F192" s="283"/>
      <c r="G192" s="122"/>
      <c r="H192" s="170">
        <f t="shared" si="25"/>
        <v>0</v>
      </c>
      <c r="I192" s="123">
        <v>42186</v>
      </c>
      <c r="J192" s="123">
        <v>42551</v>
      </c>
      <c r="K192" s="124"/>
    </row>
    <row r="193" spans="1:11" ht="12.75" customHeight="1">
      <c r="A193" s="26" t="str">
        <f t="shared" si="23"/>
        <v>3I-DEA Grant103-IDEA-15</v>
      </c>
      <c r="B193" s="120" t="s">
        <v>117</v>
      </c>
      <c r="C193" s="121" t="s">
        <v>98</v>
      </c>
      <c r="D193" s="280" t="s">
        <v>242</v>
      </c>
      <c r="E193" s="280" t="s">
        <v>373</v>
      </c>
      <c r="F193" s="283"/>
      <c r="G193" s="122"/>
      <c r="H193" s="170">
        <f t="shared" si="25"/>
        <v>0</v>
      </c>
      <c r="I193" s="123">
        <v>41821</v>
      </c>
      <c r="J193" s="123">
        <v>42551</v>
      </c>
      <c r="K193" s="124"/>
    </row>
    <row r="194" spans="1:11" ht="12.75" customHeight="1">
      <c r="A194" s="26" t="str">
        <f t="shared" si="23"/>
        <v>3Misc. General Grant103-D2L-15</v>
      </c>
      <c r="B194" s="120" t="s">
        <v>117</v>
      </c>
      <c r="C194" s="121" t="s">
        <v>98</v>
      </c>
      <c r="D194" s="280" t="s">
        <v>235</v>
      </c>
      <c r="E194" s="280" t="s">
        <v>638</v>
      </c>
      <c r="F194" s="283"/>
      <c r="G194" s="122"/>
      <c r="H194" s="170">
        <f t="shared" si="25"/>
        <v>0</v>
      </c>
      <c r="I194" s="123">
        <v>42156</v>
      </c>
      <c r="J194" s="123">
        <v>42369</v>
      </c>
      <c r="K194" s="124"/>
    </row>
    <row r="195" spans="1:11" ht="12.75" customHeight="1">
      <c r="A195" s="26" t="str">
        <f t="shared" si="23"/>
        <v>3Perkins Leadership Block Grant103-PLB-16</v>
      </c>
      <c r="B195" s="120" t="s">
        <v>117</v>
      </c>
      <c r="C195" s="121" t="s">
        <v>98</v>
      </c>
      <c r="D195" s="280" t="s">
        <v>233</v>
      </c>
      <c r="E195" s="280" t="s">
        <v>639</v>
      </c>
      <c r="F195" s="283"/>
      <c r="G195" s="122"/>
      <c r="H195" s="170">
        <f t="shared" si="25"/>
        <v>0</v>
      </c>
      <c r="I195" s="123">
        <v>42186</v>
      </c>
      <c r="J195" s="123">
        <v>42551</v>
      </c>
      <c r="K195" s="124"/>
    </row>
    <row r="196" spans="1:11" ht="12.75" customHeight="1">
      <c r="A196" s="26" t="str">
        <f t="shared" si="23"/>
        <v>3Perkins Non-Traditional Employment &amp; Training Gran103-PNT-16</v>
      </c>
      <c r="B196" s="120" t="s">
        <v>117</v>
      </c>
      <c r="C196" s="121" t="s">
        <v>98</v>
      </c>
      <c r="D196" s="280" t="s">
        <v>359</v>
      </c>
      <c r="E196" s="280" t="s">
        <v>640</v>
      </c>
      <c r="F196" s="283"/>
      <c r="G196" s="122"/>
      <c r="H196" s="170">
        <f t="shared" si="25"/>
        <v>0</v>
      </c>
      <c r="I196" s="123">
        <v>42186</v>
      </c>
      <c r="J196" s="123">
        <v>42551</v>
      </c>
      <c r="K196" s="124"/>
    </row>
    <row r="197" spans="1:11" ht="12.75" customHeight="1">
      <c r="A197" s="26" t="str">
        <f t="shared" si="23"/>
        <v>3Perkins Plan103-PRK-16</v>
      </c>
      <c r="B197" s="120" t="s">
        <v>117</v>
      </c>
      <c r="C197" s="121" t="s">
        <v>98</v>
      </c>
      <c r="D197" s="280" t="s">
        <v>231</v>
      </c>
      <c r="E197" s="280" t="s">
        <v>641</v>
      </c>
      <c r="F197" s="283"/>
      <c r="G197" s="122"/>
      <c r="H197" s="170">
        <f t="shared" si="25"/>
        <v>0</v>
      </c>
      <c r="I197" s="123">
        <v>42186</v>
      </c>
      <c r="J197" s="123">
        <v>42551</v>
      </c>
      <c r="K197" s="124"/>
    </row>
    <row r="198" spans="1:11" ht="12.75" customHeight="1">
      <c r="A198" s="26" t="str">
        <f t="shared" si="23"/>
        <v>3Perkins Special Project103-PSP-16</v>
      </c>
      <c r="B198" s="120" t="s">
        <v>117</v>
      </c>
      <c r="C198" s="121" t="s">
        <v>98</v>
      </c>
      <c r="D198" s="280" t="s">
        <v>354</v>
      </c>
      <c r="E198" s="280" t="s">
        <v>642</v>
      </c>
      <c r="F198" s="283"/>
      <c r="G198" s="122"/>
      <c r="H198" s="170">
        <f t="shared" si="25"/>
        <v>0</v>
      </c>
      <c r="I198" s="123">
        <v>42207</v>
      </c>
      <c r="J198" s="123">
        <v>42551</v>
      </c>
      <c r="K198" s="124"/>
    </row>
    <row r="199" spans="1:11" ht="12.75" customHeight="1">
      <c r="A199" s="26" t="str">
        <f t="shared" si="23"/>
        <v>3WorkFirst Delivery Agreement103-WFDA-16</v>
      </c>
      <c r="B199" s="120" t="s">
        <v>117</v>
      </c>
      <c r="C199" s="121" t="s">
        <v>98</v>
      </c>
      <c r="D199" s="280" t="s">
        <v>232</v>
      </c>
      <c r="E199" s="280" t="s">
        <v>643</v>
      </c>
      <c r="F199" s="283"/>
      <c r="G199" s="122"/>
      <c r="H199" s="170">
        <f t="shared" si="25"/>
        <v>0</v>
      </c>
      <c r="I199" s="123">
        <v>42186</v>
      </c>
      <c r="J199" s="123">
        <v>42551</v>
      </c>
      <c r="K199" s="124"/>
    </row>
    <row r="200" spans="1:11" ht="12.75" customHeight="1">
      <c r="A200" s="24" t="str">
        <f t="shared" si="23"/>
        <v>3</v>
      </c>
      <c r="B200" s="126" t="s">
        <v>117</v>
      </c>
      <c r="C200" s="127" t="s">
        <v>98</v>
      </c>
      <c r="D200" s="127"/>
      <c r="E200" s="127"/>
      <c r="F200" s="284"/>
      <c r="G200" s="128"/>
      <c r="H200" s="128"/>
      <c r="I200" s="129"/>
      <c r="J200" s="129"/>
      <c r="K200" s="124"/>
    </row>
    <row r="201" spans="1:11" ht="12.75" customHeight="1">
      <c r="A201" s="26" t="str">
        <f t="shared" si="23"/>
        <v>1Basic Food Employment and Training Grant101-BFET-15</v>
      </c>
      <c r="B201" s="120" t="s">
        <v>115</v>
      </c>
      <c r="C201" s="176" t="s">
        <v>80</v>
      </c>
      <c r="D201" s="280" t="s">
        <v>240</v>
      </c>
      <c r="E201" s="280" t="s">
        <v>374</v>
      </c>
      <c r="F201" s="282"/>
      <c r="G201" s="170"/>
      <c r="H201" s="170">
        <f t="shared" ref="H201:H213" si="26">F201+G201</f>
        <v>0</v>
      </c>
      <c r="I201" s="180">
        <v>41913</v>
      </c>
      <c r="J201" s="180">
        <v>42277</v>
      </c>
      <c r="K201" s="124"/>
    </row>
    <row r="202" spans="1:11" ht="12.75" customHeight="1">
      <c r="A202" s="26" t="str">
        <f t="shared" si="23"/>
        <v>1BEdA Leadership Block Grant101-BLBG-16</v>
      </c>
      <c r="B202" s="120" t="s">
        <v>115</v>
      </c>
      <c r="C202" s="176" t="s">
        <v>80</v>
      </c>
      <c r="D202" s="280" t="s">
        <v>497</v>
      </c>
      <c r="E202" s="280" t="s">
        <v>644</v>
      </c>
      <c r="F202" s="282"/>
      <c r="G202" s="170"/>
      <c r="H202" s="170">
        <f t="shared" si="26"/>
        <v>0</v>
      </c>
      <c r="I202" s="180">
        <v>42186</v>
      </c>
      <c r="J202" s="180">
        <v>42551</v>
      </c>
      <c r="K202" s="124"/>
    </row>
    <row r="203" spans="1:11" ht="12.75" customHeight="1">
      <c r="A203" s="26" t="str">
        <f t="shared" si="23"/>
        <v>1BEdA Master Grant101-BEDA-16</v>
      </c>
      <c r="B203" s="120" t="s">
        <v>115</v>
      </c>
      <c r="C203" s="176" t="s">
        <v>80</v>
      </c>
      <c r="D203" s="280" t="s">
        <v>498</v>
      </c>
      <c r="E203" s="280" t="s">
        <v>645</v>
      </c>
      <c r="F203" s="282"/>
      <c r="G203" s="170"/>
      <c r="H203" s="170">
        <f t="shared" si="26"/>
        <v>0</v>
      </c>
      <c r="I203" s="180">
        <v>42186</v>
      </c>
      <c r="J203" s="180">
        <v>42551</v>
      </c>
      <c r="K203" s="124"/>
    </row>
    <row r="204" spans="1:11" ht="12.75" customHeight="1">
      <c r="A204" s="26" t="str">
        <f t="shared" si="23"/>
        <v>1BEdA Program – EL Civics Grant Budget101-ELC-16</v>
      </c>
      <c r="B204" s="120" t="s">
        <v>115</v>
      </c>
      <c r="C204" s="176" t="s">
        <v>80</v>
      </c>
      <c r="D204" s="280" t="s">
        <v>505</v>
      </c>
      <c r="E204" s="280" t="s">
        <v>646</v>
      </c>
      <c r="F204" s="282"/>
      <c r="G204" s="170"/>
      <c r="H204" s="170">
        <f t="shared" si="26"/>
        <v>0</v>
      </c>
      <c r="I204" s="180">
        <v>42186</v>
      </c>
      <c r="J204" s="180">
        <v>42551</v>
      </c>
      <c r="K204" s="124"/>
    </row>
    <row r="205" spans="1:11" ht="12.75" customHeight="1">
      <c r="A205" s="26" t="str">
        <f t="shared" si="23"/>
        <v>1BEdA State Plan Innovations Grant101-BSPI-15</v>
      </c>
      <c r="B205" s="120" t="s">
        <v>115</v>
      </c>
      <c r="C205" s="176" t="s">
        <v>80</v>
      </c>
      <c r="D205" s="280" t="s">
        <v>412</v>
      </c>
      <c r="E205" s="280" t="s">
        <v>420</v>
      </c>
      <c r="F205" s="282"/>
      <c r="G205" s="170"/>
      <c r="H205" s="170">
        <f t="shared" si="26"/>
        <v>0</v>
      </c>
      <c r="I205" s="180">
        <v>41944</v>
      </c>
      <c r="J205" s="180">
        <v>42551</v>
      </c>
      <c r="K205" s="124"/>
    </row>
    <row r="206" spans="1:11" ht="12.75" customHeight="1">
      <c r="A206" s="26" t="str">
        <f t="shared" si="22"/>
        <v>1Correctional Education Grant101-CE-16</v>
      </c>
      <c r="B206" s="120" t="s">
        <v>115</v>
      </c>
      <c r="C206" s="176" t="s">
        <v>80</v>
      </c>
      <c r="D206" s="280" t="s">
        <v>267</v>
      </c>
      <c r="E206" s="280" t="s">
        <v>647</v>
      </c>
      <c r="F206" s="282"/>
      <c r="G206" s="170"/>
      <c r="H206" s="170">
        <f t="shared" si="26"/>
        <v>0</v>
      </c>
      <c r="I206" s="180">
        <v>42186</v>
      </c>
      <c r="J206" s="180">
        <v>42551</v>
      </c>
      <c r="K206" s="124"/>
    </row>
    <row r="207" spans="1:11" ht="12.75" customHeight="1">
      <c r="A207" s="26" t="str">
        <f>B207&amp;D207&amp;E207</f>
        <v>1Early Achievers Opportunity Grant Application101-EAOG-16</v>
      </c>
      <c r="B207" s="120" t="s">
        <v>115</v>
      </c>
      <c r="C207" s="176" t="s">
        <v>80</v>
      </c>
      <c r="D207" s="280" t="s">
        <v>241</v>
      </c>
      <c r="E207" s="280" t="s">
        <v>648</v>
      </c>
      <c r="F207" s="282"/>
      <c r="G207" s="170"/>
      <c r="H207" s="170">
        <f t="shared" si="26"/>
        <v>0</v>
      </c>
      <c r="I207" s="180">
        <v>42186</v>
      </c>
      <c r="J207" s="180">
        <v>42551</v>
      </c>
      <c r="K207" s="124"/>
    </row>
    <row r="208" spans="1:11" ht="12.75" customHeight="1">
      <c r="A208" s="26" t="str">
        <f t="shared" si="22"/>
        <v>1Faculty Learning Communities Initiative Grant101-FLCA-16</v>
      </c>
      <c r="B208" s="120" t="s">
        <v>115</v>
      </c>
      <c r="C208" s="176" t="s">
        <v>80</v>
      </c>
      <c r="D208" s="280" t="s">
        <v>274</v>
      </c>
      <c r="E208" s="280" t="s">
        <v>649</v>
      </c>
      <c r="F208" s="282"/>
      <c r="G208" s="170"/>
      <c r="H208" s="170">
        <f t="shared" si="26"/>
        <v>0</v>
      </c>
      <c r="I208" s="180">
        <v>42186</v>
      </c>
      <c r="J208" s="180">
        <v>42551</v>
      </c>
      <c r="K208" s="124"/>
    </row>
    <row r="209" spans="1:11" ht="12.75" customHeight="1">
      <c r="A209" s="26" t="str">
        <f t="shared" si="22"/>
        <v>1I-DEA Grant101-IDEA-15</v>
      </c>
      <c r="B209" s="120" t="s">
        <v>115</v>
      </c>
      <c r="C209" s="176" t="s">
        <v>80</v>
      </c>
      <c r="D209" s="280" t="s">
        <v>242</v>
      </c>
      <c r="E209" s="280" t="s">
        <v>375</v>
      </c>
      <c r="F209" s="282"/>
      <c r="G209" s="170"/>
      <c r="H209" s="170">
        <f t="shared" si="26"/>
        <v>0</v>
      </c>
      <c r="I209" s="178">
        <v>41821</v>
      </c>
      <c r="J209" s="178">
        <v>42551</v>
      </c>
      <c r="K209" s="124"/>
    </row>
    <row r="210" spans="1:11" ht="12.75" customHeight="1">
      <c r="A210" s="26" t="str">
        <f t="shared" si="22"/>
        <v>1Perkins Leadership Block Grant101-PLB-16</v>
      </c>
      <c r="B210" s="120" t="s">
        <v>115</v>
      </c>
      <c r="C210" s="121" t="s">
        <v>80</v>
      </c>
      <c r="D210" s="280" t="s">
        <v>233</v>
      </c>
      <c r="E210" s="280" t="s">
        <v>650</v>
      </c>
      <c r="F210" s="283"/>
      <c r="G210" s="122"/>
      <c r="H210" s="170">
        <f t="shared" si="26"/>
        <v>0</v>
      </c>
      <c r="I210" s="125">
        <v>42186</v>
      </c>
      <c r="J210" s="125">
        <v>42551</v>
      </c>
      <c r="K210" s="124"/>
    </row>
    <row r="211" spans="1:11" ht="12.75" customHeight="1">
      <c r="A211" s="26" t="str">
        <f t="shared" si="22"/>
        <v>1Perkins Plan101-PRK-16</v>
      </c>
      <c r="B211" s="120" t="s">
        <v>115</v>
      </c>
      <c r="C211" s="121" t="s">
        <v>80</v>
      </c>
      <c r="D211" s="280" t="s">
        <v>231</v>
      </c>
      <c r="E211" s="280" t="s">
        <v>651</v>
      </c>
      <c r="F211" s="283"/>
      <c r="G211" s="122"/>
      <c r="H211" s="170">
        <f t="shared" si="26"/>
        <v>0</v>
      </c>
      <c r="I211" s="125">
        <v>42186</v>
      </c>
      <c r="J211" s="125">
        <v>42551</v>
      </c>
      <c r="K211" s="124"/>
    </row>
    <row r="212" spans="1:11" ht="12.75" customHeight="1">
      <c r="A212" s="26" t="str">
        <f t="shared" si="22"/>
        <v>1Transcript Grid for Placement Project101-TG-15</v>
      </c>
      <c r="B212" s="120" t="s">
        <v>115</v>
      </c>
      <c r="C212" s="121" t="s">
        <v>80</v>
      </c>
      <c r="D212" s="280" t="s">
        <v>429</v>
      </c>
      <c r="E212" s="280" t="s">
        <v>432</v>
      </c>
      <c r="F212" s="283"/>
      <c r="G212" s="122"/>
      <c r="H212" s="170">
        <f t="shared" si="26"/>
        <v>0</v>
      </c>
      <c r="I212" s="125">
        <v>42005</v>
      </c>
      <c r="J212" s="125">
        <v>42308</v>
      </c>
      <c r="K212" s="124"/>
    </row>
    <row r="213" spans="1:11" ht="12.75" customHeight="1">
      <c r="A213" s="26" t="str">
        <f t="shared" si="22"/>
        <v>1WorkFirst Delivery Agreement101-WFDA-16</v>
      </c>
      <c r="B213" s="120" t="s">
        <v>115</v>
      </c>
      <c r="C213" s="121" t="s">
        <v>80</v>
      </c>
      <c r="D213" s="280" t="s">
        <v>232</v>
      </c>
      <c r="E213" s="280" t="s">
        <v>652</v>
      </c>
      <c r="F213" s="283"/>
      <c r="G213" s="122"/>
      <c r="H213" s="170">
        <f t="shared" si="26"/>
        <v>0</v>
      </c>
      <c r="I213" s="125">
        <v>42186</v>
      </c>
      <c r="J213" s="125">
        <v>42551</v>
      </c>
      <c r="K213" s="124"/>
    </row>
    <row r="214" spans="1:11" ht="12.75" customHeight="1">
      <c r="A214" s="24" t="str">
        <f t="shared" si="22"/>
        <v>1</v>
      </c>
      <c r="B214" s="126" t="s">
        <v>115</v>
      </c>
      <c r="C214" s="127" t="s">
        <v>80</v>
      </c>
      <c r="D214" s="127"/>
      <c r="E214" s="127"/>
      <c r="F214" s="284"/>
      <c r="G214" s="128"/>
      <c r="H214" s="128"/>
      <c r="I214" s="129"/>
      <c r="J214" s="129"/>
      <c r="K214" s="124"/>
    </row>
    <row r="215" spans="1:11" ht="12.75" customHeight="1">
      <c r="A215" s="26" t="str">
        <f t="shared" si="22"/>
        <v>11Basic Food Employment and Training Grant111-BFET-15</v>
      </c>
      <c r="B215" s="120" t="s">
        <v>125</v>
      </c>
      <c r="C215" s="176" t="s">
        <v>99</v>
      </c>
      <c r="D215" s="280" t="s">
        <v>240</v>
      </c>
      <c r="E215" s="280" t="s">
        <v>376</v>
      </c>
      <c r="F215" s="282"/>
      <c r="G215" s="170"/>
      <c r="H215" s="170">
        <f t="shared" ref="H215:H227" si="27">F215+G215</f>
        <v>0</v>
      </c>
      <c r="I215" s="180">
        <v>41913</v>
      </c>
      <c r="J215" s="180">
        <v>42277</v>
      </c>
      <c r="K215" s="124"/>
    </row>
    <row r="216" spans="1:11" ht="12.75" customHeight="1">
      <c r="A216" s="26" t="str">
        <f t="shared" si="22"/>
        <v>11BEdA Leadership Block Grant111-BLBG-16</v>
      </c>
      <c r="B216" s="120" t="s">
        <v>125</v>
      </c>
      <c r="C216" s="176" t="s">
        <v>99</v>
      </c>
      <c r="D216" s="280" t="s">
        <v>497</v>
      </c>
      <c r="E216" s="280" t="s">
        <v>653</v>
      </c>
      <c r="F216" s="282"/>
      <c r="G216" s="170"/>
      <c r="H216" s="170">
        <f t="shared" si="27"/>
        <v>0</v>
      </c>
      <c r="I216" s="180">
        <v>42186</v>
      </c>
      <c r="J216" s="180">
        <v>42551</v>
      </c>
      <c r="K216" s="124"/>
    </row>
    <row r="217" spans="1:11" ht="12.75" customHeight="1">
      <c r="A217" s="26" t="str">
        <f t="shared" si="22"/>
        <v>11BEdA Master Grant111-BEDA-16</v>
      </c>
      <c r="B217" s="120" t="s">
        <v>125</v>
      </c>
      <c r="C217" s="176" t="s">
        <v>99</v>
      </c>
      <c r="D217" s="280" t="s">
        <v>498</v>
      </c>
      <c r="E217" s="280" t="s">
        <v>654</v>
      </c>
      <c r="F217" s="282"/>
      <c r="G217" s="170"/>
      <c r="H217" s="170">
        <f t="shared" si="27"/>
        <v>0</v>
      </c>
      <c r="I217" s="180">
        <v>42186</v>
      </c>
      <c r="J217" s="180">
        <v>42551</v>
      </c>
      <c r="K217" s="124"/>
    </row>
    <row r="218" spans="1:11" ht="12.75" customHeight="1">
      <c r="A218" s="26" t="str">
        <f t="shared" si="22"/>
        <v>11BEdA Program – EL Civics Grant Budget111-ELC-16</v>
      </c>
      <c r="B218" s="120" t="s">
        <v>125</v>
      </c>
      <c r="C218" s="176" t="s">
        <v>99</v>
      </c>
      <c r="D218" s="280" t="s">
        <v>505</v>
      </c>
      <c r="E218" s="280" t="s">
        <v>655</v>
      </c>
      <c r="F218" s="282"/>
      <c r="G218" s="170"/>
      <c r="H218" s="170">
        <f t="shared" si="27"/>
        <v>0</v>
      </c>
      <c r="I218" s="180">
        <v>42186</v>
      </c>
      <c r="J218" s="180">
        <v>42551</v>
      </c>
      <c r="K218" s="124"/>
    </row>
    <row r="219" spans="1:11" ht="12.75" customHeight="1">
      <c r="A219" s="26" t="str">
        <f t="shared" si="22"/>
        <v>11BEdA State Plan Innovations Grant111-BSPI-15</v>
      </c>
      <c r="B219" s="120" t="s">
        <v>125</v>
      </c>
      <c r="C219" s="176" t="s">
        <v>99</v>
      </c>
      <c r="D219" s="280" t="s">
        <v>412</v>
      </c>
      <c r="E219" s="280" t="s">
        <v>421</v>
      </c>
      <c r="F219" s="282"/>
      <c r="G219" s="170"/>
      <c r="H219" s="170">
        <f t="shared" si="27"/>
        <v>0</v>
      </c>
      <c r="I219" s="180">
        <v>41944</v>
      </c>
      <c r="J219" s="180">
        <v>42551</v>
      </c>
      <c r="K219" s="124"/>
    </row>
    <row r="220" spans="1:11" ht="12.75" customHeight="1">
      <c r="A220" s="26" t="str">
        <f t="shared" si="22"/>
        <v>11Early Achievers Opportunity Grant Application111-EAOG-16</v>
      </c>
      <c r="B220" s="120" t="s">
        <v>125</v>
      </c>
      <c r="C220" s="176" t="s">
        <v>99</v>
      </c>
      <c r="D220" s="280" t="s">
        <v>241</v>
      </c>
      <c r="E220" s="280" t="s">
        <v>656</v>
      </c>
      <c r="F220" s="282"/>
      <c r="G220" s="170"/>
      <c r="H220" s="170">
        <f t="shared" si="27"/>
        <v>0</v>
      </c>
      <c r="I220" s="180">
        <v>42186</v>
      </c>
      <c r="J220" s="180">
        <v>42551</v>
      </c>
      <c r="K220" s="124"/>
    </row>
    <row r="221" spans="1:11" ht="12.75" customHeight="1">
      <c r="A221" s="26" t="str">
        <f t="shared" si="22"/>
        <v>11Faculty Learning Communities Initiative Grant111-FLCA-16</v>
      </c>
      <c r="B221" s="120" t="s">
        <v>125</v>
      </c>
      <c r="C221" s="176" t="s">
        <v>99</v>
      </c>
      <c r="D221" s="280" t="s">
        <v>274</v>
      </c>
      <c r="E221" s="280" t="s">
        <v>657</v>
      </c>
      <c r="F221" s="282"/>
      <c r="G221" s="170"/>
      <c r="H221" s="170">
        <f t="shared" si="27"/>
        <v>0</v>
      </c>
      <c r="I221" s="178">
        <v>42186</v>
      </c>
      <c r="J221" s="178">
        <v>42551</v>
      </c>
      <c r="K221" s="124"/>
    </row>
    <row r="222" spans="1:11" ht="12.75" customHeight="1">
      <c r="A222" s="26" t="str">
        <f t="shared" si="22"/>
        <v>11Misc. General Grant111-ELRN-16</v>
      </c>
      <c r="B222" s="120" t="s">
        <v>125</v>
      </c>
      <c r="C222" s="176" t="s">
        <v>99</v>
      </c>
      <c r="D222" s="280" t="s">
        <v>235</v>
      </c>
      <c r="E222" s="280" t="s">
        <v>658</v>
      </c>
      <c r="F222" s="282"/>
      <c r="G222" s="170"/>
      <c r="H222" s="170">
        <f t="shared" si="27"/>
        <v>0</v>
      </c>
      <c r="I222" s="178">
        <v>42217</v>
      </c>
      <c r="J222" s="178">
        <v>42551</v>
      </c>
      <c r="K222" s="124"/>
    </row>
    <row r="223" spans="1:11" ht="12.75" customHeight="1">
      <c r="A223" s="26" t="str">
        <f t="shared" si="22"/>
        <v>11Perkins Leadership Block Grant111-PLB-16</v>
      </c>
      <c r="B223" s="120" t="s">
        <v>125</v>
      </c>
      <c r="C223" s="176" t="s">
        <v>99</v>
      </c>
      <c r="D223" s="280" t="s">
        <v>233</v>
      </c>
      <c r="E223" s="280" t="s">
        <v>659</v>
      </c>
      <c r="F223" s="283"/>
      <c r="G223" s="170"/>
      <c r="H223" s="170">
        <f t="shared" si="27"/>
        <v>0</v>
      </c>
      <c r="I223" s="287">
        <v>42186</v>
      </c>
      <c r="J223" s="178">
        <v>42551</v>
      </c>
      <c r="K223" s="124"/>
    </row>
    <row r="224" spans="1:11" ht="12.75" customHeight="1">
      <c r="A224" s="26" t="str">
        <f t="shared" si="22"/>
        <v>11Perkins Non-Traditional Employment &amp; Training Gran111-PNT-16</v>
      </c>
      <c r="B224" s="120" t="s">
        <v>125</v>
      </c>
      <c r="C224" s="176" t="s">
        <v>99</v>
      </c>
      <c r="D224" s="280" t="s">
        <v>359</v>
      </c>
      <c r="E224" s="280" t="s">
        <v>660</v>
      </c>
      <c r="F224" s="283"/>
      <c r="G224" s="170"/>
      <c r="H224" s="170">
        <f t="shared" si="27"/>
        <v>0</v>
      </c>
      <c r="I224" s="287">
        <v>42186</v>
      </c>
      <c r="J224" s="178">
        <v>42551</v>
      </c>
      <c r="K224" s="124"/>
    </row>
    <row r="225" spans="1:11" ht="12.75" customHeight="1">
      <c r="A225" s="26" t="str">
        <f t="shared" si="22"/>
        <v>11Perkins Plan111-PRK-16</v>
      </c>
      <c r="B225" s="120" t="s">
        <v>125</v>
      </c>
      <c r="C225" s="176" t="s">
        <v>99</v>
      </c>
      <c r="D225" s="280" t="s">
        <v>231</v>
      </c>
      <c r="E225" s="280" t="s">
        <v>661</v>
      </c>
      <c r="F225" s="283"/>
      <c r="G225" s="170"/>
      <c r="H225" s="170">
        <f t="shared" si="27"/>
        <v>0</v>
      </c>
      <c r="I225" s="287">
        <v>42186</v>
      </c>
      <c r="J225" s="178">
        <v>42551</v>
      </c>
      <c r="K225" s="124"/>
    </row>
    <row r="226" spans="1:11" ht="12.75" customHeight="1">
      <c r="A226" s="26" t="str">
        <f t="shared" si="22"/>
        <v>11Perkins Special Project111-PSP-16</v>
      </c>
      <c r="B226" s="120" t="s">
        <v>125</v>
      </c>
      <c r="C226" s="121" t="s">
        <v>99</v>
      </c>
      <c r="D226" s="280" t="s">
        <v>354</v>
      </c>
      <c r="E226" s="280" t="s">
        <v>662</v>
      </c>
      <c r="F226" s="283"/>
      <c r="G226" s="170"/>
      <c r="H226" s="170">
        <f t="shared" si="27"/>
        <v>0</v>
      </c>
      <c r="I226" s="123">
        <v>42207</v>
      </c>
      <c r="J226" s="178">
        <v>42551</v>
      </c>
      <c r="K226" s="124"/>
    </row>
    <row r="227" spans="1:11" ht="12.75" customHeight="1">
      <c r="A227" s="26" t="str">
        <f t="shared" si="22"/>
        <v>11WorkFirst Delivery Agreement111-WFDA-16</v>
      </c>
      <c r="B227" s="120" t="s">
        <v>125</v>
      </c>
      <c r="C227" s="121" t="s">
        <v>99</v>
      </c>
      <c r="D227" s="280" t="s">
        <v>232</v>
      </c>
      <c r="E227" s="280" t="s">
        <v>663</v>
      </c>
      <c r="F227" s="283"/>
      <c r="G227" s="206"/>
      <c r="H227" s="170">
        <f t="shared" si="27"/>
        <v>0</v>
      </c>
      <c r="I227" s="123">
        <v>42186</v>
      </c>
      <c r="J227" s="287">
        <v>42551</v>
      </c>
      <c r="K227" s="124"/>
    </row>
    <row r="228" spans="1:11" ht="12.75" customHeight="1">
      <c r="A228" s="24" t="str">
        <f t="shared" si="22"/>
        <v>11</v>
      </c>
      <c r="B228" s="126" t="s">
        <v>125</v>
      </c>
      <c r="C228" s="127" t="s">
        <v>99</v>
      </c>
      <c r="D228" s="127"/>
      <c r="E228" s="127"/>
      <c r="F228" s="284"/>
      <c r="G228" s="128"/>
      <c r="H228" s="128"/>
      <c r="I228" s="129"/>
      <c r="J228" s="129"/>
      <c r="K228" s="124"/>
    </row>
    <row r="229" spans="1:11" ht="12.75" customHeight="1">
      <c r="A229" s="26" t="str">
        <f t="shared" si="22"/>
        <v>11I-DEA Grant135-IDEA-13</v>
      </c>
      <c r="B229" s="120" t="s">
        <v>125</v>
      </c>
      <c r="C229" s="121" t="s">
        <v>100</v>
      </c>
      <c r="D229" s="280" t="s">
        <v>242</v>
      </c>
      <c r="E229" s="280" t="s">
        <v>276</v>
      </c>
      <c r="F229" s="283"/>
      <c r="G229" s="170"/>
      <c r="H229" s="170">
        <f>F229+G229</f>
        <v>0</v>
      </c>
      <c r="I229" s="125">
        <v>41275</v>
      </c>
      <c r="J229" s="125">
        <v>42551</v>
      </c>
      <c r="K229" s="124"/>
    </row>
    <row r="230" spans="1:11" ht="12.75" customHeight="1">
      <c r="A230" s="26" t="str">
        <f t="shared" si="22"/>
        <v>11</v>
      </c>
      <c r="B230" s="120" t="s">
        <v>125</v>
      </c>
      <c r="C230" s="121" t="s">
        <v>100</v>
      </c>
      <c r="D230" s="121"/>
      <c r="E230" s="121"/>
      <c r="F230" s="283"/>
      <c r="G230" s="170"/>
      <c r="H230" s="170"/>
      <c r="K230" s="124"/>
    </row>
    <row r="231" spans="1:11" ht="12.75" customHeight="1">
      <c r="A231" s="24" t="str">
        <f t="shared" si="22"/>
        <v>11</v>
      </c>
      <c r="B231" s="126" t="s">
        <v>125</v>
      </c>
      <c r="C231" s="127" t="s">
        <v>100</v>
      </c>
      <c r="D231" s="127"/>
      <c r="E231" s="127"/>
      <c r="F231" s="284"/>
      <c r="G231" s="128"/>
      <c r="H231" s="128"/>
      <c r="I231" s="129"/>
      <c r="J231" s="129"/>
      <c r="K231" s="124"/>
    </row>
    <row r="232" spans="1:11" ht="12.75" customHeight="1">
      <c r="A232" s="26" t="str">
        <f t="shared" si="22"/>
        <v>11I-DEA Grant136-IDEA-15</v>
      </c>
      <c r="B232" s="120" t="s">
        <v>125</v>
      </c>
      <c r="C232" s="176" t="s">
        <v>101</v>
      </c>
      <c r="D232" s="280" t="s">
        <v>242</v>
      </c>
      <c r="E232" s="280" t="s">
        <v>377</v>
      </c>
      <c r="F232" s="282"/>
      <c r="G232" s="170"/>
      <c r="H232" s="170">
        <f>F232+G232</f>
        <v>0</v>
      </c>
      <c r="I232" s="178">
        <v>41821</v>
      </c>
      <c r="J232" s="178">
        <v>42551</v>
      </c>
      <c r="K232" s="124"/>
    </row>
    <row r="233" spans="1:11" ht="12.75" customHeight="1">
      <c r="A233" s="24" t="str">
        <f t="shared" si="22"/>
        <v>11</v>
      </c>
      <c r="B233" s="126" t="s">
        <v>125</v>
      </c>
      <c r="C233" s="127" t="s">
        <v>101</v>
      </c>
      <c r="D233" s="127"/>
      <c r="E233" s="127"/>
      <c r="F233" s="284"/>
      <c r="G233" s="128"/>
      <c r="H233" s="128"/>
      <c r="I233" s="129"/>
      <c r="J233" s="129"/>
      <c r="K233" s="124"/>
    </row>
    <row r="234" spans="1:11" ht="12.75" customHeight="1">
      <c r="A234" s="26" t="str">
        <f t="shared" si="22"/>
        <v>27ABE Special Projects Grant127-ASP-15RA</v>
      </c>
      <c r="B234" s="120" t="s">
        <v>141</v>
      </c>
      <c r="C234" s="176" t="s">
        <v>102</v>
      </c>
      <c r="D234" s="280" t="s">
        <v>268</v>
      </c>
      <c r="E234" s="280" t="s">
        <v>664</v>
      </c>
      <c r="F234" s="283"/>
      <c r="G234" s="170"/>
      <c r="H234" s="170">
        <f t="shared" ref="H234:H244" si="28">F234+G234</f>
        <v>0</v>
      </c>
      <c r="I234" s="180">
        <v>42061</v>
      </c>
      <c r="J234" s="180">
        <v>42369</v>
      </c>
      <c r="K234" s="124"/>
    </row>
    <row r="235" spans="1:11" ht="12.75" customHeight="1">
      <c r="A235" s="26" t="str">
        <f t="shared" si="22"/>
        <v>27Basic Food Employment and Training Grant127-BFET-15</v>
      </c>
      <c r="B235" s="120" t="s">
        <v>141</v>
      </c>
      <c r="C235" s="176" t="s">
        <v>102</v>
      </c>
      <c r="D235" s="280" t="s">
        <v>240</v>
      </c>
      <c r="E235" s="280" t="s">
        <v>378</v>
      </c>
      <c r="F235" s="283"/>
      <c r="G235" s="170"/>
      <c r="H235" s="170">
        <f t="shared" si="28"/>
        <v>0</v>
      </c>
      <c r="I235" s="180">
        <v>41913</v>
      </c>
      <c r="J235" s="180">
        <v>42277</v>
      </c>
      <c r="K235" s="124"/>
    </row>
    <row r="236" spans="1:11" ht="12.75" customHeight="1">
      <c r="A236" s="26" t="str">
        <f t="shared" si="22"/>
        <v>27BEdA Leadership Block Grant127-BLBG-16</v>
      </c>
      <c r="B236" s="120" t="s">
        <v>141</v>
      </c>
      <c r="C236" s="176" t="s">
        <v>102</v>
      </c>
      <c r="D236" s="280" t="s">
        <v>497</v>
      </c>
      <c r="E236" s="280" t="s">
        <v>665</v>
      </c>
      <c r="F236" s="283"/>
      <c r="G236" s="170"/>
      <c r="H236" s="170">
        <f t="shared" si="28"/>
        <v>0</v>
      </c>
      <c r="I236" s="180">
        <v>42186</v>
      </c>
      <c r="J236" s="180">
        <v>42551</v>
      </c>
      <c r="K236" s="124"/>
    </row>
    <row r="237" spans="1:11" ht="12.75" customHeight="1">
      <c r="A237" s="26" t="str">
        <f t="shared" si="22"/>
        <v>27BEdA Master Grant127-BEDA-16</v>
      </c>
      <c r="B237" s="120" t="s">
        <v>141</v>
      </c>
      <c r="C237" s="176" t="s">
        <v>102</v>
      </c>
      <c r="D237" s="280" t="s">
        <v>498</v>
      </c>
      <c r="E237" s="280" t="s">
        <v>666</v>
      </c>
      <c r="F237" s="283"/>
      <c r="G237" s="170"/>
      <c r="H237" s="170">
        <f t="shared" si="28"/>
        <v>0</v>
      </c>
      <c r="I237" s="180">
        <v>42186</v>
      </c>
      <c r="J237" s="180">
        <v>42551</v>
      </c>
      <c r="K237" s="124"/>
    </row>
    <row r="238" spans="1:11" ht="12.75" customHeight="1">
      <c r="A238" s="26" t="str">
        <f t="shared" si="22"/>
        <v>27BEdA Program – EL Civics Grant Budget127-ELC-16</v>
      </c>
      <c r="B238" s="120" t="s">
        <v>141</v>
      </c>
      <c r="C238" s="176" t="s">
        <v>102</v>
      </c>
      <c r="D238" s="280" t="s">
        <v>505</v>
      </c>
      <c r="E238" s="280" t="s">
        <v>667</v>
      </c>
      <c r="F238" s="282"/>
      <c r="G238" s="170"/>
      <c r="H238" s="170">
        <f t="shared" si="28"/>
        <v>0</v>
      </c>
      <c r="I238" s="178">
        <v>42186</v>
      </c>
      <c r="J238" s="178">
        <v>42551</v>
      </c>
      <c r="K238" s="124"/>
    </row>
    <row r="239" spans="1:11" ht="12.75" customHeight="1">
      <c r="A239" s="26" t="str">
        <f t="shared" si="22"/>
        <v>27Early Achievers Opportunity Grant Application127-EAOG-16</v>
      </c>
      <c r="B239" s="120" t="s">
        <v>141</v>
      </c>
      <c r="C239" s="176" t="s">
        <v>102</v>
      </c>
      <c r="D239" s="280" t="s">
        <v>241</v>
      </c>
      <c r="E239" s="280" t="s">
        <v>668</v>
      </c>
      <c r="F239" s="282"/>
      <c r="G239" s="170"/>
      <c r="H239" s="170">
        <f t="shared" si="28"/>
        <v>0</v>
      </c>
      <c r="I239" s="178">
        <v>42186</v>
      </c>
      <c r="J239" s="178">
        <v>42551</v>
      </c>
      <c r="K239" s="124"/>
    </row>
    <row r="240" spans="1:11" ht="12.75" customHeight="1">
      <c r="A240" s="26" t="str">
        <f t="shared" si="22"/>
        <v>27Faculty Learning Communities Initiative Grant127-FLCE-16</v>
      </c>
      <c r="B240" s="120" t="s">
        <v>141</v>
      </c>
      <c r="C240" s="176" t="s">
        <v>102</v>
      </c>
      <c r="D240" s="280" t="s">
        <v>274</v>
      </c>
      <c r="E240" s="280" t="s">
        <v>669</v>
      </c>
      <c r="F240" s="282"/>
      <c r="G240" s="170"/>
      <c r="H240" s="170">
        <f t="shared" si="28"/>
        <v>0</v>
      </c>
      <c r="I240" s="178">
        <v>42186</v>
      </c>
      <c r="J240" s="178">
        <v>42551</v>
      </c>
      <c r="K240" s="124"/>
    </row>
    <row r="241" spans="1:11" ht="12.75" customHeight="1">
      <c r="A241" s="26" t="str">
        <f t="shared" ref="A241:A281" si="29">B241&amp;D241&amp;E241</f>
        <v>27I-DEA Grant127-IDEA-13</v>
      </c>
      <c r="B241" s="120" t="s">
        <v>141</v>
      </c>
      <c r="C241" s="176" t="s">
        <v>102</v>
      </c>
      <c r="D241" s="280" t="s">
        <v>242</v>
      </c>
      <c r="E241" s="280" t="s">
        <v>247</v>
      </c>
      <c r="F241" s="282"/>
      <c r="G241" s="170"/>
      <c r="H241" s="170">
        <f t="shared" si="28"/>
        <v>0</v>
      </c>
      <c r="I241" s="178">
        <v>41275</v>
      </c>
      <c r="J241" s="178">
        <v>42551</v>
      </c>
      <c r="K241" s="124"/>
    </row>
    <row r="242" spans="1:11" ht="12.75" customHeight="1">
      <c r="A242" s="26" t="str">
        <f t="shared" si="29"/>
        <v>27Perkins Leadership Block Grant127-PLB-16</v>
      </c>
      <c r="B242" s="120" t="s">
        <v>141</v>
      </c>
      <c r="C242" s="121" t="s">
        <v>102</v>
      </c>
      <c r="D242" s="280" t="s">
        <v>233</v>
      </c>
      <c r="E242" s="280" t="s">
        <v>670</v>
      </c>
      <c r="F242" s="283"/>
      <c r="G242" s="122"/>
      <c r="H242" s="170">
        <f t="shared" si="28"/>
        <v>0</v>
      </c>
      <c r="I242" s="125">
        <v>42186</v>
      </c>
      <c r="J242" s="125">
        <v>42551</v>
      </c>
      <c r="K242" s="124"/>
    </row>
    <row r="243" spans="1:11" ht="12.75" customHeight="1">
      <c r="A243" s="26" t="str">
        <f t="shared" si="29"/>
        <v>27Perkins Plan127-PRK-16</v>
      </c>
      <c r="B243" s="120" t="s">
        <v>141</v>
      </c>
      <c r="C243" s="121" t="s">
        <v>102</v>
      </c>
      <c r="D243" s="280" t="s">
        <v>231</v>
      </c>
      <c r="E243" s="280" t="s">
        <v>671</v>
      </c>
      <c r="F243" s="283"/>
      <c r="G243" s="122"/>
      <c r="H243" s="170">
        <f t="shared" si="28"/>
        <v>0</v>
      </c>
      <c r="I243" s="125">
        <v>42186</v>
      </c>
      <c r="J243" s="125">
        <v>42551</v>
      </c>
      <c r="K243" s="124"/>
    </row>
    <row r="244" spans="1:11" ht="12.75" customHeight="1">
      <c r="A244" s="26" t="str">
        <f t="shared" si="29"/>
        <v>27WorkFirst Delivery Agreement127-WFDA-16</v>
      </c>
      <c r="B244" s="120" t="s">
        <v>141</v>
      </c>
      <c r="C244" s="121" t="s">
        <v>102</v>
      </c>
      <c r="D244" s="280" t="s">
        <v>232</v>
      </c>
      <c r="E244" s="280" t="s">
        <v>672</v>
      </c>
      <c r="F244" s="283"/>
      <c r="G244" s="122"/>
      <c r="H244" s="170">
        <f t="shared" si="28"/>
        <v>0</v>
      </c>
      <c r="I244" s="125">
        <v>42186</v>
      </c>
      <c r="J244" s="125">
        <v>42551</v>
      </c>
      <c r="K244" s="124"/>
    </row>
    <row r="245" spans="1:11" ht="12.75" customHeight="1">
      <c r="A245" s="24" t="str">
        <f>B245&amp;D244&amp;E244</f>
        <v>27WorkFirst Delivery Agreement127-WFDA-16</v>
      </c>
      <c r="B245" s="126" t="s">
        <v>141</v>
      </c>
      <c r="C245" s="127" t="s">
        <v>102</v>
      </c>
      <c r="D245" s="127"/>
      <c r="E245" s="127"/>
      <c r="F245" s="284"/>
      <c r="G245" s="128"/>
      <c r="H245" s="128"/>
      <c r="I245" s="129"/>
      <c r="J245" s="129"/>
      <c r="K245" s="124"/>
    </row>
    <row r="246" spans="1:11" ht="12.75" customHeight="1">
      <c r="A246" s="26" t="str">
        <f t="shared" si="29"/>
        <v>6Basic Food Employment and Training Grant131-BFET-15</v>
      </c>
      <c r="B246" s="120" t="s">
        <v>120</v>
      </c>
      <c r="C246" s="176" t="s">
        <v>103</v>
      </c>
      <c r="D246" s="280" t="s">
        <v>240</v>
      </c>
      <c r="E246" s="280" t="s">
        <v>379</v>
      </c>
      <c r="F246" s="283"/>
      <c r="G246" s="170"/>
      <c r="H246" s="170">
        <f t="shared" ref="H246:H252" si="30">F246+G246</f>
        <v>0</v>
      </c>
      <c r="I246" s="180">
        <v>41913</v>
      </c>
      <c r="J246" s="180">
        <v>42277</v>
      </c>
      <c r="K246" s="124"/>
    </row>
    <row r="247" spans="1:11" ht="12.75" customHeight="1">
      <c r="A247" s="26" t="str">
        <f t="shared" si="29"/>
        <v>6BEdA Leadership Block Grant131-BLBG-16</v>
      </c>
      <c r="B247" s="120" t="s">
        <v>120</v>
      </c>
      <c r="C247" s="176" t="s">
        <v>103</v>
      </c>
      <c r="D247" s="280" t="s">
        <v>497</v>
      </c>
      <c r="E247" s="280" t="s">
        <v>673</v>
      </c>
      <c r="F247" s="283"/>
      <c r="G247" s="170"/>
      <c r="H247" s="170">
        <f t="shared" si="30"/>
        <v>0</v>
      </c>
      <c r="I247" s="180">
        <v>42186</v>
      </c>
      <c r="J247" s="180">
        <v>42551</v>
      </c>
      <c r="K247" s="124"/>
    </row>
    <row r="248" spans="1:11" ht="12.75" customHeight="1">
      <c r="A248" s="26" t="str">
        <f t="shared" si="29"/>
        <v>6BEdA Master Grant131-BEDA-16</v>
      </c>
      <c r="B248" s="120" t="s">
        <v>120</v>
      </c>
      <c r="C248" s="176" t="s">
        <v>103</v>
      </c>
      <c r="D248" s="280" t="s">
        <v>498</v>
      </c>
      <c r="E248" s="280" t="s">
        <v>674</v>
      </c>
      <c r="F248" s="283"/>
      <c r="G248" s="170"/>
      <c r="H248" s="170">
        <f t="shared" si="30"/>
        <v>0</v>
      </c>
      <c r="I248" s="180">
        <v>42186</v>
      </c>
      <c r="J248" s="180">
        <v>42551</v>
      </c>
      <c r="K248" s="124"/>
    </row>
    <row r="249" spans="1:11" ht="12.75" customHeight="1">
      <c r="A249" s="26" t="str">
        <f t="shared" si="29"/>
        <v>6BEdA Program – EL Civics Grant Budget131-ELC-16</v>
      </c>
      <c r="B249" s="120" t="s">
        <v>120</v>
      </c>
      <c r="C249" s="176" t="s">
        <v>103</v>
      </c>
      <c r="D249" s="280" t="s">
        <v>505</v>
      </c>
      <c r="E249" s="280" t="s">
        <v>675</v>
      </c>
      <c r="F249" s="283"/>
      <c r="G249" s="170"/>
      <c r="H249" s="170">
        <f t="shared" si="30"/>
        <v>0</v>
      </c>
      <c r="I249" s="180">
        <v>42186</v>
      </c>
      <c r="J249" s="180">
        <v>42551</v>
      </c>
      <c r="K249" s="124"/>
    </row>
    <row r="250" spans="1:11" ht="12.75" customHeight="1">
      <c r="A250" s="26" t="str">
        <f t="shared" si="29"/>
        <v>6I-DEA Grant131-IDEA-13</v>
      </c>
      <c r="B250" s="120" t="s">
        <v>120</v>
      </c>
      <c r="C250" s="176" t="s">
        <v>103</v>
      </c>
      <c r="D250" s="280" t="s">
        <v>242</v>
      </c>
      <c r="E250" s="280" t="s">
        <v>248</v>
      </c>
      <c r="F250" s="282"/>
      <c r="G250" s="170"/>
      <c r="H250" s="170">
        <f t="shared" si="30"/>
        <v>0</v>
      </c>
      <c r="I250" s="178">
        <v>41275</v>
      </c>
      <c r="J250" s="178">
        <v>42551</v>
      </c>
      <c r="K250" s="124"/>
    </row>
    <row r="251" spans="1:11" ht="12.75" customHeight="1">
      <c r="A251" s="26" t="str">
        <f t="shared" si="29"/>
        <v>6Perkins Plan131-PRK-16</v>
      </c>
      <c r="B251" s="120" t="s">
        <v>120</v>
      </c>
      <c r="C251" s="176" t="s">
        <v>103</v>
      </c>
      <c r="D251" s="280" t="s">
        <v>231</v>
      </c>
      <c r="E251" s="280" t="s">
        <v>676</v>
      </c>
      <c r="F251" s="282"/>
      <c r="G251" s="170"/>
      <c r="H251" s="170">
        <f t="shared" si="30"/>
        <v>0</v>
      </c>
      <c r="I251" s="178">
        <v>42186</v>
      </c>
      <c r="J251" s="178">
        <v>42551</v>
      </c>
      <c r="K251" s="124"/>
    </row>
    <row r="252" spans="1:11" ht="12.75" customHeight="1">
      <c r="A252" s="26" t="str">
        <f t="shared" si="29"/>
        <v>6WorkFirst Delivery Agreement131-WFDA-16</v>
      </c>
      <c r="B252" s="120" t="s">
        <v>120</v>
      </c>
      <c r="C252" s="176" t="s">
        <v>103</v>
      </c>
      <c r="D252" s="280" t="s">
        <v>232</v>
      </c>
      <c r="E252" s="280" t="s">
        <v>677</v>
      </c>
      <c r="F252" s="282"/>
      <c r="G252" s="170"/>
      <c r="H252" s="170">
        <f t="shared" si="30"/>
        <v>0</v>
      </c>
      <c r="I252" s="178">
        <v>42186</v>
      </c>
      <c r="J252" s="178">
        <v>42551</v>
      </c>
      <c r="K252" s="124"/>
    </row>
    <row r="253" spans="1:11" ht="12.75" customHeight="1">
      <c r="A253" s="24" t="str">
        <f t="shared" si="29"/>
        <v>6</v>
      </c>
      <c r="B253" s="126" t="s">
        <v>120</v>
      </c>
      <c r="C253" s="127" t="s">
        <v>103</v>
      </c>
      <c r="D253" s="127"/>
      <c r="E253" s="127"/>
      <c r="F253" s="284"/>
      <c r="G253" s="128"/>
      <c r="H253" s="128"/>
      <c r="I253" s="129"/>
      <c r="J253" s="129"/>
      <c r="K253" s="124"/>
    </row>
    <row r="254" spans="1:11" ht="12.75" customHeight="1">
      <c r="A254" s="26" t="str">
        <f>B254&amp;D254&amp;E254</f>
        <v>6</v>
      </c>
      <c r="B254" s="120" t="s">
        <v>120</v>
      </c>
      <c r="C254" s="121" t="s">
        <v>433</v>
      </c>
      <c r="D254" s="66"/>
      <c r="E254" s="66"/>
      <c r="F254" s="283"/>
      <c r="G254" s="122"/>
      <c r="H254" s="122"/>
      <c r="I254" s="360"/>
      <c r="J254" s="130"/>
      <c r="K254" s="124"/>
    </row>
    <row r="255" spans="1:11" ht="12.75" customHeight="1">
      <c r="A255" s="26" t="str">
        <f t="shared" si="29"/>
        <v>6</v>
      </c>
      <c r="B255" s="120" t="s">
        <v>120</v>
      </c>
      <c r="C255" s="121" t="s">
        <v>433</v>
      </c>
      <c r="D255" s="66"/>
      <c r="E255" s="66"/>
      <c r="F255" s="283"/>
      <c r="G255" s="122"/>
      <c r="H255" s="122"/>
      <c r="I255" s="130"/>
      <c r="J255" s="130"/>
      <c r="K255" s="124"/>
    </row>
    <row r="256" spans="1:11" ht="12.75" customHeight="1">
      <c r="A256" s="24" t="str">
        <f t="shared" si="29"/>
        <v>6</v>
      </c>
      <c r="B256" s="126" t="s">
        <v>120</v>
      </c>
      <c r="C256" s="127" t="s">
        <v>433</v>
      </c>
      <c r="D256" s="127"/>
      <c r="E256" s="127"/>
      <c r="F256" s="284"/>
      <c r="G256" s="128"/>
      <c r="H256" s="128"/>
      <c r="I256" s="129"/>
      <c r="J256" s="129"/>
      <c r="K256" s="124"/>
    </row>
    <row r="257" spans="1:11" ht="12.75" customHeight="1">
      <c r="A257" s="26" t="str">
        <f t="shared" si="29"/>
        <v>6Basic Food Employment and Training Grant134-BFET-15</v>
      </c>
      <c r="B257" s="120" t="s">
        <v>120</v>
      </c>
      <c r="C257" s="359" t="s">
        <v>104</v>
      </c>
      <c r="D257" s="280" t="s">
        <v>240</v>
      </c>
      <c r="E257" s="280" t="s">
        <v>380</v>
      </c>
      <c r="F257" s="282"/>
      <c r="G257" s="170"/>
      <c r="H257" s="170">
        <f>F257+G257</f>
        <v>0</v>
      </c>
      <c r="I257" s="178">
        <v>41913</v>
      </c>
      <c r="J257" s="178">
        <v>42277</v>
      </c>
      <c r="K257" s="124"/>
    </row>
    <row r="258" spans="1:11" ht="12.75" customHeight="1">
      <c r="A258" s="26" t="str">
        <f t="shared" si="29"/>
        <v>6BEdA Leadership Block Grant134-BLBG-16</v>
      </c>
      <c r="B258" s="120" t="s">
        <v>120</v>
      </c>
      <c r="C258" s="176" t="s">
        <v>104</v>
      </c>
      <c r="D258" s="280" t="s">
        <v>497</v>
      </c>
      <c r="E258" s="280" t="s">
        <v>678</v>
      </c>
      <c r="F258" s="283"/>
      <c r="G258" s="170"/>
      <c r="H258" s="170">
        <f>F258+G258</f>
        <v>0</v>
      </c>
      <c r="I258" s="287">
        <v>42186</v>
      </c>
      <c r="J258" s="178">
        <v>42551</v>
      </c>
      <c r="K258" s="124"/>
    </row>
    <row r="259" spans="1:11" ht="12.75" customHeight="1">
      <c r="A259" s="26" t="str">
        <f t="shared" si="29"/>
        <v>6BEdA Master Grant134-BEDA-16</v>
      </c>
      <c r="B259" s="120" t="s">
        <v>120</v>
      </c>
      <c r="C259" s="121" t="s">
        <v>104</v>
      </c>
      <c r="D259" s="280" t="s">
        <v>498</v>
      </c>
      <c r="E259" s="280" t="s">
        <v>679</v>
      </c>
      <c r="F259" s="283"/>
      <c r="G259" s="170"/>
      <c r="H259" s="170">
        <f>F259+G259</f>
        <v>0</v>
      </c>
      <c r="I259" s="125">
        <v>42186</v>
      </c>
      <c r="J259" s="125">
        <v>42551</v>
      </c>
      <c r="K259" s="124"/>
    </row>
    <row r="260" spans="1:11" ht="12.75" customHeight="1">
      <c r="A260" s="26" t="str">
        <f t="shared" si="29"/>
        <v>6Perkins Plan134-PRK-16</v>
      </c>
      <c r="B260" s="120" t="s">
        <v>120</v>
      </c>
      <c r="C260" s="121" t="s">
        <v>104</v>
      </c>
      <c r="D260" s="280" t="s">
        <v>231</v>
      </c>
      <c r="E260" s="280" t="s">
        <v>680</v>
      </c>
      <c r="F260" s="283"/>
      <c r="G260" s="170"/>
      <c r="H260" s="170">
        <f>F260+G260</f>
        <v>0</v>
      </c>
      <c r="I260" s="125">
        <v>42186</v>
      </c>
      <c r="J260" s="125">
        <v>42551</v>
      </c>
      <c r="K260" s="124"/>
    </row>
    <row r="261" spans="1:11" ht="12.75" customHeight="1">
      <c r="A261" s="26" t="str">
        <f t="shared" si="29"/>
        <v>6WorkFirst Delivery Agreement134-WFDA-16</v>
      </c>
      <c r="B261" s="120" t="s">
        <v>120</v>
      </c>
      <c r="C261" s="121" t="s">
        <v>104</v>
      </c>
      <c r="D261" s="280" t="s">
        <v>232</v>
      </c>
      <c r="E261" s="280" t="s">
        <v>681</v>
      </c>
      <c r="F261" s="283"/>
      <c r="G261" s="170"/>
      <c r="H261" s="170">
        <f>F261+G261</f>
        <v>0</v>
      </c>
      <c r="I261" s="125">
        <v>42186</v>
      </c>
      <c r="J261" s="125">
        <v>42551</v>
      </c>
      <c r="K261" s="124"/>
    </row>
    <row r="262" spans="1:11" ht="12.75" customHeight="1">
      <c r="A262" s="24" t="str">
        <f t="shared" si="29"/>
        <v>6</v>
      </c>
      <c r="B262" s="126" t="s">
        <v>120</v>
      </c>
      <c r="C262" s="127" t="s">
        <v>104</v>
      </c>
      <c r="D262" s="127"/>
      <c r="E262" s="127"/>
      <c r="F262" s="284"/>
      <c r="G262" s="128"/>
      <c r="H262" s="128"/>
      <c r="I262" s="129"/>
      <c r="J262" s="129"/>
      <c r="K262" s="124"/>
    </row>
    <row r="263" spans="1:11" ht="12.75" customHeight="1">
      <c r="A263" s="26" t="str">
        <f t="shared" si="29"/>
        <v>7Basic Food Employment and Training Grant107-BFET-15</v>
      </c>
      <c r="B263" s="120" t="s">
        <v>121</v>
      </c>
      <c r="C263" s="176" t="s">
        <v>105</v>
      </c>
      <c r="D263" s="280" t="s">
        <v>240</v>
      </c>
      <c r="E263" s="280" t="s">
        <v>381</v>
      </c>
      <c r="F263" s="283"/>
      <c r="G263" s="170"/>
      <c r="H263" s="170">
        <f t="shared" ref="H263:H270" si="31">F263+G263</f>
        <v>0</v>
      </c>
      <c r="I263" s="180">
        <v>41913</v>
      </c>
      <c r="J263" s="180">
        <v>42277</v>
      </c>
      <c r="K263" s="124"/>
    </row>
    <row r="264" spans="1:11" ht="12.75" customHeight="1">
      <c r="A264" s="26" t="str">
        <f t="shared" si="29"/>
        <v>7BEdA Leadership Block Grant107-BLBG-16</v>
      </c>
      <c r="B264" s="120" t="s">
        <v>121</v>
      </c>
      <c r="C264" s="176" t="s">
        <v>105</v>
      </c>
      <c r="D264" s="280" t="s">
        <v>497</v>
      </c>
      <c r="E264" s="280" t="s">
        <v>682</v>
      </c>
      <c r="F264" s="283"/>
      <c r="G264" s="170"/>
      <c r="H264" s="170">
        <f t="shared" si="31"/>
        <v>0</v>
      </c>
      <c r="I264" s="180">
        <v>42186</v>
      </c>
      <c r="J264" s="180">
        <v>42551</v>
      </c>
      <c r="K264" s="124"/>
    </row>
    <row r="265" spans="1:11" ht="12.75" customHeight="1">
      <c r="A265" s="26" t="str">
        <f t="shared" si="29"/>
        <v>7BEdA Master Grant107-BEDA-16</v>
      </c>
      <c r="B265" s="120" t="s">
        <v>121</v>
      </c>
      <c r="C265" s="176" t="s">
        <v>105</v>
      </c>
      <c r="D265" s="280" t="s">
        <v>498</v>
      </c>
      <c r="E265" s="280" t="s">
        <v>683</v>
      </c>
      <c r="F265" s="283"/>
      <c r="G265" s="170"/>
      <c r="H265" s="170">
        <f t="shared" si="31"/>
        <v>0</v>
      </c>
      <c r="I265" s="180">
        <v>42186</v>
      </c>
      <c r="J265" s="180">
        <v>42551</v>
      </c>
      <c r="K265" s="124"/>
    </row>
    <row r="266" spans="1:11" ht="12.75" customHeight="1">
      <c r="A266" s="26" t="str">
        <f t="shared" si="29"/>
        <v>7BEdA Program – EL Civics Grant Budget107-ELC-16</v>
      </c>
      <c r="B266" s="120" t="s">
        <v>121</v>
      </c>
      <c r="C266" s="176" t="s">
        <v>105</v>
      </c>
      <c r="D266" s="280" t="s">
        <v>505</v>
      </c>
      <c r="E266" s="280" t="s">
        <v>684</v>
      </c>
      <c r="F266" s="283"/>
      <c r="G266" s="170"/>
      <c r="H266" s="170">
        <f t="shared" si="31"/>
        <v>0</v>
      </c>
      <c r="I266" s="180">
        <v>42186</v>
      </c>
      <c r="J266" s="180">
        <v>42551</v>
      </c>
      <c r="K266" s="124"/>
    </row>
    <row r="267" spans="1:11" ht="12.75" customHeight="1">
      <c r="A267" s="26" t="str">
        <f t="shared" si="29"/>
        <v>7Misc. General Grant107-B2C-15</v>
      </c>
      <c r="B267" s="120" t="s">
        <v>121</v>
      </c>
      <c r="C267" s="176" t="s">
        <v>105</v>
      </c>
      <c r="D267" s="280" t="s">
        <v>235</v>
      </c>
      <c r="E267" s="280" t="s">
        <v>428</v>
      </c>
      <c r="F267" s="283"/>
      <c r="G267" s="170"/>
      <c r="H267" s="170">
        <f t="shared" si="31"/>
        <v>0</v>
      </c>
      <c r="I267" s="180">
        <v>41977</v>
      </c>
      <c r="J267" s="180">
        <v>42247</v>
      </c>
      <c r="K267" s="124"/>
    </row>
    <row r="268" spans="1:11" ht="12.75" customHeight="1">
      <c r="A268" s="26" t="str">
        <f t="shared" si="29"/>
        <v>7Perkins Plan107-PRK-16</v>
      </c>
      <c r="B268" s="120" t="s">
        <v>121</v>
      </c>
      <c r="C268" s="176" t="s">
        <v>105</v>
      </c>
      <c r="D268" s="280" t="s">
        <v>231</v>
      </c>
      <c r="E268" s="280" t="s">
        <v>685</v>
      </c>
      <c r="F268" s="283"/>
      <c r="G268" s="170"/>
      <c r="H268" s="170">
        <f t="shared" si="31"/>
        <v>0</v>
      </c>
      <c r="I268" s="180">
        <v>42186</v>
      </c>
      <c r="J268" s="180">
        <v>42551</v>
      </c>
      <c r="K268" s="124"/>
    </row>
    <row r="269" spans="1:11" ht="12.75" customHeight="1">
      <c r="A269" s="26" t="str">
        <f t="shared" si="29"/>
        <v>7Phase III I-DEA Grant107-IDEA-16</v>
      </c>
      <c r="B269" s="120" t="s">
        <v>121</v>
      </c>
      <c r="C269" s="176" t="s">
        <v>105</v>
      </c>
      <c r="D269" s="280" t="s">
        <v>506</v>
      </c>
      <c r="E269" s="280" t="s">
        <v>686</v>
      </c>
      <c r="F269" s="283"/>
      <c r="G269" s="170"/>
      <c r="H269" s="170">
        <f t="shared" si="31"/>
        <v>0</v>
      </c>
      <c r="I269" s="180">
        <v>42186</v>
      </c>
      <c r="J269" s="180">
        <v>42551</v>
      </c>
      <c r="K269" s="124"/>
    </row>
    <row r="270" spans="1:11" ht="12.75" customHeight="1">
      <c r="A270" s="26" t="str">
        <f>B270&amp;D270&amp;E270</f>
        <v>7WorkFirst Delivery Agreement107-WFDA-16</v>
      </c>
      <c r="B270" s="120" t="s">
        <v>121</v>
      </c>
      <c r="C270" s="176" t="s">
        <v>105</v>
      </c>
      <c r="D270" s="280" t="s">
        <v>232</v>
      </c>
      <c r="E270" s="280" t="s">
        <v>687</v>
      </c>
      <c r="F270" s="283"/>
      <c r="G270" s="283"/>
      <c r="H270" s="170">
        <f t="shared" si="31"/>
        <v>0</v>
      </c>
      <c r="I270" s="357">
        <v>42186</v>
      </c>
      <c r="J270" s="357">
        <v>42551</v>
      </c>
      <c r="K270" s="124"/>
    </row>
    <row r="271" spans="1:11" ht="12.75" customHeight="1">
      <c r="A271" s="24" t="str">
        <f t="shared" si="29"/>
        <v>7</v>
      </c>
      <c r="B271" s="126" t="s">
        <v>121</v>
      </c>
      <c r="C271" s="127" t="s">
        <v>105</v>
      </c>
      <c r="D271" s="127"/>
      <c r="E271" s="127"/>
      <c r="F271" s="284"/>
      <c r="G271" s="128"/>
      <c r="H271" s="128"/>
      <c r="I271" s="129"/>
      <c r="J271" s="129"/>
      <c r="K271" s="124"/>
    </row>
    <row r="272" spans="1:11" ht="12.75" customHeight="1">
      <c r="A272" s="26" t="str">
        <f t="shared" si="29"/>
        <v>4Basic Food Employment and Training Grant104-BFET-15</v>
      </c>
      <c r="B272" s="120" t="s">
        <v>118</v>
      </c>
      <c r="C272" s="176" t="s">
        <v>81</v>
      </c>
      <c r="D272" s="280" t="s">
        <v>240</v>
      </c>
      <c r="E272" s="280" t="s">
        <v>382</v>
      </c>
      <c r="F272" s="282"/>
      <c r="G272" s="170"/>
      <c r="H272" s="170">
        <f t="shared" ref="H272:H282" si="32">F272+G272</f>
        <v>0</v>
      </c>
      <c r="I272" s="180">
        <v>41913</v>
      </c>
      <c r="J272" s="180">
        <v>42277</v>
      </c>
      <c r="K272" s="124"/>
    </row>
    <row r="273" spans="1:11" ht="12.75" customHeight="1">
      <c r="A273" s="26" t="str">
        <f t="shared" si="29"/>
        <v>4BEdA Leadership Block Grant104-BLBG-16</v>
      </c>
      <c r="B273" s="120" t="s">
        <v>118</v>
      </c>
      <c r="C273" s="176" t="s">
        <v>81</v>
      </c>
      <c r="D273" s="280" t="s">
        <v>497</v>
      </c>
      <c r="E273" s="280" t="s">
        <v>688</v>
      </c>
      <c r="F273" s="282"/>
      <c r="G273" s="170"/>
      <c r="H273" s="170">
        <f t="shared" si="32"/>
        <v>0</v>
      </c>
      <c r="I273" s="180">
        <v>42186</v>
      </c>
      <c r="J273" s="180">
        <v>42551</v>
      </c>
      <c r="K273" s="124"/>
    </row>
    <row r="274" spans="1:11" ht="12.75" customHeight="1">
      <c r="A274" s="26" t="str">
        <f t="shared" si="29"/>
        <v>4BEdA Master Grant104-BEDA-16</v>
      </c>
      <c r="B274" s="120" t="s">
        <v>118</v>
      </c>
      <c r="C274" s="176" t="s">
        <v>81</v>
      </c>
      <c r="D274" s="280" t="s">
        <v>498</v>
      </c>
      <c r="E274" s="280" t="s">
        <v>689</v>
      </c>
      <c r="F274" s="282"/>
      <c r="G274" s="170"/>
      <c r="H274" s="170">
        <f t="shared" si="32"/>
        <v>0</v>
      </c>
      <c r="I274" s="180">
        <v>42186</v>
      </c>
      <c r="J274" s="180">
        <v>42551</v>
      </c>
      <c r="K274" s="124"/>
    </row>
    <row r="275" spans="1:11" ht="12.75" customHeight="1">
      <c r="A275" s="26" t="str">
        <f t="shared" si="29"/>
        <v>4BEdA Program – EL Civics Grant Budget104-ELC-16</v>
      </c>
      <c r="B275" s="120" t="s">
        <v>118</v>
      </c>
      <c r="C275" s="176" t="s">
        <v>81</v>
      </c>
      <c r="D275" s="280" t="s">
        <v>505</v>
      </c>
      <c r="E275" s="280" t="s">
        <v>690</v>
      </c>
      <c r="F275" s="282"/>
      <c r="G275" s="170"/>
      <c r="H275" s="170">
        <f t="shared" si="32"/>
        <v>0</v>
      </c>
      <c r="I275" s="180">
        <v>42186</v>
      </c>
      <c r="J275" s="180">
        <v>42551</v>
      </c>
      <c r="K275" s="124"/>
    </row>
    <row r="276" spans="1:11" ht="12.75" customHeight="1">
      <c r="A276" s="26" t="str">
        <f t="shared" si="29"/>
        <v>4BEdA State Plan Innovations Grant104-BSPI-15</v>
      </c>
      <c r="B276" s="120" t="s">
        <v>118</v>
      </c>
      <c r="C276" s="176" t="s">
        <v>81</v>
      </c>
      <c r="D276" s="280" t="s">
        <v>412</v>
      </c>
      <c r="E276" s="280" t="s">
        <v>422</v>
      </c>
      <c r="F276" s="282"/>
      <c r="G276" s="170"/>
      <c r="H276" s="170">
        <f t="shared" si="32"/>
        <v>0</v>
      </c>
      <c r="I276" s="178">
        <v>41944</v>
      </c>
      <c r="J276" s="178">
        <v>42551</v>
      </c>
      <c r="K276" s="124"/>
    </row>
    <row r="277" spans="1:11" ht="12.75" customHeight="1">
      <c r="A277" s="26" t="str">
        <f t="shared" si="29"/>
        <v>4Early Achievers Opportunity Grant Application104-EAOG-16</v>
      </c>
      <c r="B277" s="120" t="s">
        <v>118</v>
      </c>
      <c r="C277" s="176" t="s">
        <v>81</v>
      </c>
      <c r="D277" s="280" t="s">
        <v>241</v>
      </c>
      <c r="E277" s="280" t="s">
        <v>691</v>
      </c>
      <c r="F277" s="282"/>
      <c r="G277" s="170"/>
      <c r="H277" s="170">
        <f t="shared" si="32"/>
        <v>0</v>
      </c>
      <c r="I277" s="178">
        <v>42186</v>
      </c>
      <c r="J277" s="178">
        <v>42551</v>
      </c>
      <c r="K277" s="124"/>
    </row>
    <row r="278" spans="1:11" ht="12.75" customHeight="1">
      <c r="A278" s="26" t="str">
        <f t="shared" si="29"/>
        <v>4Perkins Innovation Project104-PIP-16</v>
      </c>
      <c r="B278" s="120" t="s">
        <v>118</v>
      </c>
      <c r="C278" s="176" t="s">
        <v>81</v>
      </c>
      <c r="D278" s="280" t="s">
        <v>234</v>
      </c>
      <c r="E278" s="280" t="s">
        <v>692</v>
      </c>
      <c r="F278" s="282"/>
      <c r="G278" s="170"/>
      <c r="H278" s="170">
        <f t="shared" si="32"/>
        <v>0</v>
      </c>
      <c r="I278" s="178">
        <v>42186</v>
      </c>
      <c r="J278" s="178">
        <v>42551</v>
      </c>
      <c r="K278" s="124"/>
    </row>
    <row r="279" spans="1:11" ht="12.75" customHeight="1">
      <c r="A279" s="26" t="str">
        <f t="shared" si="29"/>
        <v>4Perkins Leadership Block Grant104-PLB-16</v>
      </c>
      <c r="B279" s="120" t="s">
        <v>118</v>
      </c>
      <c r="C279" s="176" t="s">
        <v>81</v>
      </c>
      <c r="D279" s="280" t="s">
        <v>233</v>
      </c>
      <c r="E279" s="280" t="s">
        <v>693</v>
      </c>
      <c r="F279" s="282"/>
      <c r="G279" s="170"/>
      <c r="H279" s="170">
        <f t="shared" si="32"/>
        <v>0</v>
      </c>
      <c r="I279" s="178">
        <v>42186</v>
      </c>
      <c r="J279" s="178">
        <v>42551</v>
      </c>
      <c r="K279" s="124"/>
    </row>
    <row r="280" spans="1:11" ht="12.75" customHeight="1">
      <c r="A280" s="26" t="str">
        <f t="shared" si="29"/>
        <v>4Perkins Plan104-PRK-16</v>
      </c>
      <c r="B280" s="120" t="s">
        <v>118</v>
      </c>
      <c r="C280" s="176" t="s">
        <v>81</v>
      </c>
      <c r="D280" s="280" t="s">
        <v>231</v>
      </c>
      <c r="E280" s="280" t="s">
        <v>694</v>
      </c>
      <c r="F280" s="282"/>
      <c r="G280" s="170"/>
      <c r="H280" s="170">
        <f t="shared" si="32"/>
        <v>0</v>
      </c>
      <c r="I280" s="178">
        <v>42186</v>
      </c>
      <c r="J280" s="178">
        <v>42551</v>
      </c>
      <c r="K280" s="124"/>
    </row>
    <row r="281" spans="1:11" ht="12.75" customHeight="1">
      <c r="A281" s="26" t="str">
        <f t="shared" si="29"/>
        <v>4Phase III I-DEA Grant104-IDEA-16</v>
      </c>
      <c r="B281" s="120" t="s">
        <v>118</v>
      </c>
      <c r="C281" s="176" t="s">
        <v>81</v>
      </c>
      <c r="D281" s="280" t="s">
        <v>506</v>
      </c>
      <c r="E281" s="280" t="s">
        <v>695</v>
      </c>
      <c r="F281" s="282"/>
      <c r="G281" s="170"/>
      <c r="H281" s="170">
        <f t="shared" si="32"/>
        <v>0</v>
      </c>
      <c r="I281" s="178">
        <v>42186</v>
      </c>
      <c r="J281" s="178">
        <v>42551</v>
      </c>
      <c r="K281" s="124"/>
    </row>
    <row r="282" spans="1:11" ht="12.75" customHeight="1">
      <c r="A282" s="26" t="str">
        <f t="shared" ref="A282:A289" si="33">B282&amp;D282&amp;E282</f>
        <v>4WorkFirst Delivery Agreement104-WFDA-16</v>
      </c>
      <c r="B282" s="120" t="s">
        <v>118</v>
      </c>
      <c r="C282" s="176" t="s">
        <v>81</v>
      </c>
      <c r="D282" s="280" t="s">
        <v>232</v>
      </c>
      <c r="E282" s="280" t="s">
        <v>696</v>
      </c>
      <c r="F282" s="283"/>
      <c r="G282" s="170"/>
      <c r="H282" s="170">
        <f t="shared" si="32"/>
        <v>0</v>
      </c>
      <c r="I282" s="180">
        <v>42186</v>
      </c>
      <c r="J282" s="180">
        <v>42551</v>
      </c>
      <c r="K282" s="124"/>
    </row>
    <row r="283" spans="1:11" ht="12.75" customHeight="1">
      <c r="A283" s="24" t="str">
        <f t="shared" si="33"/>
        <v>4</v>
      </c>
      <c r="B283" s="126" t="s">
        <v>118</v>
      </c>
      <c r="C283" s="127" t="s">
        <v>81</v>
      </c>
      <c r="D283" s="127"/>
      <c r="E283" s="127"/>
      <c r="F283" s="284"/>
      <c r="G283" s="128"/>
      <c r="H283" s="128"/>
      <c r="I283" s="129"/>
      <c r="J283" s="129"/>
      <c r="K283" s="124"/>
    </row>
    <row r="284" spans="1:11" ht="12.75" customHeight="1">
      <c r="A284" s="26" t="str">
        <f t="shared" si="33"/>
        <v>24Basic Food Employment and Training Grant124-BFET-15</v>
      </c>
      <c r="B284" s="120" t="s">
        <v>138</v>
      </c>
      <c r="C284" s="176" t="s">
        <v>106</v>
      </c>
      <c r="D284" s="280" t="s">
        <v>240</v>
      </c>
      <c r="E284" s="280" t="s">
        <v>383</v>
      </c>
      <c r="F284" s="282"/>
      <c r="G284" s="170"/>
      <c r="H284" s="170">
        <f t="shared" ref="H284:H290" si="34">F284+G284</f>
        <v>0</v>
      </c>
      <c r="I284" s="180">
        <v>41913</v>
      </c>
      <c r="J284" s="180">
        <v>42277</v>
      </c>
      <c r="K284" s="124"/>
    </row>
    <row r="285" spans="1:11" ht="12.75" customHeight="1">
      <c r="A285" s="26" t="str">
        <f t="shared" si="33"/>
        <v>24BEdA Leadership Block Grant124-BLBG-16</v>
      </c>
      <c r="B285" s="120" t="s">
        <v>138</v>
      </c>
      <c r="C285" s="176" t="s">
        <v>106</v>
      </c>
      <c r="D285" s="280" t="s">
        <v>497</v>
      </c>
      <c r="E285" s="280" t="s">
        <v>697</v>
      </c>
      <c r="F285" s="282"/>
      <c r="G285" s="170"/>
      <c r="H285" s="170">
        <f t="shared" si="34"/>
        <v>0</v>
      </c>
      <c r="I285" s="180">
        <v>42186</v>
      </c>
      <c r="J285" s="180">
        <v>42551</v>
      </c>
      <c r="K285" s="124"/>
    </row>
    <row r="286" spans="1:11" ht="12.75" customHeight="1">
      <c r="A286" s="26" t="str">
        <f t="shared" si="33"/>
        <v>24BEdA Master Grant124-BEDA-16</v>
      </c>
      <c r="B286" s="120" t="s">
        <v>138</v>
      </c>
      <c r="C286" s="176" t="s">
        <v>106</v>
      </c>
      <c r="D286" s="280" t="s">
        <v>498</v>
      </c>
      <c r="E286" s="280" t="s">
        <v>698</v>
      </c>
      <c r="F286" s="282"/>
      <c r="G286" s="170"/>
      <c r="H286" s="170">
        <f t="shared" si="34"/>
        <v>0</v>
      </c>
      <c r="I286" s="180">
        <v>42186</v>
      </c>
      <c r="J286" s="180">
        <v>42551</v>
      </c>
      <c r="K286" s="124"/>
    </row>
    <row r="287" spans="1:11" ht="12.75" customHeight="1">
      <c r="A287" s="26" t="str">
        <f t="shared" si="33"/>
        <v>24Early Achievers Opportunity Grant Application124-EAOG-16</v>
      </c>
      <c r="B287" s="120" t="s">
        <v>138</v>
      </c>
      <c r="C287" s="176" t="s">
        <v>106</v>
      </c>
      <c r="D287" s="280" t="s">
        <v>241</v>
      </c>
      <c r="E287" s="280" t="s">
        <v>699</v>
      </c>
      <c r="F287" s="282"/>
      <c r="G287" s="170"/>
      <c r="H287" s="170">
        <f t="shared" si="34"/>
        <v>0</v>
      </c>
      <c r="I287" s="180">
        <v>42186</v>
      </c>
      <c r="J287" s="180">
        <v>42551</v>
      </c>
      <c r="K287" s="124"/>
    </row>
    <row r="288" spans="1:11" ht="12.75" customHeight="1">
      <c r="A288" s="26" t="str">
        <f t="shared" si="33"/>
        <v>24Perkins Plan124-PRK-16</v>
      </c>
      <c r="B288" s="120" t="s">
        <v>138</v>
      </c>
      <c r="C288" s="176" t="s">
        <v>106</v>
      </c>
      <c r="D288" s="280" t="s">
        <v>231</v>
      </c>
      <c r="E288" s="280" t="s">
        <v>700</v>
      </c>
      <c r="F288" s="282"/>
      <c r="G288" s="170"/>
      <c r="H288" s="170">
        <f t="shared" si="34"/>
        <v>0</v>
      </c>
      <c r="I288" s="180">
        <v>42186</v>
      </c>
      <c r="J288" s="180">
        <v>42551</v>
      </c>
      <c r="K288" s="124"/>
    </row>
    <row r="289" spans="1:11" ht="12.75" customHeight="1">
      <c r="A289" s="26" t="str">
        <f t="shared" si="33"/>
        <v>24Phase III I-DEA Grant124-IDEA-16</v>
      </c>
      <c r="B289" s="120" t="s">
        <v>138</v>
      </c>
      <c r="C289" s="176" t="s">
        <v>106</v>
      </c>
      <c r="D289" s="280" t="s">
        <v>506</v>
      </c>
      <c r="E289" s="280" t="s">
        <v>701</v>
      </c>
      <c r="F289" s="282"/>
      <c r="G289" s="170"/>
      <c r="H289" s="170">
        <f t="shared" si="34"/>
        <v>0</v>
      </c>
      <c r="I289" s="180">
        <v>42186</v>
      </c>
      <c r="J289" s="180">
        <v>42551</v>
      </c>
      <c r="K289" s="124"/>
    </row>
    <row r="290" spans="1:11" ht="12.75" customHeight="1">
      <c r="A290" s="26" t="str">
        <f t="shared" ref="A290" si="35">B290&amp;D290&amp;E290</f>
        <v>24WorkFirst Delivery Agreement124-WFDA-16</v>
      </c>
      <c r="B290" s="120" t="s">
        <v>138</v>
      </c>
      <c r="C290" s="176" t="s">
        <v>106</v>
      </c>
      <c r="D290" s="280" t="s">
        <v>232</v>
      </c>
      <c r="E290" s="280" t="s">
        <v>702</v>
      </c>
      <c r="F290" s="282"/>
      <c r="G290" s="170"/>
      <c r="H290" s="170">
        <f t="shared" si="34"/>
        <v>0</v>
      </c>
      <c r="I290" s="180">
        <v>42186</v>
      </c>
      <c r="J290" s="180">
        <v>42551</v>
      </c>
      <c r="K290" s="124"/>
    </row>
    <row r="291" spans="1:11" ht="12.75" customHeight="1">
      <c r="A291" s="26" t="str">
        <f t="shared" ref="A291:A306" si="36">B291&amp;D291&amp;E291</f>
        <v>24</v>
      </c>
      <c r="B291" s="126" t="s">
        <v>138</v>
      </c>
      <c r="C291" s="127" t="s">
        <v>106</v>
      </c>
      <c r="D291" s="127"/>
      <c r="E291" s="127"/>
      <c r="F291" s="284"/>
      <c r="G291" s="128"/>
      <c r="H291" s="128"/>
      <c r="I291" s="129"/>
      <c r="J291" s="129"/>
      <c r="K291" s="124"/>
    </row>
    <row r="292" spans="1:11" ht="12.75" customHeight="1">
      <c r="A292" s="26" t="str">
        <f t="shared" si="36"/>
        <v>6Basic Food Employment and Training Grant133-BFET-15</v>
      </c>
      <c r="B292" s="120" t="s">
        <v>120</v>
      </c>
      <c r="C292" s="176" t="s">
        <v>107</v>
      </c>
      <c r="D292" s="280" t="s">
        <v>240</v>
      </c>
      <c r="E292" s="280" t="s">
        <v>384</v>
      </c>
      <c r="F292" s="282"/>
      <c r="G292" s="170"/>
      <c r="H292" s="170">
        <f t="shared" ref="H292:H300" si="37">F292+G292</f>
        <v>0</v>
      </c>
      <c r="I292" s="180">
        <v>41913</v>
      </c>
      <c r="J292" s="180">
        <v>42277</v>
      </c>
      <c r="K292" s="124"/>
    </row>
    <row r="293" spans="1:11" ht="12.75" customHeight="1">
      <c r="A293" s="26" t="str">
        <f t="shared" si="36"/>
        <v>6BEdA Leadership Block Grant133-BLBG-16</v>
      </c>
      <c r="B293" s="120" t="s">
        <v>120</v>
      </c>
      <c r="C293" s="176" t="s">
        <v>107</v>
      </c>
      <c r="D293" s="280" t="s">
        <v>497</v>
      </c>
      <c r="E293" s="280" t="s">
        <v>703</v>
      </c>
      <c r="F293" s="282"/>
      <c r="G293" s="170"/>
      <c r="H293" s="170">
        <f t="shared" si="37"/>
        <v>0</v>
      </c>
      <c r="I293" s="180">
        <v>42186</v>
      </c>
      <c r="J293" s="180">
        <v>42551</v>
      </c>
      <c r="K293" s="124"/>
    </row>
    <row r="294" spans="1:11" ht="12.75" customHeight="1">
      <c r="A294" s="26" t="str">
        <f t="shared" si="36"/>
        <v>6BEdA Master Grant133-BEDA-16</v>
      </c>
      <c r="B294" s="120" t="s">
        <v>120</v>
      </c>
      <c r="C294" s="176" t="s">
        <v>107</v>
      </c>
      <c r="D294" s="280" t="s">
        <v>498</v>
      </c>
      <c r="E294" s="280" t="s">
        <v>704</v>
      </c>
      <c r="F294" s="282"/>
      <c r="G294" s="170"/>
      <c r="H294" s="170">
        <f t="shared" si="37"/>
        <v>0</v>
      </c>
      <c r="I294" s="180">
        <v>42186</v>
      </c>
      <c r="J294" s="180">
        <v>42551</v>
      </c>
      <c r="K294" s="124"/>
    </row>
    <row r="295" spans="1:11" ht="12.75" customHeight="1">
      <c r="A295" s="26" t="str">
        <f t="shared" si="36"/>
        <v>6BEdA Program – EL Civics Grant Budget133-ELC-16</v>
      </c>
      <c r="B295" s="120" t="s">
        <v>120</v>
      </c>
      <c r="C295" s="176" t="s">
        <v>107</v>
      </c>
      <c r="D295" s="280" t="s">
        <v>505</v>
      </c>
      <c r="E295" s="280" t="s">
        <v>705</v>
      </c>
      <c r="F295" s="282"/>
      <c r="G295" s="170"/>
      <c r="H295" s="170">
        <f t="shared" si="37"/>
        <v>0</v>
      </c>
      <c r="I295" s="180">
        <v>42186</v>
      </c>
      <c r="J295" s="180">
        <v>42551</v>
      </c>
      <c r="K295" s="124"/>
    </row>
    <row r="296" spans="1:11" ht="12.75" customHeight="1">
      <c r="A296" s="26" t="str">
        <f t="shared" si="36"/>
        <v>6Job Skills Program Grant133-JSP-16BP</v>
      </c>
      <c r="B296" s="120" t="s">
        <v>120</v>
      </c>
      <c r="C296" s="176" t="s">
        <v>107</v>
      </c>
      <c r="D296" s="280" t="s">
        <v>269</v>
      </c>
      <c r="E296" s="280" t="s">
        <v>706</v>
      </c>
      <c r="F296" s="282"/>
      <c r="G296" s="170"/>
      <c r="H296" s="170">
        <f t="shared" si="37"/>
        <v>0</v>
      </c>
      <c r="I296" s="180">
        <v>42186</v>
      </c>
      <c r="J296" s="180">
        <v>42916</v>
      </c>
      <c r="K296" s="124"/>
    </row>
    <row r="297" spans="1:11" ht="12.75" customHeight="1">
      <c r="A297" s="26" t="str">
        <f t="shared" si="36"/>
        <v>6Job Skills Program Grant133-JSP-16NWH</v>
      </c>
      <c r="B297" s="120" t="s">
        <v>120</v>
      </c>
      <c r="C297" s="176" t="s">
        <v>107</v>
      </c>
      <c r="D297" s="280" t="s">
        <v>269</v>
      </c>
      <c r="E297" s="280" t="s">
        <v>707</v>
      </c>
      <c r="F297" s="283"/>
      <c r="G297" s="206"/>
      <c r="H297" s="170">
        <f t="shared" si="37"/>
        <v>0</v>
      </c>
      <c r="I297" s="180">
        <v>42186</v>
      </c>
      <c r="J297" s="180">
        <v>42916</v>
      </c>
      <c r="K297" s="124"/>
    </row>
    <row r="298" spans="1:11" ht="12.75" customHeight="1">
      <c r="A298" s="26" t="str">
        <f t="shared" si="36"/>
        <v>6Perkins Plan133-PRK-16</v>
      </c>
      <c r="B298" s="120" t="s">
        <v>120</v>
      </c>
      <c r="C298" s="121" t="s">
        <v>107</v>
      </c>
      <c r="D298" s="280" t="s">
        <v>231</v>
      </c>
      <c r="E298" s="280" t="s">
        <v>708</v>
      </c>
      <c r="F298" s="283"/>
      <c r="G298" s="122"/>
      <c r="H298" s="170">
        <f t="shared" si="37"/>
        <v>0</v>
      </c>
      <c r="I298" s="180">
        <v>42186</v>
      </c>
      <c r="J298" s="180">
        <v>42551</v>
      </c>
      <c r="K298" s="124"/>
    </row>
    <row r="299" spans="1:11" ht="12.75" customHeight="1">
      <c r="A299" s="26" t="str">
        <f t="shared" si="36"/>
        <v>6Phase III I-DEA Grant133-IDEA-16</v>
      </c>
      <c r="B299" s="120" t="s">
        <v>120</v>
      </c>
      <c r="C299" s="121" t="s">
        <v>107</v>
      </c>
      <c r="D299" s="280" t="s">
        <v>506</v>
      </c>
      <c r="E299" s="280" t="s">
        <v>709</v>
      </c>
      <c r="F299" s="283"/>
      <c r="G299" s="122"/>
      <c r="H299" s="170">
        <f t="shared" si="37"/>
        <v>0</v>
      </c>
      <c r="I299" s="180">
        <v>42186</v>
      </c>
      <c r="J299" s="180">
        <v>42551</v>
      </c>
      <c r="K299" s="124"/>
    </row>
    <row r="300" spans="1:11" ht="12.75" customHeight="1">
      <c r="A300" s="26" t="str">
        <f t="shared" si="36"/>
        <v>6WorkFirst Delivery Agreement133-WFDA-16</v>
      </c>
      <c r="B300" s="120" t="s">
        <v>120</v>
      </c>
      <c r="C300" s="121" t="s">
        <v>107</v>
      </c>
      <c r="D300" s="280" t="s">
        <v>232</v>
      </c>
      <c r="E300" s="280" t="s">
        <v>710</v>
      </c>
      <c r="F300" s="283"/>
      <c r="G300" s="122"/>
      <c r="H300" s="170">
        <f t="shared" si="37"/>
        <v>0</v>
      </c>
      <c r="I300" s="286">
        <v>42186</v>
      </c>
      <c r="J300" s="286">
        <v>42551</v>
      </c>
      <c r="K300" s="124"/>
    </row>
    <row r="301" spans="1:11" ht="12.75" customHeight="1">
      <c r="A301" s="24" t="str">
        <f t="shared" si="36"/>
        <v>6</v>
      </c>
      <c r="B301" s="126" t="s">
        <v>120</v>
      </c>
      <c r="C301" s="127" t="s">
        <v>107</v>
      </c>
      <c r="D301" s="127"/>
      <c r="E301" s="127"/>
      <c r="F301" s="284"/>
      <c r="G301" s="128"/>
      <c r="H301" s="128"/>
      <c r="I301" s="129"/>
      <c r="J301" s="129"/>
      <c r="K301" s="124"/>
    </row>
    <row r="302" spans="1:11" ht="12.75" customHeight="1">
      <c r="A302" s="26" t="str">
        <f t="shared" si="36"/>
        <v>17</v>
      </c>
      <c r="B302" s="120" t="s">
        <v>131</v>
      </c>
      <c r="C302" s="176" t="s">
        <v>108</v>
      </c>
      <c r="D302" s="173"/>
      <c r="E302" s="173"/>
      <c r="F302" s="282"/>
      <c r="G302" s="174"/>
      <c r="H302" s="170"/>
      <c r="I302" s="180"/>
      <c r="J302" s="180"/>
      <c r="K302" s="124"/>
    </row>
    <row r="303" spans="1:11" ht="12.75" customHeight="1">
      <c r="A303" s="26" t="str">
        <f t="shared" si="36"/>
        <v>17</v>
      </c>
      <c r="B303" s="120" t="s">
        <v>131</v>
      </c>
      <c r="C303" s="176" t="s">
        <v>108</v>
      </c>
      <c r="D303" s="173"/>
      <c r="E303" s="173"/>
      <c r="F303" s="282"/>
      <c r="G303" s="174"/>
      <c r="H303" s="170"/>
      <c r="I303" s="180"/>
      <c r="J303" s="180"/>
      <c r="K303" s="124"/>
    </row>
    <row r="304" spans="1:11" ht="12.75" customHeight="1">
      <c r="A304" s="24" t="str">
        <f t="shared" si="36"/>
        <v>17</v>
      </c>
      <c r="B304" s="126" t="s">
        <v>131</v>
      </c>
      <c r="C304" s="127" t="s">
        <v>108</v>
      </c>
      <c r="D304" s="127"/>
      <c r="E304" s="127"/>
      <c r="F304" s="284"/>
      <c r="G304" s="128"/>
      <c r="H304" s="128"/>
      <c r="I304" s="129"/>
      <c r="J304" s="129"/>
      <c r="K304" s="124"/>
    </row>
    <row r="305" spans="1:11" s="33" customFormat="1" ht="12.75" customHeight="1">
      <c r="A305" s="33" t="str">
        <f t="shared" si="36"/>
        <v>17Basic Food Employment and Training Grant117-BFET-15</v>
      </c>
      <c r="B305" s="141" t="s">
        <v>131</v>
      </c>
      <c r="C305" s="176" t="s">
        <v>82</v>
      </c>
      <c r="D305" s="280" t="s">
        <v>240</v>
      </c>
      <c r="E305" s="280" t="s">
        <v>385</v>
      </c>
      <c r="F305" s="282"/>
      <c r="G305" s="170"/>
      <c r="H305" s="170">
        <f t="shared" ref="H305:H316" si="38">F305+G305</f>
        <v>0</v>
      </c>
      <c r="I305" s="180">
        <v>41913</v>
      </c>
      <c r="J305" s="180">
        <v>42277</v>
      </c>
      <c r="K305" s="146"/>
    </row>
    <row r="306" spans="1:11" s="33" customFormat="1" ht="12.75" customHeight="1">
      <c r="A306" s="33" t="str">
        <f t="shared" si="36"/>
        <v>17BEdA Leadership Block Grant117-BLBG-16</v>
      </c>
      <c r="B306" s="141" t="s">
        <v>131</v>
      </c>
      <c r="C306" s="176" t="s">
        <v>82</v>
      </c>
      <c r="D306" s="280" t="s">
        <v>497</v>
      </c>
      <c r="E306" s="280" t="s">
        <v>711</v>
      </c>
      <c r="F306" s="282"/>
      <c r="G306" s="170"/>
      <c r="H306" s="170">
        <f t="shared" si="38"/>
        <v>0</v>
      </c>
      <c r="I306" s="180">
        <v>42186</v>
      </c>
      <c r="J306" s="180">
        <v>42551</v>
      </c>
      <c r="K306" s="146"/>
    </row>
    <row r="307" spans="1:11" s="33" customFormat="1" ht="12.75" customHeight="1">
      <c r="A307" s="33" t="str">
        <f t="shared" ref="A307:A360" si="39">B307&amp;D307&amp;E307</f>
        <v>17BEdA Master Grant117-BEDA-16</v>
      </c>
      <c r="B307" s="141" t="s">
        <v>131</v>
      </c>
      <c r="C307" s="176" t="s">
        <v>82</v>
      </c>
      <c r="D307" s="280" t="s">
        <v>498</v>
      </c>
      <c r="E307" s="280" t="s">
        <v>712</v>
      </c>
      <c r="F307" s="282"/>
      <c r="G307" s="170"/>
      <c r="H307" s="170">
        <f t="shared" si="38"/>
        <v>0</v>
      </c>
      <c r="I307" s="180">
        <v>42186</v>
      </c>
      <c r="J307" s="180">
        <v>42551</v>
      </c>
      <c r="K307" s="146"/>
    </row>
    <row r="308" spans="1:11" ht="12.75" customHeight="1">
      <c r="A308" s="26" t="str">
        <f t="shared" si="39"/>
        <v>17BEdA Program – EL Civics Grant Budget117-ELC-16</v>
      </c>
      <c r="B308" s="120" t="s">
        <v>131</v>
      </c>
      <c r="C308" s="121" t="s">
        <v>82</v>
      </c>
      <c r="D308" s="280" t="s">
        <v>505</v>
      </c>
      <c r="E308" s="280" t="s">
        <v>713</v>
      </c>
      <c r="F308" s="283"/>
      <c r="G308" s="122"/>
      <c r="H308" s="170">
        <f t="shared" si="38"/>
        <v>0</v>
      </c>
      <c r="I308" s="123">
        <v>42186</v>
      </c>
      <c r="J308" s="123">
        <v>42551</v>
      </c>
      <c r="K308" s="124"/>
    </row>
    <row r="309" spans="1:11" ht="12.75" customHeight="1">
      <c r="A309" s="26" t="str">
        <f t="shared" si="39"/>
        <v>17Correctional Education Grant117-CE-16</v>
      </c>
      <c r="B309" s="120" t="s">
        <v>131</v>
      </c>
      <c r="C309" s="121" t="s">
        <v>82</v>
      </c>
      <c r="D309" s="280" t="s">
        <v>267</v>
      </c>
      <c r="E309" s="280" t="s">
        <v>714</v>
      </c>
      <c r="F309" s="283"/>
      <c r="G309" s="122"/>
      <c r="H309" s="170">
        <f t="shared" si="38"/>
        <v>0</v>
      </c>
      <c r="I309" s="123">
        <v>42186</v>
      </c>
      <c r="J309" s="123">
        <v>42551</v>
      </c>
      <c r="K309" s="124"/>
    </row>
    <row r="310" spans="1:11" ht="12.75" customHeight="1">
      <c r="A310" s="26" t="str">
        <f t="shared" si="39"/>
        <v>17I-DEA Grant117-IDEA-13</v>
      </c>
      <c r="B310" s="120" t="s">
        <v>131</v>
      </c>
      <c r="C310" s="121" t="s">
        <v>82</v>
      </c>
      <c r="D310" s="280" t="s">
        <v>242</v>
      </c>
      <c r="E310" s="280" t="s">
        <v>249</v>
      </c>
      <c r="F310" s="283"/>
      <c r="G310" s="122"/>
      <c r="H310" s="170">
        <f t="shared" si="38"/>
        <v>0</v>
      </c>
      <c r="I310" s="123">
        <v>41275</v>
      </c>
      <c r="J310" s="123">
        <v>42551</v>
      </c>
      <c r="K310" s="124"/>
    </row>
    <row r="311" spans="1:11" ht="12.75" customHeight="1">
      <c r="A311" s="26" t="str">
        <f t="shared" si="39"/>
        <v>17Misc. General Grant117-NGCC-15</v>
      </c>
      <c r="B311" s="120" t="s">
        <v>131</v>
      </c>
      <c r="C311" s="121" t="s">
        <v>82</v>
      </c>
      <c r="D311" s="280" t="s">
        <v>235</v>
      </c>
      <c r="E311" s="280" t="s">
        <v>715</v>
      </c>
      <c r="F311" s="283"/>
      <c r="G311" s="122"/>
      <c r="H311" s="170">
        <f t="shared" si="38"/>
        <v>0</v>
      </c>
      <c r="I311" s="123">
        <v>42037</v>
      </c>
      <c r="J311" s="123">
        <v>42735</v>
      </c>
      <c r="K311" s="124"/>
    </row>
    <row r="312" spans="1:11" ht="12.75" customHeight="1">
      <c r="A312" s="26" t="str">
        <f t="shared" si="39"/>
        <v>17Misc. General Grant117-NGST-15</v>
      </c>
      <c r="B312" s="120" t="s">
        <v>131</v>
      </c>
      <c r="C312" s="121" t="s">
        <v>82</v>
      </c>
      <c r="D312" s="280" t="s">
        <v>235</v>
      </c>
      <c r="E312" s="280" t="s">
        <v>716</v>
      </c>
      <c r="F312" s="283"/>
      <c r="G312" s="122"/>
      <c r="H312" s="170">
        <f t="shared" si="38"/>
        <v>0</v>
      </c>
      <c r="I312" s="123">
        <v>42037</v>
      </c>
      <c r="J312" s="123">
        <v>42551</v>
      </c>
      <c r="K312" s="124"/>
    </row>
    <row r="313" spans="1:11" ht="12.75" customHeight="1">
      <c r="A313" s="26" t="str">
        <f t="shared" si="39"/>
        <v>17Misc. General Grant117-WAOL-16</v>
      </c>
      <c r="B313" s="120" t="s">
        <v>131</v>
      </c>
      <c r="C313" s="121" t="s">
        <v>82</v>
      </c>
      <c r="D313" s="280" t="s">
        <v>235</v>
      </c>
      <c r="E313" s="280" t="s">
        <v>717</v>
      </c>
      <c r="F313" s="283"/>
      <c r="G313" s="122"/>
      <c r="H313" s="170">
        <f t="shared" si="38"/>
        <v>0</v>
      </c>
      <c r="I313" s="180">
        <v>42186</v>
      </c>
      <c r="J313" s="180">
        <v>42551</v>
      </c>
      <c r="K313" s="124"/>
    </row>
    <row r="314" spans="1:11" ht="12.75" customHeight="1">
      <c r="A314" s="26" t="str">
        <f t="shared" si="39"/>
        <v>17Perkins Non-Traditional Employment &amp; Training Gran117-PNT-16</v>
      </c>
      <c r="B314" s="120" t="s">
        <v>131</v>
      </c>
      <c r="C314" s="121" t="s">
        <v>82</v>
      </c>
      <c r="D314" s="280" t="s">
        <v>359</v>
      </c>
      <c r="E314" s="280" t="s">
        <v>718</v>
      </c>
      <c r="F314" s="283"/>
      <c r="G314" s="122"/>
      <c r="H314" s="170">
        <f t="shared" si="38"/>
        <v>0</v>
      </c>
      <c r="I314" s="180">
        <v>42186</v>
      </c>
      <c r="J314" s="180">
        <v>42551</v>
      </c>
      <c r="K314" s="124"/>
    </row>
    <row r="315" spans="1:11" ht="12.75" customHeight="1">
      <c r="A315" s="26" t="str">
        <f t="shared" ref="A315" si="40">B315&amp;D315&amp;E315</f>
        <v>17Perkins Plan117-PRK-16</v>
      </c>
      <c r="B315" s="120" t="s">
        <v>131</v>
      </c>
      <c r="C315" s="121" t="s">
        <v>82</v>
      </c>
      <c r="D315" s="280" t="s">
        <v>231</v>
      </c>
      <c r="E315" s="280" t="s">
        <v>719</v>
      </c>
      <c r="F315" s="283"/>
      <c r="G315" s="122"/>
      <c r="H315" s="170">
        <f t="shared" si="38"/>
        <v>0</v>
      </c>
      <c r="I315" s="180">
        <v>42186</v>
      </c>
      <c r="J315" s="180">
        <v>42551</v>
      </c>
      <c r="K315" s="124"/>
    </row>
    <row r="316" spans="1:11" ht="12.75" customHeight="1">
      <c r="A316" s="26" t="str">
        <f t="shared" si="39"/>
        <v>17WorkFirst Delivery Agreement117-WFDA-16</v>
      </c>
      <c r="B316" s="120" t="s">
        <v>131</v>
      </c>
      <c r="C316" s="121" t="s">
        <v>82</v>
      </c>
      <c r="D316" s="280" t="s">
        <v>232</v>
      </c>
      <c r="E316" s="280" t="s">
        <v>720</v>
      </c>
      <c r="F316" s="283"/>
      <c r="G316" s="122"/>
      <c r="H316" s="170">
        <f t="shared" si="38"/>
        <v>0</v>
      </c>
      <c r="I316" s="180">
        <v>42186</v>
      </c>
      <c r="J316" s="180">
        <v>42551</v>
      </c>
      <c r="K316" s="124"/>
    </row>
    <row r="317" spans="1:11" ht="12.75" customHeight="1">
      <c r="A317" s="24" t="str">
        <f t="shared" si="39"/>
        <v>17</v>
      </c>
      <c r="B317" s="126" t="s">
        <v>131</v>
      </c>
      <c r="C317" s="24" t="s">
        <v>82</v>
      </c>
      <c r="D317" s="127"/>
      <c r="E317" s="127"/>
      <c r="F317" s="284"/>
      <c r="G317" s="128"/>
      <c r="H317" s="128"/>
      <c r="I317" s="129"/>
      <c r="J317" s="129"/>
      <c r="K317" s="124"/>
    </row>
    <row r="318" spans="1:11" ht="12.75" customHeight="1">
      <c r="A318" s="26" t="str">
        <f t="shared" si="39"/>
        <v>17Perkins Leadership Block Grant138-PLB-16</v>
      </c>
      <c r="B318" s="120" t="s">
        <v>131</v>
      </c>
      <c r="C318" s="176" t="s">
        <v>109</v>
      </c>
      <c r="D318" s="280" t="s">
        <v>233</v>
      </c>
      <c r="E318" s="280" t="s">
        <v>721</v>
      </c>
      <c r="F318" s="282"/>
      <c r="G318" s="170"/>
      <c r="H318" s="170">
        <f>F318+G318</f>
        <v>0</v>
      </c>
      <c r="I318" s="178">
        <v>42186</v>
      </c>
      <c r="J318" s="178">
        <v>42551</v>
      </c>
      <c r="K318" s="124"/>
    </row>
    <row r="319" spans="1:11" ht="12.75" customHeight="1">
      <c r="A319" s="26" t="str">
        <f t="shared" si="39"/>
        <v>17</v>
      </c>
      <c r="B319" s="120" t="s">
        <v>131</v>
      </c>
      <c r="C319" s="176" t="s">
        <v>109</v>
      </c>
      <c r="D319" s="176"/>
      <c r="E319" s="176"/>
      <c r="F319" s="282"/>
      <c r="G319" s="279"/>
      <c r="H319" s="170"/>
      <c r="I319" s="178"/>
      <c r="J319" s="178"/>
      <c r="K319" s="124"/>
    </row>
    <row r="320" spans="1:11" ht="12.75" customHeight="1">
      <c r="A320" s="24" t="str">
        <f t="shared" si="39"/>
        <v>17</v>
      </c>
      <c r="B320" s="126" t="s">
        <v>131</v>
      </c>
      <c r="C320" s="24" t="s">
        <v>109</v>
      </c>
      <c r="D320" s="127"/>
      <c r="E320" s="127"/>
      <c r="F320" s="284"/>
      <c r="G320" s="128"/>
      <c r="H320" s="128"/>
      <c r="I320" s="129"/>
      <c r="J320" s="129"/>
      <c r="K320" s="124"/>
    </row>
    <row r="321" spans="1:11" ht="12.75" customHeight="1">
      <c r="A321" s="26" t="str">
        <f t="shared" si="39"/>
        <v>17</v>
      </c>
      <c r="B321" s="120" t="s">
        <v>131</v>
      </c>
      <c r="C321" s="176" t="s">
        <v>110</v>
      </c>
      <c r="D321" s="176"/>
      <c r="E321" s="176"/>
      <c r="F321" s="282"/>
      <c r="G321" s="177"/>
      <c r="H321" s="170"/>
      <c r="I321" s="178"/>
      <c r="J321" s="178"/>
      <c r="K321" s="124"/>
    </row>
    <row r="322" spans="1:11" ht="12.75" customHeight="1">
      <c r="A322" s="26" t="str">
        <f t="shared" si="39"/>
        <v>17</v>
      </c>
      <c r="B322" s="120" t="s">
        <v>131</v>
      </c>
      <c r="C322" s="176" t="s">
        <v>110</v>
      </c>
      <c r="D322" s="176"/>
      <c r="E322" s="176"/>
      <c r="F322" s="282"/>
      <c r="G322" s="177"/>
      <c r="H322" s="170"/>
      <c r="I322" s="178"/>
      <c r="J322" s="178"/>
      <c r="K322" s="124"/>
    </row>
    <row r="323" spans="1:11" ht="12.75" customHeight="1">
      <c r="A323" s="24" t="str">
        <f t="shared" si="39"/>
        <v>17</v>
      </c>
      <c r="B323" s="126" t="s">
        <v>131</v>
      </c>
      <c r="C323" s="24" t="s">
        <v>110</v>
      </c>
      <c r="D323" s="131"/>
      <c r="E323" s="131"/>
      <c r="F323" s="284"/>
      <c r="G323" s="128"/>
      <c r="H323" s="128"/>
      <c r="I323" s="132"/>
      <c r="J323" s="132"/>
      <c r="K323" s="124"/>
    </row>
    <row r="324" spans="1:11" ht="12.75" customHeight="1">
      <c r="A324" s="26" t="str">
        <f t="shared" si="39"/>
        <v>22Basic Food Employment and Training Grant122-BFET-15</v>
      </c>
      <c r="B324" s="120" t="s">
        <v>136</v>
      </c>
      <c r="C324" s="176" t="s">
        <v>111</v>
      </c>
      <c r="D324" s="280" t="s">
        <v>240</v>
      </c>
      <c r="E324" s="280" t="s">
        <v>386</v>
      </c>
      <c r="F324" s="282"/>
      <c r="G324" s="278"/>
      <c r="H324" s="278">
        <f t="shared" ref="H324:H334" si="41">F324+G324</f>
        <v>0</v>
      </c>
      <c r="I324" s="180">
        <v>41913</v>
      </c>
      <c r="J324" s="180">
        <v>42277</v>
      </c>
      <c r="K324" s="124"/>
    </row>
    <row r="325" spans="1:11" ht="12.75" customHeight="1">
      <c r="A325" s="26" t="str">
        <f t="shared" si="39"/>
        <v>22BEdA Master Grant122-BEDA-16</v>
      </c>
      <c r="B325" s="120" t="s">
        <v>136</v>
      </c>
      <c r="C325" s="176" t="s">
        <v>111</v>
      </c>
      <c r="D325" s="280" t="s">
        <v>498</v>
      </c>
      <c r="E325" s="280" t="s">
        <v>722</v>
      </c>
      <c r="F325" s="282"/>
      <c r="G325" s="278"/>
      <c r="H325" s="278">
        <f t="shared" si="41"/>
        <v>0</v>
      </c>
      <c r="I325" s="180">
        <v>42186</v>
      </c>
      <c r="J325" s="180">
        <v>42551</v>
      </c>
      <c r="K325" s="124"/>
    </row>
    <row r="326" spans="1:11" ht="12.75" customHeight="1">
      <c r="A326" s="26" t="str">
        <f t="shared" si="39"/>
        <v>22BEdA Program – EL Civics Grant Budget122-ELC-16</v>
      </c>
      <c r="B326" s="120" t="s">
        <v>136</v>
      </c>
      <c r="C326" s="176" t="s">
        <v>111</v>
      </c>
      <c r="D326" s="280" t="s">
        <v>505</v>
      </c>
      <c r="E326" s="280" t="s">
        <v>723</v>
      </c>
      <c r="F326" s="282"/>
      <c r="G326" s="278"/>
      <c r="H326" s="278">
        <f t="shared" si="41"/>
        <v>0</v>
      </c>
      <c r="I326" s="180">
        <v>42186</v>
      </c>
      <c r="J326" s="180">
        <v>42551</v>
      </c>
      <c r="K326" s="124"/>
    </row>
    <row r="327" spans="1:11" ht="12.75" customHeight="1">
      <c r="A327" s="26" t="str">
        <f t="shared" si="39"/>
        <v>22BEdA State Plan Innovations Grant122-BSPI-15</v>
      </c>
      <c r="B327" s="120" t="s">
        <v>136</v>
      </c>
      <c r="C327" s="176" t="s">
        <v>111</v>
      </c>
      <c r="D327" s="280" t="s">
        <v>412</v>
      </c>
      <c r="E327" s="280" t="s">
        <v>423</v>
      </c>
      <c r="F327" s="282"/>
      <c r="G327" s="278"/>
      <c r="H327" s="278">
        <f t="shared" si="41"/>
        <v>0</v>
      </c>
      <c r="I327" s="180">
        <v>41944</v>
      </c>
      <c r="J327" s="180">
        <v>42551</v>
      </c>
      <c r="K327" s="124"/>
    </row>
    <row r="328" spans="1:11" ht="12.75" customHeight="1">
      <c r="A328" s="26" t="str">
        <f t="shared" si="39"/>
        <v>22Correctional Education Grant122-CE-16</v>
      </c>
      <c r="B328" s="120" t="s">
        <v>136</v>
      </c>
      <c r="C328" s="176" t="s">
        <v>111</v>
      </c>
      <c r="D328" s="280" t="s">
        <v>267</v>
      </c>
      <c r="E328" s="280" t="s">
        <v>724</v>
      </c>
      <c r="F328" s="282"/>
      <c r="G328" s="278"/>
      <c r="H328" s="278">
        <f t="shared" si="41"/>
        <v>0</v>
      </c>
      <c r="I328" s="180">
        <v>42186</v>
      </c>
      <c r="J328" s="180">
        <v>42551</v>
      </c>
      <c r="K328" s="124"/>
    </row>
    <row r="329" spans="1:11" ht="12.75" customHeight="1">
      <c r="A329" s="26" t="str">
        <f t="shared" si="39"/>
        <v>22Faculty Learning Communities Initiative Grant122-FLCE-16</v>
      </c>
      <c r="B329" s="120" t="s">
        <v>136</v>
      </c>
      <c r="C329" s="176" t="s">
        <v>111</v>
      </c>
      <c r="D329" s="280" t="s">
        <v>274</v>
      </c>
      <c r="E329" s="280" t="s">
        <v>725</v>
      </c>
      <c r="F329" s="282"/>
      <c r="G329" s="278"/>
      <c r="H329" s="278">
        <f t="shared" si="41"/>
        <v>0</v>
      </c>
      <c r="I329" s="180">
        <v>42186</v>
      </c>
      <c r="J329" s="180">
        <v>42551</v>
      </c>
      <c r="K329" s="124"/>
    </row>
    <row r="330" spans="1:11" ht="12.75" customHeight="1">
      <c r="A330" s="26" t="str">
        <f t="shared" si="39"/>
        <v>22I-DEA Grant122-IDEA-13</v>
      </c>
      <c r="B330" s="120" t="s">
        <v>136</v>
      </c>
      <c r="C330" s="176" t="s">
        <v>111</v>
      </c>
      <c r="D330" s="280" t="s">
        <v>242</v>
      </c>
      <c r="E330" s="280" t="s">
        <v>250</v>
      </c>
      <c r="F330" s="282"/>
      <c r="G330" s="278"/>
      <c r="H330" s="278">
        <f t="shared" si="41"/>
        <v>0</v>
      </c>
      <c r="I330" s="180">
        <v>41275</v>
      </c>
      <c r="J330" s="180">
        <v>42551</v>
      </c>
      <c r="K330" s="124"/>
    </row>
    <row r="331" spans="1:11" ht="12.75" customHeight="1">
      <c r="A331" s="26" t="str">
        <f t="shared" si="39"/>
        <v>22Perkins Leadership Block Grant122-PLB-16</v>
      </c>
      <c r="B331" s="120" t="s">
        <v>136</v>
      </c>
      <c r="C331" s="176" t="s">
        <v>111</v>
      </c>
      <c r="D331" s="280" t="s">
        <v>233</v>
      </c>
      <c r="E331" s="280" t="s">
        <v>726</v>
      </c>
      <c r="F331" s="282"/>
      <c r="G331" s="278"/>
      <c r="H331" s="278">
        <f t="shared" si="41"/>
        <v>0</v>
      </c>
      <c r="I331" s="180">
        <v>42186</v>
      </c>
      <c r="J331" s="180">
        <v>42551</v>
      </c>
      <c r="K331" s="124"/>
    </row>
    <row r="332" spans="1:11" ht="12.75" customHeight="1">
      <c r="A332" s="26" t="str">
        <f t="shared" si="39"/>
        <v>22Perkins Plan122-PRK-16</v>
      </c>
      <c r="B332" s="120" t="s">
        <v>136</v>
      </c>
      <c r="C332" s="176" t="s">
        <v>111</v>
      </c>
      <c r="D332" s="280" t="s">
        <v>231</v>
      </c>
      <c r="E332" s="280" t="s">
        <v>727</v>
      </c>
      <c r="F332" s="282"/>
      <c r="G332" s="278"/>
      <c r="H332" s="278">
        <f t="shared" si="41"/>
        <v>0</v>
      </c>
      <c r="I332" s="180">
        <v>42186</v>
      </c>
      <c r="J332" s="180">
        <v>42551</v>
      </c>
      <c r="K332" s="124"/>
    </row>
    <row r="333" spans="1:11" ht="12.75" customHeight="1">
      <c r="A333" s="26" t="str">
        <f t="shared" si="39"/>
        <v>22Transcript Grid for Placement Project122-TG-15</v>
      </c>
      <c r="B333" s="120" t="s">
        <v>136</v>
      </c>
      <c r="C333" s="176" t="s">
        <v>111</v>
      </c>
      <c r="D333" s="280" t="s">
        <v>429</v>
      </c>
      <c r="E333" s="280" t="s">
        <v>434</v>
      </c>
      <c r="F333" s="282"/>
      <c r="G333" s="278"/>
      <c r="H333" s="278">
        <f t="shared" si="41"/>
        <v>0</v>
      </c>
      <c r="I333" s="180">
        <v>42005</v>
      </c>
      <c r="J333" s="180">
        <v>42247</v>
      </c>
      <c r="K333" s="124"/>
    </row>
    <row r="334" spans="1:11" ht="12.75" customHeight="1">
      <c r="A334" s="26" t="str">
        <f t="shared" si="39"/>
        <v>22WorkFirst Delivery Agreement122-WFDA-16</v>
      </c>
      <c r="B334" s="120" t="s">
        <v>136</v>
      </c>
      <c r="C334" s="176" t="s">
        <v>111</v>
      </c>
      <c r="D334" s="280" t="s">
        <v>232</v>
      </c>
      <c r="E334" s="280" t="s">
        <v>728</v>
      </c>
      <c r="F334" s="282"/>
      <c r="G334" s="278"/>
      <c r="H334" s="278">
        <f t="shared" si="41"/>
        <v>0</v>
      </c>
      <c r="I334" s="180">
        <v>42186</v>
      </c>
      <c r="J334" s="180">
        <v>42551</v>
      </c>
      <c r="K334" s="124"/>
    </row>
    <row r="335" spans="1:11" ht="12.75" customHeight="1">
      <c r="A335" s="24" t="str">
        <f t="shared" si="39"/>
        <v>22</v>
      </c>
      <c r="B335" s="126" t="s">
        <v>136</v>
      </c>
      <c r="C335" s="24" t="s">
        <v>111</v>
      </c>
      <c r="D335" s="127"/>
      <c r="E335" s="127"/>
      <c r="F335" s="284"/>
      <c r="G335" s="128"/>
      <c r="H335" s="128"/>
      <c r="I335" s="129"/>
      <c r="J335" s="129"/>
      <c r="K335" s="124"/>
    </row>
    <row r="336" spans="1:11" ht="12.75" customHeight="1">
      <c r="A336" s="26" t="str">
        <f t="shared" si="39"/>
        <v>20Basic Food Employment and Training Grant120-BFET-15</v>
      </c>
      <c r="B336" s="120" t="s">
        <v>134</v>
      </c>
      <c r="C336" s="176" t="s">
        <v>83</v>
      </c>
      <c r="D336" s="280" t="s">
        <v>240</v>
      </c>
      <c r="E336" s="280" t="s">
        <v>387</v>
      </c>
      <c r="F336" s="282"/>
      <c r="G336" s="278"/>
      <c r="H336" s="278">
        <f t="shared" ref="H336:H345" si="42">F336+G336</f>
        <v>0</v>
      </c>
      <c r="I336" s="180">
        <v>41913</v>
      </c>
      <c r="J336" s="180">
        <v>42277</v>
      </c>
      <c r="K336" s="124"/>
    </row>
    <row r="337" spans="1:11" ht="12.75" customHeight="1">
      <c r="A337" s="26" t="str">
        <f t="shared" si="39"/>
        <v>20BEdA Leadership Block Grant120-BLBG-16</v>
      </c>
      <c r="B337" s="120" t="s">
        <v>134</v>
      </c>
      <c r="C337" s="176" t="s">
        <v>83</v>
      </c>
      <c r="D337" s="280" t="s">
        <v>497</v>
      </c>
      <c r="E337" s="280" t="s">
        <v>729</v>
      </c>
      <c r="F337" s="282"/>
      <c r="G337" s="278"/>
      <c r="H337" s="278">
        <f t="shared" si="42"/>
        <v>0</v>
      </c>
      <c r="I337" s="180">
        <v>42186</v>
      </c>
      <c r="J337" s="180">
        <v>42551</v>
      </c>
      <c r="K337" s="124"/>
    </row>
    <row r="338" spans="1:11" ht="12.75" customHeight="1">
      <c r="A338" s="26" t="str">
        <f t="shared" si="39"/>
        <v>20BEdA Master Grant120-BEDA-16</v>
      </c>
      <c r="B338" s="120" t="s">
        <v>134</v>
      </c>
      <c r="C338" s="176" t="s">
        <v>83</v>
      </c>
      <c r="D338" s="280" t="s">
        <v>498</v>
      </c>
      <c r="E338" s="280" t="s">
        <v>730</v>
      </c>
      <c r="F338" s="282"/>
      <c r="G338" s="278"/>
      <c r="H338" s="278">
        <f t="shared" si="42"/>
        <v>0</v>
      </c>
      <c r="I338" s="180">
        <v>42186</v>
      </c>
      <c r="J338" s="180">
        <v>42551</v>
      </c>
      <c r="K338" s="124"/>
    </row>
    <row r="339" spans="1:11" ht="12.75" customHeight="1">
      <c r="A339" s="26" t="str">
        <f t="shared" si="39"/>
        <v>20BEdA Program – EL Civics Grant Budget120-ELC-16</v>
      </c>
      <c r="B339" s="120" t="s">
        <v>134</v>
      </c>
      <c r="C339" s="176" t="s">
        <v>83</v>
      </c>
      <c r="D339" s="280" t="s">
        <v>505</v>
      </c>
      <c r="E339" s="280" t="s">
        <v>731</v>
      </c>
      <c r="F339" s="282"/>
      <c r="G339" s="278"/>
      <c r="H339" s="278">
        <f t="shared" si="42"/>
        <v>0</v>
      </c>
      <c r="I339" s="180">
        <v>42186</v>
      </c>
      <c r="J339" s="180">
        <v>42551</v>
      </c>
      <c r="K339" s="124"/>
    </row>
    <row r="340" spans="1:11" ht="12.75" customHeight="1">
      <c r="A340" s="26" t="str">
        <f t="shared" si="39"/>
        <v>20Correctional Education Grant120-CE-16</v>
      </c>
      <c r="B340" s="120" t="s">
        <v>134</v>
      </c>
      <c r="C340" s="176" t="s">
        <v>83</v>
      </c>
      <c r="D340" s="280" t="s">
        <v>267</v>
      </c>
      <c r="E340" s="280" t="s">
        <v>732</v>
      </c>
      <c r="F340" s="282"/>
      <c r="G340" s="278"/>
      <c r="H340" s="278">
        <f t="shared" si="42"/>
        <v>0</v>
      </c>
      <c r="I340" s="180">
        <v>42186</v>
      </c>
      <c r="J340" s="180">
        <v>42551</v>
      </c>
      <c r="K340" s="124"/>
    </row>
    <row r="341" spans="1:11" ht="12.75" customHeight="1">
      <c r="A341" s="26" t="str">
        <f t="shared" si="39"/>
        <v>20I-DEA Grant120-IDEA-13</v>
      </c>
      <c r="B341" s="120" t="s">
        <v>134</v>
      </c>
      <c r="C341" s="176" t="s">
        <v>83</v>
      </c>
      <c r="D341" s="280" t="s">
        <v>242</v>
      </c>
      <c r="E341" s="280" t="s">
        <v>251</v>
      </c>
      <c r="F341" s="282"/>
      <c r="G341" s="278"/>
      <c r="H341" s="278">
        <f t="shared" si="42"/>
        <v>0</v>
      </c>
      <c r="I341" s="180">
        <v>41275</v>
      </c>
      <c r="J341" s="180">
        <v>42551</v>
      </c>
      <c r="K341" s="124"/>
    </row>
    <row r="342" spans="1:11" ht="12.75" customHeight="1">
      <c r="A342" s="26" t="str">
        <f t="shared" si="39"/>
        <v>20Misc. General Grant120-WFAD-16</v>
      </c>
      <c r="B342" s="120" t="s">
        <v>134</v>
      </c>
      <c r="C342" s="176" t="s">
        <v>83</v>
      </c>
      <c r="D342" s="280" t="s">
        <v>235</v>
      </c>
      <c r="E342" s="280" t="s">
        <v>733</v>
      </c>
      <c r="F342" s="282"/>
      <c r="G342" s="278"/>
      <c r="H342" s="278">
        <f t="shared" si="42"/>
        <v>0</v>
      </c>
      <c r="I342" s="180">
        <v>42186</v>
      </c>
      <c r="J342" s="180">
        <v>42277</v>
      </c>
      <c r="K342" s="124"/>
    </row>
    <row r="343" spans="1:11" ht="12.75" customHeight="1">
      <c r="A343" s="26" t="str">
        <f t="shared" si="39"/>
        <v>20Perkins Leadership Block Grant120-PLB-16</v>
      </c>
      <c r="B343" s="120" t="s">
        <v>134</v>
      </c>
      <c r="C343" s="176" t="s">
        <v>83</v>
      </c>
      <c r="D343" s="280" t="s">
        <v>233</v>
      </c>
      <c r="E343" s="280" t="s">
        <v>734</v>
      </c>
      <c r="F343" s="282"/>
      <c r="G343" s="278"/>
      <c r="H343" s="278">
        <f t="shared" si="42"/>
        <v>0</v>
      </c>
      <c r="I343" s="180">
        <v>42186</v>
      </c>
      <c r="J343" s="180">
        <v>42551</v>
      </c>
      <c r="K343" s="124"/>
    </row>
    <row r="344" spans="1:11" ht="12.75" customHeight="1">
      <c r="A344" s="26" t="str">
        <f t="shared" si="39"/>
        <v>20Perkins Plan120-PRK-16</v>
      </c>
      <c r="B344" s="120" t="s">
        <v>134</v>
      </c>
      <c r="C344" s="176" t="s">
        <v>83</v>
      </c>
      <c r="D344" s="280" t="s">
        <v>231</v>
      </c>
      <c r="E344" s="280" t="s">
        <v>735</v>
      </c>
      <c r="F344" s="282"/>
      <c r="G344" s="278"/>
      <c r="H344" s="278">
        <f t="shared" si="42"/>
        <v>0</v>
      </c>
      <c r="I344" s="180">
        <v>42186</v>
      </c>
      <c r="J344" s="180">
        <v>42551</v>
      </c>
      <c r="K344" s="124"/>
    </row>
    <row r="345" spans="1:11" ht="12.75" customHeight="1">
      <c r="A345" s="26" t="str">
        <f t="shared" si="39"/>
        <v>20WorkFirst Delivery Agreement120-WFDA-16</v>
      </c>
      <c r="B345" s="120" t="s">
        <v>134</v>
      </c>
      <c r="C345" s="176" t="s">
        <v>83</v>
      </c>
      <c r="D345" s="280" t="s">
        <v>232</v>
      </c>
      <c r="E345" s="280" t="s">
        <v>736</v>
      </c>
      <c r="F345" s="282"/>
      <c r="G345" s="278"/>
      <c r="H345" s="278">
        <f t="shared" si="42"/>
        <v>0</v>
      </c>
      <c r="I345" s="180">
        <v>42186</v>
      </c>
      <c r="J345" s="180">
        <v>42551</v>
      </c>
      <c r="K345" s="124"/>
    </row>
    <row r="346" spans="1:11" ht="12.75" customHeight="1">
      <c r="A346" s="24" t="str">
        <f t="shared" si="39"/>
        <v>20</v>
      </c>
      <c r="B346" s="126" t="s">
        <v>134</v>
      </c>
      <c r="C346" s="24" t="s">
        <v>83</v>
      </c>
      <c r="D346" s="127"/>
      <c r="E346" s="127"/>
      <c r="F346" s="284"/>
      <c r="G346" s="128"/>
      <c r="H346" s="128"/>
      <c r="I346" s="129"/>
      <c r="J346" s="129"/>
      <c r="K346" s="124"/>
    </row>
    <row r="347" spans="1:11" ht="12.75" customHeight="1">
      <c r="A347" s="26" t="str">
        <f t="shared" si="39"/>
        <v>15Basic Food Employment and Training Grant115-BFET-15</v>
      </c>
      <c r="B347" s="120" t="s">
        <v>129</v>
      </c>
      <c r="C347" s="176" t="s">
        <v>112</v>
      </c>
      <c r="D347" s="280" t="s">
        <v>240</v>
      </c>
      <c r="E347" s="280" t="s">
        <v>388</v>
      </c>
      <c r="F347" s="282"/>
      <c r="G347" s="278"/>
      <c r="H347" s="278">
        <f t="shared" ref="H347:H354" si="43">F347+G347</f>
        <v>0</v>
      </c>
      <c r="I347" s="180">
        <v>41913</v>
      </c>
      <c r="J347" s="180">
        <v>42277</v>
      </c>
      <c r="K347" s="124"/>
    </row>
    <row r="348" spans="1:11" ht="12.75" customHeight="1">
      <c r="A348" s="26" t="str">
        <f t="shared" si="39"/>
        <v>15BEdA Leadership Block Grant115-BLBG-16</v>
      </c>
      <c r="B348" s="120" t="s">
        <v>129</v>
      </c>
      <c r="C348" s="176" t="s">
        <v>112</v>
      </c>
      <c r="D348" s="280" t="s">
        <v>497</v>
      </c>
      <c r="E348" s="280" t="s">
        <v>737</v>
      </c>
      <c r="F348" s="282"/>
      <c r="G348" s="278"/>
      <c r="H348" s="278">
        <f t="shared" si="43"/>
        <v>0</v>
      </c>
      <c r="I348" s="180">
        <v>42186</v>
      </c>
      <c r="J348" s="180">
        <v>42551</v>
      </c>
      <c r="K348" s="124"/>
    </row>
    <row r="349" spans="1:11" ht="12.75" customHeight="1">
      <c r="A349" s="26" t="str">
        <f t="shared" si="39"/>
        <v>15BEdA Master Grant115-BEDA-16</v>
      </c>
      <c r="B349" s="120" t="s">
        <v>129</v>
      </c>
      <c r="C349" s="176" t="s">
        <v>112</v>
      </c>
      <c r="D349" s="280" t="s">
        <v>498</v>
      </c>
      <c r="E349" s="280" t="s">
        <v>738</v>
      </c>
      <c r="F349" s="282"/>
      <c r="G349" s="278"/>
      <c r="H349" s="278">
        <f t="shared" si="43"/>
        <v>0</v>
      </c>
      <c r="I349" s="180">
        <v>42186</v>
      </c>
      <c r="J349" s="180">
        <v>42551</v>
      </c>
      <c r="K349" s="124"/>
    </row>
    <row r="350" spans="1:11" ht="12.75" customHeight="1">
      <c r="A350" s="26" t="str">
        <f t="shared" si="39"/>
        <v>15BEdA Program – EL Civics Grant Budget115-ELC-16</v>
      </c>
      <c r="B350" s="120" t="s">
        <v>129</v>
      </c>
      <c r="C350" s="176" t="s">
        <v>112</v>
      </c>
      <c r="D350" s="280" t="s">
        <v>505</v>
      </c>
      <c r="E350" s="280" t="s">
        <v>739</v>
      </c>
      <c r="F350" s="282"/>
      <c r="G350" s="278"/>
      <c r="H350" s="278">
        <f t="shared" si="43"/>
        <v>0</v>
      </c>
      <c r="I350" s="180">
        <v>42186</v>
      </c>
      <c r="J350" s="180">
        <v>42551</v>
      </c>
      <c r="K350" s="124"/>
    </row>
    <row r="351" spans="1:11" ht="12.75" customHeight="1">
      <c r="A351" s="26" t="str">
        <f t="shared" si="39"/>
        <v>15I-DEA Grant115-IDEA-15</v>
      </c>
      <c r="B351" s="120" t="s">
        <v>129</v>
      </c>
      <c r="C351" s="176" t="s">
        <v>112</v>
      </c>
      <c r="D351" s="280" t="s">
        <v>242</v>
      </c>
      <c r="E351" s="280" t="s">
        <v>389</v>
      </c>
      <c r="F351" s="282"/>
      <c r="G351" s="278"/>
      <c r="H351" s="278">
        <f t="shared" si="43"/>
        <v>0</v>
      </c>
      <c r="I351" s="180">
        <v>41821</v>
      </c>
      <c r="J351" s="180">
        <v>42551</v>
      </c>
      <c r="K351" s="124"/>
    </row>
    <row r="352" spans="1:11" ht="12.75" customHeight="1">
      <c r="A352" s="26" t="str">
        <f t="shared" si="39"/>
        <v>15Perkins Non-Traditional Employment &amp; Training Gran115-PNT-16</v>
      </c>
      <c r="B352" s="120" t="s">
        <v>129</v>
      </c>
      <c r="C352" s="176" t="s">
        <v>112</v>
      </c>
      <c r="D352" s="280" t="s">
        <v>359</v>
      </c>
      <c r="E352" s="280" t="s">
        <v>740</v>
      </c>
      <c r="F352" s="282"/>
      <c r="G352" s="278"/>
      <c r="H352" s="278">
        <f t="shared" si="43"/>
        <v>0</v>
      </c>
      <c r="I352" s="180">
        <v>42186</v>
      </c>
      <c r="J352" s="180">
        <v>42551</v>
      </c>
      <c r="K352" s="124"/>
    </row>
    <row r="353" spans="1:11" ht="12.75" customHeight="1">
      <c r="A353" s="26" t="str">
        <f t="shared" si="39"/>
        <v>15Perkins Plan115-PRK-16</v>
      </c>
      <c r="B353" s="120" t="s">
        <v>129</v>
      </c>
      <c r="C353" s="176" t="s">
        <v>112</v>
      </c>
      <c r="D353" s="280" t="s">
        <v>231</v>
      </c>
      <c r="E353" s="280" t="s">
        <v>741</v>
      </c>
      <c r="F353" s="282"/>
      <c r="G353" s="278"/>
      <c r="H353" s="278">
        <f t="shared" si="43"/>
        <v>0</v>
      </c>
      <c r="I353" s="180">
        <v>42186</v>
      </c>
      <c r="J353" s="180">
        <v>42551</v>
      </c>
      <c r="K353" s="124"/>
    </row>
    <row r="354" spans="1:11" ht="12.75" customHeight="1">
      <c r="A354" s="26" t="str">
        <f t="shared" si="39"/>
        <v>15WorkFirst Delivery Agreement115-WFDA-16</v>
      </c>
      <c r="B354" s="120" t="s">
        <v>129</v>
      </c>
      <c r="C354" s="176" t="s">
        <v>112</v>
      </c>
      <c r="D354" s="280" t="s">
        <v>232</v>
      </c>
      <c r="E354" s="280" t="s">
        <v>742</v>
      </c>
      <c r="F354" s="282"/>
      <c r="G354" s="278"/>
      <c r="H354" s="278">
        <f t="shared" si="43"/>
        <v>0</v>
      </c>
      <c r="I354" s="180">
        <v>42186</v>
      </c>
      <c r="J354" s="180">
        <v>42551</v>
      </c>
      <c r="K354" s="124"/>
    </row>
    <row r="355" spans="1:11" ht="12.75" customHeight="1">
      <c r="A355" s="24" t="str">
        <f t="shared" si="39"/>
        <v>15</v>
      </c>
      <c r="B355" s="126" t="s">
        <v>129</v>
      </c>
      <c r="C355" s="24" t="s">
        <v>112</v>
      </c>
      <c r="D355" s="131"/>
      <c r="E355" s="131"/>
      <c r="F355" s="284"/>
      <c r="G355" s="284"/>
      <c r="H355" s="128"/>
      <c r="I355" s="132"/>
      <c r="J355" s="132"/>
      <c r="K355" s="124"/>
    </row>
    <row r="356" spans="1:11" ht="12.75" customHeight="1">
      <c r="A356" s="26" t="str">
        <f t="shared" si="39"/>
        <v>21Basic Food Employment and Training Grant121-BFET-15</v>
      </c>
      <c r="B356" s="120" t="s">
        <v>135</v>
      </c>
      <c r="C356" s="176" t="s">
        <v>84</v>
      </c>
      <c r="D356" s="280" t="s">
        <v>240</v>
      </c>
      <c r="E356" s="280" t="s">
        <v>390</v>
      </c>
      <c r="F356" s="283"/>
      <c r="G356" s="278"/>
      <c r="H356" s="278">
        <f t="shared" ref="H356:H369" si="44">F356+G356</f>
        <v>0</v>
      </c>
      <c r="I356" s="130">
        <v>41913</v>
      </c>
      <c r="J356" s="130">
        <v>42277</v>
      </c>
      <c r="K356" s="124"/>
    </row>
    <row r="357" spans="1:11" ht="12.75" customHeight="1">
      <c r="A357" s="26" t="str">
        <f t="shared" si="39"/>
        <v>21BEdA Leadership Block Grant121-BLBG-16</v>
      </c>
      <c r="B357" s="120" t="s">
        <v>135</v>
      </c>
      <c r="C357" s="176" t="s">
        <v>84</v>
      </c>
      <c r="D357" s="280" t="s">
        <v>497</v>
      </c>
      <c r="E357" s="280" t="s">
        <v>743</v>
      </c>
      <c r="F357" s="282"/>
      <c r="G357" s="278"/>
      <c r="H357" s="278">
        <f t="shared" si="44"/>
        <v>0</v>
      </c>
      <c r="I357" s="180">
        <v>42186</v>
      </c>
      <c r="J357" s="180">
        <v>42551</v>
      </c>
      <c r="K357" s="124"/>
    </row>
    <row r="358" spans="1:11" ht="12.75" customHeight="1">
      <c r="A358" s="26" t="str">
        <f t="shared" si="39"/>
        <v>21BEdA Master Grant121-BEDA-16</v>
      </c>
      <c r="B358" s="120" t="s">
        <v>135</v>
      </c>
      <c r="C358" s="176" t="s">
        <v>84</v>
      </c>
      <c r="D358" s="280" t="s">
        <v>498</v>
      </c>
      <c r="E358" s="280" t="s">
        <v>744</v>
      </c>
      <c r="F358" s="282"/>
      <c r="G358" s="278"/>
      <c r="H358" s="278">
        <f t="shared" si="44"/>
        <v>0</v>
      </c>
      <c r="I358" s="180">
        <v>42186</v>
      </c>
      <c r="J358" s="180">
        <v>42551</v>
      </c>
      <c r="K358" s="124"/>
    </row>
    <row r="359" spans="1:11" ht="12.75" customHeight="1">
      <c r="A359" s="26" t="str">
        <f t="shared" si="39"/>
        <v>21BEdA Program – EL Civics Grant Budget121-ELC-16</v>
      </c>
      <c r="B359" s="120" t="s">
        <v>135</v>
      </c>
      <c r="C359" s="176" t="s">
        <v>84</v>
      </c>
      <c r="D359" s="280" t="s">
        <v>505</v>
      </c>
      <c r="E359" s="280" t="s">
        <v>745</v>
      </c>
      <c r="F359" s="282"/>
      <c r="G359" s="278"/>
      <c r="H359" s="278">
        <f t="shared" si="44"/>
        <v>0</v>
      </c>
      <c r="I359" s="180">
        <v>42186</v>
      </c>
      <c r="J359" s="180">
        <v>42551</v>
      </c>
      <c r="K359" s="124"/>
    </row>
    <row r="360" spans="1:11" ht="12.75" customHeight="1">
      <c r="A360" s="26" t="str">
        <f t="shared" si="39"/>
        <v>21Early Achievers Opportunity Grant Application121-EAOG-16</v>
      </c>
      <c r="B360" s="120" t="s">
        <v>135</v>
      </c>
      <c r="C360" s="176" t="s">
        <v>84</v>
      </c>
      <c r="D360" s="280" t="s">
        <v>241</v>
      </c>
      <c r="E360" s="280" t="s">
        <v>746</v>
      </c>
      <c r="F360" s="290"/>
      <c r="G360" s="278"/>
      <c r="H360" s="278">
        <f t="shared" si="44"/>
        <v>0</v>
      </c>
      <c r="I360" s="180">
        <v>42186</v>
      </c>
      <c r="J360" s="180">
        <v>42551</v>
      </c>
      <c r="K360" s="124"/>
    </row>
    <row r="361" spans="1:11" ht="12.75" customHeight="1">
      <c r="A361" s="26" t="str">
        <f t="shared" ref="A361:A381" si="45">B361&amp;D361&amp;E361</f>
        <v>21Faculty Learning Communities Initiative Grant121-FLCA-16FF</v>
      </c>
      <c r="B361" s="120" t="s">
        <v>135</v>
      </c>
      <c r="C361" s="176" t="s">
        <v>84</v>
      </c>
      <c r="D361" s="280" t="s">
        <v>274</v>
      </c>
      <c r="E361" s="280" t="s">
        <v>747</v>
      </c>
      <c r="F361" s="289"/>
      <c r="G361" s="278"/>
      <c r="H361" s="393">
        <f t="shared" si="44"/>
        <v>0</v>
      </c>
      <c r="I361" s="180">
        <v>42186</v>
      </c>
      <c r="J361" s="180">
        <v>42551</v>
      </c>
      <c r="K361" s="124"/>
    </row>
    <row r="362" spans="1:11" ht="12.75" customHeight="1">
      <c r="A362" s="26" t="str">
        <f t="shared" si="45"/>
        <v>21Faculty Learning Communities Initiative Grant121-FLCA-16SUS</v>
      </c>
      <c r="B362" s="120" t="s">
        <v>135</v>
      </c>
      <c r="C362" s="176" t="s">
        <v>84</v>
      </c>
      <c r="D362" s="280" t="s">
        <v>274</v>
      </c>
      <c r="E362" s="280" t="s">
        <v>748</v>
      </c>
      <c r="F362" s="282"/>
      <c r="G362" s="278"/>
      <c r="H362" s="278">
        <f t="shared" si="44"/>
        <v>0</v>
      </c>
      <c r="I362" s="180">
        <v>42186</v>
      </c>
      <c r="J362" s="180">
        <v>42551</v>
      </c>
      <c r="K362" s="124"/>
    </row>
    <row r="363" spans="1:11" ht="12.75" customHeight="1">
      <c r="A363" s="26" t="str">
        <f t="shared" si="45"/>
        <v>21Misc. Detailed Grant121-DEL-16</v>
      </c>
      <c r="B363" s="120" t="s">
        <v>135</v>
      </c>
      <c r="C363" s="176" t="s">
        <v>84</v>
      </c>
      <c r="D363" s="280" t="s">
        <v>244</v>
      </c>
      <c r="E363" s="280" t="s">
        <v>749</v>
      </c>
      <c r="F363" s="282"/>
      <c r="G363" s="278"/>
      <c r="H363" s="278">
        <f t="shared" si="44"/>
        <v>0</v>
      </c>
      <c r="I363" s="180">
        <v>42186</v>
      </c>
      <c r="J363" s="180">
        <v>42400</v>
      </c>
      <c r="K363" s="124"/>
    </row>
    <row r="364" spans="1:11" ht="12.75" customHeight="1">
      <c r="A364" s="26" t="str">
        <f t="shared" si="45"/>
        <v>21Perkins Innovation Project121-PIP-16</v>
      </c>
      <c r="B364" s="120" t="s">
        <v>135</v>
      </c>
      <c r="C364" s="176" t="s">
        <v>84</v>
      </c>
      <c r="D364" s="280" t="s">
        <v>234</v>
      </c>
      <c r="E364" s="280" t="s">
        <v>750</v>
      </c>
      <c r="F364" s="282"/>
      <c r="G364" s="278"/>
      <c r="H364" s="278">
        <f t="shared" si="44"/>
        <v>0</v>
      </c>
      <c r="I364" s="180">
        <v>42186</v>
      </c>
      <c r="J364" s="180">
        <v>42551</v>
      </c>
      <c r="K364" s="124"/>
    </row>
    <row r="365" spans="1:11" ht="12.75" customHeight="1">
      <c r="A365" s="26" t="str">
        <f t="shared" si="45"/>
        <v>21Perkins Leadership Block Grant121-PLB-16</v>
      </c>
      <c r="B365" s="120" t="s">
        <v>135</v>
      </c>
      <c r="C365" s="176" t="s">
        <v>84</v>
      </c>
      <c r="D365" s="280" t="s">
        <v>233</v>
      </c>
      <c r="E365" s="280" t="s">
        <v>751</v>
      </c>
      <c r="F365" s="282"/>
      <c r="G365" s="278"/>
      <c r="H365" s="278">
        <f t="shared" si="44"/>
        <v>0</v>
      </c>
      <c r="I365" s="180">
        <v>42186</v>
      </c>
      <c r="J365" s="180">
        <v>42551</v>
      </c>
      <c r="K365" s="124"/>
    </row>
    <row r="366" spans="1:11" ht="12.75" customHeight="1">
      <c r="A366" s="26" t="str">
        <f t="shared" si="45"/>
        <v>21Perkins Non-Traditional Employment &amp; Training Gran121-PNT-16</v>
      </c>
      <c r="B366" s="120" t="s">
        <v>135</v>
      </c>
      <c r="C366" s="176" t="s">
        <v>84</v>
      </c>
      <c r="D366" s="280" t="s">
        <v>359</v>
      </c>
      <c r="E366" s="280" t="s">
        <v>752</v>
      </c>
      <c r="F366" s="282"/>
      <c r="G366" s="278"/>
      <c r="H366" s="278">
        <f t="shared" si="44"/>
        <v>0</v>
      </c>
      <c r="I366" s="180">
        <v>42186</v>
      </c>
      <c r="J366" s="180">
        <v>42551</v>
      </c>
      <c r="K366" s="124"/>
    </row>
    <row r="367" spans="1:11" ht="12.75" customHeight="1">
      <c r="A367" s="26" t="str">
        <f t="shared" si="45"/>
        <v>21Perkins Plan121-PRK-16</v>
      </c>
      <c r="B367" s="120" t="s">
        <v>135</v>
      </c>
      <c r="C367" s="176" t="s">
        <v>84</v>
      </c>
      <c r="D367" s="280" t="s">
        <v>231</v>
      </c>
      <c r="E367" s="280" t="s">
        <v>753</v>
      </c>
      <c r="F367" s="282"/>
      <c r="G367" s="278"/>
      <c r="H367" s="278">
        <f t="shared" si="44"/>
        <v>0</v>
      </c>
      <c r="I367" s="180">
        <v>42186</v>
      </c>
      <c r="J367" s="180">
        <v>42551</v>
      </c>
      <c r="K367" s="124"/>
    </row>
    <row r="368" spans="1:11" ht="12.75" customHeight="1">
      <c r="A368" s="26" t="str">
        <f t="shared" si="45"/>
        <v>21Phase III I-DEA Grant121-IDEA-16</v>
      </c>
      <c r="B368" s="120" t="s">
        <v>135</v>
      </c>
      <c r="C368" s="176" t="s">
        <v>84</v>
      </c>
      <c r="D368" s="280" t="s">
        <v>506</v>
      </c>
      <c r="E368" s="280" t="s">
        <v>754</v>
      </c>
      <c r="F368" s="282"/>
      <c r="G368" s="278"/>
      <c r="H368" s="278">
        <f t="shared" si="44"/>
        <v>0</v>
      </c>
      <c r="I368" s="178">
        <v>42186</v>
      </c>
      <c r="J368" s="178">
        <v>42551</v>
      </c>
      <c r="K368" s="124"/>
    </row>
    <row r="369" spans="1:11" ht="12.75" customHeight="1">
      <c r="A369" s="26" t="str">
        <f t="shared" si="45"/>
        <v>21WorkFirst Delivery Agreement121-WFDA-16</v>
      </c>
      <c r="B369" s="120" t="s">
        <v>135</v>
      </c>
      <c r="C369" s="176" t="s">
        <v>84</v>
      </c>
      <c r="D369" s="280" t="s">
        <v>232</v>
      </c>
      <c r="E369" s="280" t="s">
        <v>755</v>
      </c>
      <c r="F369" s="282"/>
      <c r="G369" s="278"/>
      <c r="H369" s="278">
        <f t="shared" si="44"/>
        <v>0</v>
      </c>
      <c r="I369" s="178">
        <v>42186</v>
      </c>
      <c r="J369" s="178">
        <v>42551</v>
      </c>
      <c r="K369" s="124"/>
    </row>
    <row r="370" spans="1:11" ht="12.75" customHeight="1">
      <c r="A370" s="24" t="str">
        <f t="shared" si="45"/>
        <v>21</v>
      </c>
      <c r="B370" s="126" t="s">
        <v>135</v>
      </c>
      <c r="C370" s="24" t="s">
        <v>84</v>
      </c>
      <c r="D370" s="127"/>
      <c r="E370" s="127"/>
      <c r="F370" s="284"/>
      <c r="G370" s="128"/>
      <c r="H370" s="128"/>
      <c r="I370" s="129"/>
      <c r="J370" s="129"/>
      <c r="K370" s="124"/>
    </row>
    <row r="371" spans="1:11" ht="12.75" customHeight="1">
      <c r="A371" s="26" t="str">
        <f t="shared" si="45"/>
        <v>16Basic Food Employment and Training Grant116-BFET-15</v>
      </c>
      <c r="B371" s="120" t="s">
        <v>130</v>
      </c>
      <c r="C371" s="176" t="s">
        <v>85</v>
      </c>
      <c r="D371" s="280" t="s">
        <v>240</v>
      </c>
      <c r="E371" s="280" t="s">
        <v>391</v>
      </c>
      <c r="F371" s="282"/>
      <c r="G371" s="278"/>
      <c r="H371" s="278">
        <f t="shared" ref="H371:H379" si="46">F371+G371</f>
        <v>0</v>
      </c>
      <c r="I371" s="180">
        <v>41913</v>
      </c>
      <c r="J371" s="180">
        <v>42277</v>
      </c>
      <c r="K371" s="124"/>
    </row>
    <row r="372" spans="1:11" ht="12.75" customHeight="1">
      <c r="A372" s="26" t="str">
        <f t="shared" si="45"/>
        <v>16BEdA Leadership Block Grant116-BLBG-16</v>
      </c>
      <c r="B372" s="120" t="s">
        <v>130</v>
      </c>
      <c r="C372" s="176" t="s">
        <v>85</v>
      </c>
      <c r="D372" s="280" t="s">
        <v>497</v>
      </c>
      <c r="E372" s="280" t="s">
        <v>756</v>
      </c>
      <c r="F372" s="282"/>
      <c r="G372" s="278"/>
      <c r="H372" s="278">
        <f t="shared" si="46"/>
        <v>0</v>
      </c>
      <c r="I372" s="180">
        <v>42186</v>
      </c>
      <c r="J372" s="180">
        <v>42551</v>
      </c>
      <c r="K372" s="124"/>
    </row>
    <row r="373" spans="1:11" ht="12.75" customHeight="1">
      <c r="A373" s="26" t="str">
        <f t="shared" si="45"/>
        <v>16BEdA Master Grant116-BEDA-16</v>
      </c>
      <c r="B373" s="120" t="s">
        <v>130</v>
      </c>
      <c r="C373" s="176" t="s">
        <v>85</v>
      </c>
      <c r="D373" s="280" t="s">
        <v>498</v>
      </c>
      <c r="E373" s="280" t="s">
        <v>757</v>
      </c>
      <c r="F373" s="282"/>
      <c r="G373" s="278"/>
      <c r="H373" s="278">
        <f t="shared" si="46"/>
        <v>0</v>
      </c>
      <c r="I373" s="180">
        <v>42186</v>
      </c>
      <c r="J373" s="180">
        <v>42551</v>
      </c>
      <c r="K373" s="124"/>
    </row>
    <row r="374" spans="1:11" ht="12.75" customHeight="1">
      <c r="A374" s="26" t="str">
        <f t="shared" si="45"/>
        <v>16BEdA Program – EL Civics Grant Budget116-ELC-16</v>
      </c>
      <c r="B374" s="120" t="s">
        <v>130</v>
      </c>
      <c r="C374" s="176" t="s">
        <v>85</v>
      </c>
      <c r="D374" s="280" t="s">
        <v>505</v>
      </c>
      <c r="E374" s="280" t="s">
        <v>758</v>
      </c>
      <c r="F374" s="282"/>
      <c r="G374" s="278"/>
      <c r="H374" s="278">
        <f t="shared" si="46"/>
        <v>0</v>
      </c>
      <c r="I374" s="180">
        <v>42186</v>
      </c>
      <c r="J374" s="180">
        <v>42551</v>
      </c>
      <c r="K374" s="124"/>
    </row>
    <row r="375" spans="1:11" ht="12.75" customHeight="1">
      <c r="A375" s="26" t="str">
        <f t="shared" si="45"/>
        <v>16BEdA State Plan Innovations Grant116-BSPI-15</v>
      </c>
      <c r="B375" s="120" t="s">
        <v>130</v>
      </c>
      <c r="C375" s="176" t="s">
        <v>85</v>
      </c>
      <c r="D375" s="280" t="s">
        <v>412</v>
      </c>
      <c r="E375" s="280" t="s">
        <v>424</v>
      </c>
      <c r="F375" s="282"/>
      <c r="G375" s="278"/>
      <c r="H375" s="278">
        <f t="shared" si="46"/>
        <v>0</v>
      </c>
      <c r="I375" s="180">
        <v>41944</v>
      </c>
      <c r="J375" s="180">
        <v>42551</v>
      </c>
      <c r="K375" s="124"/>
    </row>
    <row r="376" spans="1:11" ht="12.75" customHeight="1">
      <c r="A376" s="26" t="str">
        <f t="shared" si="45"/>
        <v>16Early Achievers Opportunity Grant Application116-EAOG-16</v>
      </c>
      <c r="B376" s="120" t="s">
        <v>130</v>
      </c>
      <c r="C376" s="176" t="s">
        <v>85</v>
      </c>
      <c r="D376" s="280" t="s">
        <v>241</v>
      </c>
      <c r="E376" s="280" t="s">
        <v>759</v>
      </c>
      <c r="F376" s="282"/>
      <c r="G376" s="278"/>
      <c r="H376" s="278">
        <f t="shared" si="46"/>
        <v>0</v>
      </c>
      <c r="I376" s="180">
        <v>42186</v>
      </c>
      <c r="J376" s="180">
        <v>42551</v>
      </c>
      <c r="K376" s="124"/>
    </row>
    <row r="377" spans="1:11" ht="12.75" customHeight="1">
      <c r="A377" s="26" t="str">
        <f t="shared" si="45"/>
        <v>16Perkins Plan116-PRK-16</v>
      </c>
      <c r="B377" s="120" t="s">
        <v>130</v>
      </c>
      <c r="C377" s="176" t="s">
        <v>85</v>
      </c>
      <c r="D377" s="280" t="s">
        <v>231</v>
      </c>
      <c r="E377" s="280" t="s">
        <v>760</v>
      </c>
      <c r="F377" s="282"/>
      <c r="G377" s="278"/>
      <c r="H377" s="278">
        <f t="shared" si="46"/>
        <v>0</v>
      </c>
      <c r="I377" s="180">
        <v>42186</v>
      </c>
      <c r="J377" s="180">
        <v>42551</v>
      </c>
      <c r="K377" s="124"/>
    </row>
    <row r="378" spans="1:11" ht="12.75" customHeight="1">
      <c r="A378" s="26" t="str">
        <f t="shared" si="45"/>
        <v>16Phase III I-DEA Grant116-IDEA-16</v>
      </c>
      <c r="B378" s="120" t="s">
        <v>130</v>
      </c>
      <c r="C378" s="176" t="s">
        <v>85</v>
      </c>
      <c r="D378" s="280" t="s">
        <v>506</v>
      </c>
      <c r="E378" s="280" t="s">
        <v>761</v>
      </c>
      <c r="F378" s="282"/>
      <c r="G378" s="278"/>
      <c r="H378" s="278">
        <f t="shared" si="46"/>
        <v>0</v>
      </c>
      <c r="I378" s="180">
        <v>42186</v>
      </c>
      <c r="J378" s="180">
        <v>42551</v>
      </c>
      <c r="K378" s="124"/>
    </row>
    <row r="379" spans="1:11" ht="12.75" customHeight="1">
      <c r="A379" s="26" t="str">
        <f t="shared" si="45"/>
        <v>16WorkFirst Delivery Agreement116-WFDA-16</v>
      </c>
      <c r="B379" s="120" t="s">
        <v>130</v>
      </c>
      <c r="C379" s="26" t="s">
        <v>85</v>
      </c>
      <c r="D379" s="280" t="s">
        <v>232</v>
      </c>
      <c r="E379" s="280" t="s">
        <v>762</v>
      </c>
      <c r="F379" s="283"/>
      <c r="G379" s="278"/>
      <c r="H379" s="278">
        <f t="shared" si="46"/>
        <v>0</v>
      </c>
      <c r="I379" s="180">
        <v>42186</v>
      </c>
      <c r="J379" s="180">
        <v>42551</v>
      </c>
      <c r="K379" s="124"/>
    </row>
    <row r="380" spans="1:11" ht="12.75" customHeight="1">
      <c r="A380" s="26" t="str">
        <f t="shared" si="45"/>
        <v>16</v>
      </c>
      <c r="B380" s="120" t="s">
        <v>130</v>
      </c>
      <c r="C380" s="26" t="s">
        <v>85</v>
      </c>
      <c r="D380" s="133"/>
      <c r="E380" s="133"/>
      <c r="F380" s="283"/>
      <c r="G380" s="277"/>
      <c r="H380" s="122"/>
      <c r="I380" s="180"/>
      <c r="J380" s="180"/>
      <c r="K380" s="124"/>
    </row>
    <row r="381" spans="1:11" ht="12.75" customHeight="1">
      <c r="A381" s="24" t="str">
        <f t="shared" si="45"/>
        <v>16</v>
      </c>
      <c r="B381" s="126" t="s">
        <v>130</v>
      </c>
      <c r="C381" s="24" t="s">
        <v>85</v>
      </c>
      <c r="D381" s="127"/>
      <c r="E381" s="127"/>
      <c r="F381" s="128">
        <v>0</v>
      </c>
      <c r="G381" s="128"/>
      <c r="H381" s="170"/>
      <c r="I381" s="129"/>
      <c r="J381" s="129"/>
      <c r="K381" s="124"/>
    </row>
    <row r="382" spans="1:11" ht="12.75" customHeight="1">
      <c r="F382" s="134">
        <f>SUM(F2:F380)</f>
        <v>0</v>
      </c>
      <c r="G382" s="134"/>
      <c r="H382" s="134">
        <f>SUM(H2:H380)</f>
        <v>0</v>
      </c>
      <c r="I382" s="135"/>
    </row>
    <row r="383" spans="1:11" ht="12.75" customHeight="1">
      <c r="F383" s="149"/>
    </row>
  </sheetData>
  <sortState ref="D36:D46">
    <sortCondition ref="D36"/>
  </sortState>
  <phoneticPr fontId="24" type="noConversion"/>
  <printOptions horizontalCentered="1"/>
  <pageMargins left="0.5" right="0.25" top="0.75" bottom="0.75" header="0.5" footer="0.5"/>
  <pageSetup scale="44" fitToHeight="0" orientation="portrait" r:id="rId1"/>
  <headerFooter alignWithMargins="0">
    <oddFooter>&amp;L&amp;"Californian FB,Regular"&amp;F\&amp;A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D754"/>
  <sheetViews>
    <sheetView topLeftCell="A4" workbookViewId="0">
      <pane xSplit="1" topLeftCell="B1" activePane="topRight" state="frozen"/>
      <selection activeCell="A5" sqref="A5"/>
      <selection pane="topRight" activeCell="C11" sqref="C11"/>
    </sheetView>
  </sheetViews>
  <sheetFormatPr defaultColWidth="9.140625" defaultRowHeight="11.25"/>
  <cols>
    <col min="1" max="1" width="32.42578125" style="137" customWidth="1"/>
    <col min="2" max="2" width="12.85546875" style="143" customWidth="1"/>
    <col min="3" max="3" width="9.42578125" style="143" customWidth="1"/>
    <col min="4" max="10" width="17.42578125" style="143" customWidth="1"/>
    <col min="11" max="34" width="17.42578125" style="137" customWidth="1"/>
    <col min="35" max="35" width="8.85546875" style="137" customWidth="1"/>
    <col min="36" max="66" width="8.140625" style="137" customWidth="1"/>
    <col min="67" max="70" width="7.42578125" style="137" customWidth="1"/>
    <col min="71" max="98" width="8.140625" style="137" customWidth="1"/>
    <col min="99" max="103" width="7.42578125" style="137" customWidth="1"/>
    <col min="104" max="114" width="8.140625" style="137" customWidth="1"/>
    <col min="115" max="118" width="7.42578125" style="137" customWidth="1"/>
    <col min="119" max="136" width="8.140625" style="137" customWidth="1"/>
    <col min="137" max="141" width="7.42578125" style="137" customWidth="1"/>
    <col min="142" max="162" width="8.140625" style="137" customWidth="1"/>
    <col min="163" max="167" width="7.42578125" style="137" customWidth="1"/>
    <col min="168" max="171" width="8.140625" style="137" customWidth="1"/>
    <col min="172" max="176" width="7.42578125" style="137" customWidth="1"/>
    <col min="177" max="185" width="8.140625" style="137" customWidth="1"/>
    <col min="186" max="186" width="8.85546875" style="137" customWidth="1"/>
    <col min="187" max="16384" width="9.140625" style="137"/>
  </cols>
  <sheetData>
    <row r="1" spans="1:186" ht="12.75">
      <c r="A1"/>
      <c r="B1"/>
      <c r="K1" s="143"/>
      <c r="L1" s="143"/>
      <c r="M1" s="143"/>
      <c r="N1" s="143"/>
      <c r="O1" s="143"/>
      <c r="P1" s="143"/>
      <c r="Q1" s="143"/>
      <c r="R1" s="143"/>
      <c r="S1" s="143"/>
      <c r="T1" s="143"/>
    </row>
    <row r="2" spans="1:186">
      <c r="A2" s="426" t="s">
        <v>7</v>
      </c>
      <c r="B2" s="435" t="s">
        <v>195</v>
      </c>
      <c r="K2" s="143"/>
      <c r="L2" s="143"/>
      <c r="M2" s="143"/>
      <c r="N2" s="143"/>
      <c r="O2" s="143"/>
      <c r="P2" s="143"/>
      <c r="Q2" s="143"/>
      <c r="R2" s="143"/>
      <c r="S2" s="143"/>
      <c r="T2" s="143"/>
    </row>
    <row r="3" spans="1:186" ht="12.75">
      <c r="A3" s="426" t="s">
        <v>12</v>
      </c>
      <c r="B3" s="427" t="s">
        <v>788</v>
      </c>
      <c r="C3" s="148"/>
      <c r="D3" s="148"/>
      <c r="E3" s="148"/>
      <c r="F3" s="148"/>
      <c r="G3" s="148"/>
      <c r="H3" s="148"/>
      <c r="K3" s="148"/>
      <c r="L3" s="148"/>
      <c r="M3" s="148"/>
      <c r="N3" s="148"/>
      <c r="O3" s="148"/>
      <c r="P3" s="148"/>
      <c r="Q3" s="148"/>
      <c r="R3" s="143"/>
      <c r="S3" s="143"/>
      <c r="T3" s="143"/>
    </row>
    <row r="4" spans="1:186" ht="12.75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ht="12.75">
      <c r="A5" s="428" t="s">
        <v>194</v>
      </c>
      <c r="B5" s="431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</row>
    <row r="6" spans="1:186" ht="12.75">
      <c r="A6" s="428" t="s">
        <v>13</v>
      </c>
      <c r="B6" s="454" t="s">
        <v>60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</row>
    <row r="7" spans="1:186" ht="12.75">
      <c r="A7" s="430" t="s">
        <v>160</v>
      </c>
      <c r="B7" s="431">
        <v>321593</v>
      </c>
      <c r="C7" s="389" t="s">
        <v>782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</row>
    <row r="8" spans="1:186" ht="12.75">
      <c r="A8" s="432" t="s">
        <v>345</v>
      </c>
      <c r="B8" s="433">
        <v>8000000</v>
      </c>
      <c r="C8" s="389" t="s">
        <v>782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</row>
    <row r="9" spans="1:186" ht="12.75">
      <c r="A9" s="432" t="s">
        <v>211</v>
      </c>
      <c r="B9" s="433">
        <v>0</v>
      </c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</row>
    <row r="10" spans="1:186" ht="12.75">
      <c r="A10" s="432" t="s">
        <v>453</v>
      </c>
      <c r="B10" s="433">
        <v>425000</v>
      </c>
      <c r="C10" s="389" t="s">
        <v>782</v>
      </c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</row>
    <row r="11" spans="1:186" ht="12.75">
      <c r="A11" s="432" t="s">
        <v>208</v>
      </c>
      <c r="B11" s="433">
        <v>8386376</v>
      </c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</row>
    <row r="12" spans="1:186" ht="12.75">
      <c r="A12" s="432" t="s">
        <v>171</v>
      </c>
      <c r="B12" s="433">
        <v>34847466</v>
      </c>
      <c r="C12" s="389" t="s">
        <v>782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</row>
    <row r="13" spans="1:186" ht="12.75">
      <c r="A13" s="432" t="s">
        <v>186</v>
      </c>
      <c r="B13" s="433">
        <v>459705383</v>
      </c>
      <c r="C13" s="389" t="s">
        <v>782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</row>
    <row r="14" spans="1:186" ht="12.75">
      <c r="A14" s="432" t="s">
        <v>222</v>
      </c>
      <c r="B14" s="433">
        <v>0</v>
      </c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</row>
    <row r="15" spans="1:186" ht="12.75">
      <c r="A15" s="432" t="s">
        <v>409</v>
      </c>
      <c r="B15" s="433">
        <v>0</v>
      </c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</row>
    <row r="16" spans="1:186" ht="12.75">
      <c r="A16" s="432" t="s">
        <v>441</v>
      </c>
      <c r="B16" s="433">
        <v>-656328</v>
      </c>
      <c r="C16" s="389" t="s">
        <v>782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</row>
    <row r="17" spans="1:186" ht="12.75">
      <c r="A17" s="432" t="s">
        <v>445</v>
      </c>
      <c r="B17" s="433">
        <v>750000</v>
      </c>
      <c r="C17" s="389" t="s">
        <v>782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</row>
    <row r="18" spans="1:186" ht="12.75">
      <c r="A18" s="432" t="s">
        <v>173</v>
      </c>
      <c r="B18" s="433">
        <v>2041570</v>
      </c>
      <c r="C18" s="389" t="s">
        <v>782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</row>
    <row r="19" spans="1:186" ht="12.75">
      <c r="A19" s="432" t="s">
        <v>254</v>
      </c>
      <c r="B19" s="433">
        <v>100000</v>
      </c>
      <c r="C19" s="389" t="s">
        <v>782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</row>
    <row r="20" spans="1:186" ht="12.75">
      <c r="A20" s="432" t="s">
        <v>781</v>
      </c>
      <c r="B20" s="433">
        <v>3198000</v>
      </c>
      <c r="C20" s="389" t="s">
        <v>782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</row>
    <row r="21" spans="1:186" ht="12.75">
      <c r="A21" s="432" t="s">
        <v>170</v>
      </c>
      <c r="B21" s="433">
        <v>1740808</v>
      </c>
      <c r="C21" s="389" t="s">
        <v>782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</row>
    <row r="22" spans="1:186" ht="12.75">
      <c r="A22" s="432" t="s">
        <v>157</v>
      </c>
      <c r="B22" s="433">
        <v>1139716</v>
      </c>
      <c r="C22" s="389" t="s">
        <v>782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</row>
    <row r="23" spans="1:186" ht="12.75">
      <c r="A23" s="432" t="s">
        <v>341</v>
      </c>
      <c r="B23" s="433">
        <v>1080000</v>
      </c>
      <c r="C23" s="389" t="s">
        <v>782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</row>
    <row r="24" spans="1:186" ht="12.75">
      <c r="A24" s="432" t="s">
        <v>342</v>
      </c>
      <c r="B24" s="433">
        <v>58800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</row>
    <row r="25" spans="1:186" ht="12.75">
      <c r="A25" s="432" t="s">
        <v>448</v>
      </c>
      <c r="B25" s="433">
        <v>11053579</v>
      </c>
      <c r="C25" s="389" t="s">
        <v>782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</row>
    <row r="26" spans="1:186" ht="12.75">
      <c r="A26" s="432" t="s">
        <v>340</v>
      </c>
      <c r="B26" s="433">
        <v>27222586</v>
      </c>
      <c r="C26" s="389" t="s">
        <v>782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</row>
    <row r="27" spans="1:186" ht="12.75">
      <c r="A27" s="432" t="s">
        <v>162</v>
      </c>
      <c r="B27" s="433">
        <v>0</v>
      </c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</row>
    <row r="28" spans="1:186" ht="12.75">
      <c r="A28" s="432" t="s">
        <v>224</v>
      </c>
      <c r="B28" s="433">
        <v>149749</v>
      </c>
      <c r="C28" s="389" t="s">
        <v>782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</row>
    <row r="29" spans="1:186" ht="12.75">
      <c r="A29" s="432" t="s">
        <v>225</v>
      </c>
      <c r="B29" s="433">
        <v>13119</v>
      </c>
      <c r="C29" s="389" t="s">
        <v>782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</row>
    <row r="30" spans="1:186" ht="12.75">
      <c r="A30" s="432" t="s">
        <v>253</v>
      </c>
      <c r="B30" s="433">
        <v>761000</v>
      </c>
      <c r="C30" s="389" t="s">
        <v>782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</row>
    <row r="31" spans="1:186" ht="12.75">
      <c r="A31" s="432" t="s">
        <v>255</v>
      </c>
      <c r="B31" s="433">
        <v>255000</v>
      </c>
      <c r="C31" s="389" t="s">
        <v>782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</row>
    <row r="32" spans="1:186" ht="12.75">
      <c r="A32" s="432" t="s">
        <v>397</v>
      </c>
      <c r="B32" s="433">
        <v>351420</v>
      </c>
      <c r="C32" s="389" t="s">
        <v>782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</row>
    <row r="33" spans="1:186" ht="12.75">
      <c r="A33" s="432" t="s">
        <v>455</v>
      </c>
      <c r="B33" s="433">
        <v>2327</v>
      </c>
      <c r="C33" s="389" t="s">
        <v>782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</row>
    <row r="34" spans="1:186" ht="12.75">
      <c r="A34" s="432" t="s">
        <v>151</v>
      </c>
      <c r="B34" s="433">
        <v>6574000</v>
      </c>
      <c r="C34" s="389" t="s">
        <v>782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</row>
    <row r="35" spans="1:186" ht="12.75">
      <c r="A35" s="432" t="s">
        <v>150</v>
      </c>
      <c r="B35" s="433">
        <v>5000000</v>
      </c>
      <c r="C35" s="389" t="s">
        <v>782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</row>
    <row r="36" spans="1:186" ht="12.75">
      <c r="A36" s="432" t="s">
        <v>207</v>
      </c>
      <c r="B36" s="433">
        <v>2469101</v>
      </c>
      <c r="C36" s="389" t="s">
        <v>782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</row>
    <row r="37" spans="1:186" ht="12.75">
      <c r="A37" s="432" t="s">
        <v>272</v>
      </c>
      <c r="B37" s="433">
        <v>565374</v>
      </c>
      <c r="C37" s="389" t="s">
        <v>782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</row>
    <row r="38" spans="1:186" ht="12.75">
      <c r="A38" s="432" t="s">
        <v>273</v>
      </c>
      <c r="B38" s="433">
        <v>0</v>
      </c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</row>
    <row r="39" spans="1:186" ht="12.75">
      <c r="A39" s="432" t="s">
        <v>6</v>
      </c>
      <c r="B39" s="433">
        <v>1011628</v>
      </c>
      <c r="C39" s="389" t="s">
        <v>782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</row>
    <row r="40" spans="1:186" ht="12.75">
      <c r="A40" s="432" t="s">
        <v>203</v>
      </c>
      <c r="B40" s="433">
        <v>-140552</v>
      </c>
      <c r="C40" s="389" t="s">
        <v>782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</row>
    <row r="41" spans="1:186" ht="12.75">
      <c r="A41" s="432" t="s">
        <v>66</v>
      </c>
      <c r="B41" s="433">
        <v>738137</v>
      </c>
      <c r="C41" s="389" t="s">
        <v>782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</row>
    <row r="42" spans="1:186" ht="12.75">
      <c r="A42" s="432" t="s">
        <v>65</v>
      </c>
      <c r="B42" s="433">
        <v>204485</v>
      </c>
      <c r="C42" s="389" t="s">
        <v>782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</row>
    <row r="43" spans="1:186" ht="12.75">
      <c r="A43" s="432" t="s">
        <v>449</v>
      </c>
      <c r="B43" s="455">
        <v>1727000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</row>
    <row r="44" spans="1:186" ht="12.75">
      <c r="A44" s="432" t="s">
        <v>333</v>
      </c>
      <c r="B44" s="433">
        <v>4359665</v>
      </c>
      <c r="C44" s="389" t="s">
        <v>782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</row>
    <row r="45" spans="1:186" ht="12.75">
      <c r="A45" s="432" t="s">
        <v>332</v>
      </c>
      <c r="B45" s="433">
        <v>20824817</v>
      </c>
      <c r="C45" s="389" t="s">
        <v>782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</row>
    <row r="46" spans="1:186" ht="12.75">
      <c r="A46" s="432" t="s">
        <v>215</v>
      </c>
      <c r="B46" s="433">
        <v>0</v>
      </c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</row>
    <row r="47" spans="1:186" ht="12.75">
      <c r="A47" s="432" t="s">
        <v>454</v>
      </c>
      <c r="B47" s="433">
        <v>181409</v>
      </c>
      <c r="C47" s="389" t="s">
        <v>782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</row>
    <row r="48" spans="1:186" ht="12.75">
      <c r="A48" s="432" t="s">
        <v>64</v>
      </c>
      <c r="B48" s="433">
        <v>0</v>
      </c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</row>
    <row r="49" spans="1:186" ht="12.75">
      <c r="A49" s="432" t="s">
        <v>451</v>
      </c>
      <c r="B49" s="433">
        <v>1333000</v>
      </c>
      <c r="C49" s="389" t="s">
        <v>782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</row>
    <row r="50" spans="1:186" ht="12.75">
      <c r="A50" s="432" t="s">
        <v>442</v>
      </c>
      <c r="B50" s="433">
        <v>145000</v>
      </c>
      <c r="C50" s="389" t="s">
        <v>782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</row>
    <row r="51" spans="1:186" ht="12.75">
      <c r="A51" s="432" t="s">
        <v>443</v>
      </c>
      <c r="B51" s="433">
        <v>272000</v>
      </c>
      <c r="C51" s="389" t="s">
        <v>782</v>
      </c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</row>
    <row r="52" spans="1:186" ht="12.75">
      <c r="A52" s="434" t="s">
        <v>193</v>
      </c>
      <c r="B52" s="435">
        <v>606212228</v>
      </c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</row>
    <row r="53" spans="1:186" ht="12.7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</row>
    <row r="54" spans="1:186" ht="12.7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</row>
    <row r="55" spans="1:186" s="168" customFormat="1" ht="12.7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</row>
    <row r="56" spans="1:186" s="168" customFormat="1" ht="12.7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</row>
    <row r="57" spans="1:186" s="168" customFormat="1" ht="12.7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</row>
    <row r="58" spans="1:186" s="168" customFormat="1" h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</row>
    <row r="59" spans="1:186" ht="12.7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</row>
    <row r="60" spans="1:186" ht="12.7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</row>
    <row r="61" spans="1:186" ht="12.7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</row>
    <row r="62" spans="1:186" ht="12.7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</row>
    <row r="63" spans="1:186" ht="12.7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</row>
    <row r="64" spans="1:186" ht="12.7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</row>
    <row r="65" spans="1:186" ht="12.7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</row>
    <row r="66" spans="1:186" ht="12.7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</row>
    <row r="67" spans="1:186" ht="12.7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</row>
    <row r="68" spans="1:186" ht="12.7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</row>
    <row r="69" spans="1:186" ht="12.7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</row>
    <row r="70" spans="1:186" ht="12.7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</row>
    <row r="71" spans="1:186" ht="12.7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</row>
    <row r="72" spans="1:186" ht="12.7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</row>
    <row r="73" spans="1:186" ht="12.7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</row>
    <row r="74" spans="1:186" ht="12.7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</row>
    <row r="75" spans="1:186" ht="12.7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 s="389" t="s">
        <v>495</v>
      </c>
      <c r="T75"/>
    </row>
    <row r="76" spans="1:186" ht="12.7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 s="389" t="s">
        <v>495</v>
      </c>
      <c r="T76"/>
    </row>
    <row r="77" spans="1:186" ht="12.7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 s="389" t="s">
        <v>495</v>
      </c>
      <c r="T77"/>
    </row>
    <row r="78" spans="1:186" ht="12.7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 s="389" t="s">
        <v>495</v>
      </c>
      <c r="T78"/>
    </row>
    <row r="79" spans="1:186" ht="12.7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 s="389" t="s">
        <v>495</v>
      </c>
      <c r="T79"/>
    </row>
    <row r="80" spans="1:186" ht="12.7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 s="389" t="s">
        <v>495</v>
      </c>
      <c r="T80"/>
    </row>
    <row r="81" spans="1:20" ht="12.7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 s="389" t="s">
        <v>495</v>
      </c>
    </row>
    <row r="82" spans="1:20" ht="12.7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 s="386">
        <v>683033000</v>
      </c>
    </row>
    <row r="83" spans="1:20" ht="12.7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 s="148">
        <f>T82-GETPIVOTDATA("total",$A$4)</f>
        <v>76820772</v>
      </c>
    </row>
    <row r="84" spans="1:20" ht="12.7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</row>
    <row r="85" spans="1:20" ht="12.7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</row>
    <row r="86" spans="1:20" ht="12.7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1:20" ht="12.7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T87"/>
    </row>
    <row r="88" spans="1:20" ht="12.7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T88"/>
    </row>
    <row r="89" spans="1:20" ht="12.7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1:20" ht="12.7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</row>
    <row r="91" spans="1:20" ht="12.75">
      <c r="A91"/>
      <c r="B91"/>
      <c r="C91"/>
    </row>
    <row r="92" spans="1:20" ht="12.75">
      <c r="A92"/>
      <c r="B92"/>
      <c r="C92"/>
    </row>
    <row r="93" spans="1:20" ht="12.75">
      <c r="A93"/>
      <c r="B93"/>
      <c r="C93"/>
    </row>
    <row r="94" spans="1:20" ht="12.75">
      <c r="A94"/>
      <c r="B94"/>
      <c r="C94"/>
    </row>
    <row r="95" spans="1:20" ht="12.75">
      <c r="A95"/>
      <c r="B95"/>
      <c r="C95"/>
    </row>
    <row r="96" spans="1:20" ht="12.75">
      <c r="A96"/>
      <c r="B96"/>
      <c r="C96"/>
    </row>
    <row r="97" spans="1:3" ht="12.75">
      <c r="A97"/>
      <c r="B97"/>
      <c r="C97"/>
    </row>
    <row r="98" spans="1:3" ht="12.75">
      <c r="A98"/>
      <c r="B98"/>
      <c r="C98"/>
    </row>
    <row r="99" spans="1:3" ht="12.75">
      <c r="A99"/>
      <c r="B99"/>
      <c r="C99"/>
    </row>
    <row r="100" spans="1:3" ht="12.75">
      <c r="A100"/>
      <c r="B100"/>
      <c r="C100"/>
    </row>
    <row r="101" spans="1:3" ht="12.75">
      <c r="A101"/>
      <c r="B101"/>
      <c r="C101"/>
    </row>
    <row r="102" spans="1:3" ht="12.75">
      <c r="A102"/>
      <c r="B102"/>
      <c r="C102"/>
    </row>
    <row r="103" spans="1:3" ht="12.75">
      <c r="A103"/>
      <c r="B103"/>
      <c r="C103"/>
    </row>
    <row r="104" spans="1:3" ht="12.75">
      <c r="A104"/>
      <c r="B104"/>
      <c r="C104"/>
    </row>
    <row r="105" spans="1:3" ht="12.75">
      <c r="A105"/>
      <c r="B105"/>
      <c r="C105"/>
    </row>
    <row r="106" spans="1:3" ht="12.75">
      <c r="A106"/>
      <c r="B106"/>
      <c r="C106"/>
    </row>
    <row r="107" spans="1:3" ht="12.75">
      <c r="A107"/>
      <c r="B107"/>
      <c r="C107"/>
    </row>
    <row r="108" spans="1:3" ht="12.75">
      <c r="A108"/>
      <c r="B108"/>
      <c r="C108"/>
    </row>
    <row r="109" spans="1:3" ht="12.75">
      <c r="A109"/>
      <c r="B109"/>
      <c r="C109"/>
    </row>
    <row r="110" spans="1:3" ht="12.75">
      <c r="A110"/>
      <c r="B110"/>
      <c r="C110"/>
    </row>
    <row r="111" spans="1:3" ht="12.75">
      <c r="A111"/>
      <c r="B111"/>
      <c r="C111"/>
    </row>
    <row r="112" spans="1:3" ht="12.75">
      <c r="A112"/>
      <c r="B112"/>
      <c r="C112"/>
    </row>
    <row r="113" spans="1:3" ht="12.75">
      <c r="A113"/>
      <c r="B113"/>
      <c r="C113"/>
    </row>
    <row r="114" spans="1:3" ht="12.75">
      <c r="A114"/>
      <c r="B114"/>
      <c r="C114"/>
    </row>
    <row r="115" spans="1:3" ht="12.75">
      <c r="A115"/>
      <c r="B115"/>
      <c r="C115"/>
    </row>
    <row r="116" spans="1:3" ht="12.75">
      <c r="A116"/>
      <c r="B116"/>
      <c r="C116"/>
    </row>
    <row r="117" spans="1:3" ht="12.75">
      <c r="A117"/>
      <c r="B117"/>
      <c r="C117"/>
    </row>
    <row r="118" spans="1:3" ht="12.75">
      <c r="A118"/>
      <c r="B118"/>
      <c r="C118"/>
    </row>
    <row r="119" spans="1:3" ht="12.75">
      <c r="A119"/>
      <c r="B119"/>
      <c r="C119"/>
    </row>
    <row r="120" spans="1:3" ht="12.75">
      <c r="A120"/>
      <c r="B120"/>
      <c r="C120"/>
    </row>
    <row r="121" spans="1:3" ht="12.75">
      <c r="A121"/>
      <c r="B121"/>
      <c r="C121"/>
    </row>
    <row r="122" spans="1:3" ht="12.75">
      <c r="A122"/>
      <c r="B122"/>
      <c r="C122"/>
    </row>
    <row r="123" spans="1:3" ht="12.75">
      <c r="A123"/>
      <c r="B123"/>
      <c r="C123"/>
    </row>
    <row r="124" spans="1:3" ht="12.75">
      <c r="A124"/>
      <c r="B124"/>
      <c r="C124"/>
    </row>
    <row r="125" spans="1:3" ht="12.75">
      <c r="A125"/>
      <c r="B125"/>
      <c r="C125"/>
    </row>
    <row r="126" spans="1:3" ht="12.75">
      <c r="A126"/>
      <c r="B126"/>
      <c r="C126"/>
    </row>
    <row r="127" spans="1:3" ht="12.75">
      <c r="A127"/>
      <c r="B127"/>
      <c r="C127"/>
    </row>
    <row r="128" spans="1:3" ht="12.75">
      <c r="A128"/>
      <c r="B128"/>
      <c r="C128"/>
    </row>
    <row r="129" spans="1:3" ht="12.75">
      <c r="A129"/>
      <c r="B129"/>
      <c r="C129"/>
    </row>
    <row r="130" spans="1:3" ht="12.75">
      <c r="A130"/>
      <c r="B130"/>
      <c r="C130"/>
    </row>
    <row r="131" spans="1:3" ht="12.75">
      <c r="A131"/>
      <c r="B131"/>
      <c r="C131"/>
    </row>
    <row r="132" spans="1:3" ht="12.75">
      <c r="A132"/>
      <c r="B132"/>
      <c r="C132"/>
    </row>
    <row r="133" spans="1:3" ht="12.75">
      <c r="A133"/>
      <c r="B133"/>
      <c r="C133"/>
    </row>
    <row r="134" spans="1:3" ht="12.75">
      <c r="A134"/>
      <c r="B134"/>
      <c r="C134"/>
    </row>
    <row r="135" spans="1:3" ht="12.75">
      <c r="A135"/>
      <c r="B135"/>
      <c r="C135"/>
    </row>
    <row r="136" spans="1:3" ht="12.75">
      <c r="A136"/>
      <c r="B136"/>
      <c r="C136"/>
    </row>
    <row r="137" spans="1:3" ht="12.75">
      <c r="A137"/>
      <c r="B137"/>
      <c r="C137"/>
    </row>
    <row r="138" spans="1:3" ht="12.75">
      <c r="A138"/>
      <c r="B138"/>
      <c r="C138"/>
    </row>
    <row r="139" spans="1:3" ht="12.75">
      <c r="A139"/>
      <c r="B139"/>
      <c r="C139"/>
    </row>
    <row r="140" spans="1:3" ht="12.75">
      <c r="A140"/>
      <c r="B140"/>
      <c r="C140"/>
    </row>
    <row r="141" spans="1:3" ht="12.75">
      <c r="A141"/>
      <c r="B141"/>
      <c r="C141"/>
    </row>
    <row r="142" spans="1:3" ht="12.75">
      <c r="A142"/>
      <c r="B142"/>
      <c r="C142"/>
    </row>
    <row r="143" spans="1:3" ht="12.75">
      <c r="A143"/>
      <c r="B143"/>
      <c r="C143"/>
    </row>
    <row r="144" spans="1:3" ht="12.75">
      <c r="A144"/>
      <c r="B144"/>
      <c r="C144"/>
    </row>
    <row r="145" spans="1:3" ht="12.75">
      <c r="A145"/>
      <c r="B145"/>
      <c r="C145"/>
    </row>
    <row r="146" spans="1:3" ht="12.75">
      <c r="A146"/>
      <c r="B146"/>
      <c r="C146"/>
    </row>
    <row r="147" spans="1:3" ht="12.75">
      <c r="A147"/>
      <c r="B147"/>
      <c r="C147"/>
    </row>
    <row r="148" spans="1:3" ht="12.75">
      <c r="A148"/>
      <c r="B148"/>
      <c r="C148"/>
    </row>
    <row r="149" spans="1:3" ht="12.75">
      <c r="A149"/>
      <c r="B149"/>
      <c r="C149"/>
    </row>
    <row r="150" spans="1:3" ht="12.75">
      <c r="A150"/>
      <c r="B150"/>
      <c r="C150"/>
    </row>
    <row r="151" spans="1:3" ht="12.75">
      <c r="A151"/>
      <c r="B151"/>
      <c r="C151"/>
    </row>
    <row r="152" spans="1:3" ht="12.75">
      <c r="A152"/>
      <c r="B152"/>
      <c r="C152"/>
    </row>
    <row r="153" spans="1:3" ht="12.75">
      <c r="A153"/>
      <c r="B153"/>
      <c r="C153"/>
    </row>
    <row r="154" spans="1:3" ht="12.75">
      <c r="A154"/>
      <c r="B154"/>
      <c r="C154"/>
    </row>
    <row r="155" spans="1:3" ht="12.75">
      <c r="A155"/>
      <c r="B155"/>
      <c r="C155"/>
    </row>
    <row r="156" spans="1:3" ht="12.75">
      <c r="A156"/>
      <c r="B156"/>
      <c r="C156"/>
    </row>
    <row r="157" spans="1:3" ht="12.75">
      <c r="A157"/>
      <c r="B157"/>
      <c r="C157"/>
    </row>
    <row r="158" spans="1:3" ht="12.75">
      <c r="A158"/>
      <c r="B158"/>
      <c r="C158"/>
    </row>
    <row r="159" spans="1:3" ht="12.75">
      <c r="A159"/>
      <c r="B159"/>
      <c r="C159"/>
    </row>
    <row r="160" spans="1:3" ht="12.75">
      <c r="A160"/>
      <c r="B160"/>
      <c r="C160"/>
    </row>
    <row r="161" spans="1:3" ht="12.75">
      <c r="A161"/>
      <c r="B161"/>
      <c r="C161"/>
    </row>
    <row r="162" spans="1:3" ht="12.75">
      <c r="A162"/>
      <c r="B162"/>
      <c r="C162"/>
    </row>
    <row r="163" spans="1:3" ht="12.75">
      <c r="A163"/>
      <c r="B163"/>
      <c r="C163"/>
    </row>
    <row r="164" spans="1:3" ht="12.75">
      <c r="A164"/>
      <c r="B164"/>
      <c r="C164"/>
    </row>
    <row r="165" spans="1:3" ht="12.75">
      <c r="A165"/>
      <c r="B165"/>
      <c r="C165"/>
    </row>
    <row r="166" spans="1:3" ht="12.75">
      <c r="A166"/>
      <c r="B166"/>
      <c r="C166"/>
    </row>
    <row r="167" spans="1:3" ht="12.75">
      <c r="A167"/>
      <c r="B167"/>
      <c r="C167"/>
    </row>
    <row r="168" spans="1:3" ht="12.75">
      <c r="A168"/>
      <c r="B168"/>
      <c r="C168"/>
    </row>
    <row r="169" spans="1:3" ht="12.75">
      <c r="A169"/>
      <c r="B169"/>
      <c r="C169"/>
    </row>
    <row r="170" spans="1:3" ht="12.75">
      <c r="A170"/>
      <c r="B170"/>
      <c r="C170"/>
    </row>
    <row r="171" spans="1:3" ht="12.75">
      <c r="A171"/>
      <c r="B171"/>
      <c r="C171"/>
    </row>
    <row r="172" spans="1:3" ht="12.75">
      <c r="A172"/>
      <c r="B172"/>
      <c r="C172"/>
    </row>
    <row r="173" spans="1:3" ht="12.75">
      <c r="A173"/>
      <c r="B173"/>
      <c r="C173"/>
    </row>
    <row r="174" spans="1:3" ht="12.75">
      <c r="A174"/>
      <c r="B174"/>
      <c r="C174"/>
    </row>
    <row r="175" spans="1:3" ht="12.75">
      <c r="A175"/>
      <c r="B175"/>
      <c r="C175"/>
    </row>
    <row r="176" spans="1:3" ht="12.75">
      <c r="A176"/>
      <c r="B176"/>
      <c r="C176"/>
    </row>
    <row r="177" spans="1:3" ht="12.75">
      <c r="A177"/>
      <c r="B177"/>
      <c r="C177"/>
    </row>
    <row r="178" spans="1:3" ht="12.75">
      <c r="A178"/>
      <c r="B178"/>
      <c r="C178"/>
    </row>
    <row r="179" spans="1:3" ht="12.75">
      <c r="A179"/>
      <c r="B179"/>
      <c r="C179"/>
    </row>
    <row r="180" spans="1:3" ht="12.75">
      <c r="A180"/>
      <c r="B180"/>
      <c r="C180"/>
    </row>
    <row r="181" spans="1:3" ht="12.75">
      <c r="A181"/>
      <c r="B181"/>
      <c r="C181"/>
    </row>
    <row r="182" spans="1:3" ht="12.75">
      <c r="A182"/>
      <c r="B182"/>
      <c r="C182"/>
    </row>
    <row r="183" spans="1:3" ht="12.75">
      <c r="A183"/>
      <c r="B183"/>
      <c r="C183"/>
    </row>
    <row r="184" spans="1:3" ht="12.75">
      <c r="A184"/>
      <c r="B184"/>
      <c r="C184"/>
    </row>
    <row r="185" spans="1:3" ht="12.75">
      <c r="A185"/>
      <c r="B185"/>
      <c r="C185"/>
    </row>
    <row r="186" spans="1:3" ht="12.75">
      <c r="A186"/>
      <c r="B186"/>
      <c r="C186"/>
    </row>
    <row r="187" spans="1:3" ht="12.75">
      <c r="A187"/>
      <c r="B187"/>
      <c r="C187"/>
    </row>
    <row r="188" spans="1:3" ht="12.75">
      <c r="A188"/>
      <c r="B188"/>
      <c r="C188"/>
    </row>
    <row r="189" spans="1:3" ht="12.75">
      <c r="A189"/>
      <c r="B189"/>
      <c r="C189"/>
    </row>
    <row r="190" spans="1:3" ht="12.75">
      <c r="A190"/>
      <c r="B190"/>
      <c r="C190"/>
    </row>
    <row r="191" spans="1:3" ht="12.75">
      <c r="A191"/>
      <c r="B191"/>
      <c r="C191"/>
    </row>
    <row r="192" spans="1:3" ht="12.75">
      <c r="A192"/>
      <c r="B192"/>
      <c r="C192"/>
    </row>
    <row r="193" spans="1:3" ht="12.75">
      <c r="A193"/>
      <c r="B193"/>
      <c r="C193"/>
    </row>
    <row r="194" spans="1:3" ht="12.75">
      <c r="A194"/>
      <c r="B194"/>
      <c r="C194"/>
    </row>
    <row r="195" spans="1:3" ht="12.75">
      <c r="A195"/>
      <c r="B195"/>
      <c r="C195"/>
    </row>
    <row r="196" spans="1:3" ht="12.75">
      <c r="A196"/>
      <c r="B196"/>
      <c r="C196"/>
    </row>
    <row r="197" spans="1:3" ht="12.75">
      <c r="A197"/>
      <c r="B197"/>
      <c r="C197"/>
    </row>
    <row r="198" spans="1:3" ht="12.75">
      <c r="A198"/>
      <c r="B198"/>
      <c r="C198"/>
    </row>
    <row r="199" spans="1:3" ht="12.75">
      <c r="A199"/>
      <c r="B199"/>
      <c r="C199"/>
    </row>
    <row r="200" spans="1:3" ht="12.75">
      <c r="A200"/>
      <c r="B200"/>
      <c r="C200"/>
    </row>
    <row r="201" spans="1:3" ht="12.75">
      <c r="A201"/>
      <c r="B201"/>
      <c r="C201"/>
    </row>
    <row r="202" spans="1:3" ht="12.75">
      <c r="A202"/>
      <c r="B202"/>
      <c r="C202"/>
    </row>
    <row r="203" spans="1:3" ht="12.75">
      <c r="A203"/>
      <c r="B203"/>
      <c r="C203"/>
    </row>
    <row r="204" spans="1:3" ht="12.75">
      <c r="A204"/>
      <c r="B204"/>
      <c r="C204"/>
    </row>
    <row r="205" spans="1:3" ht="12.75">
      <c r="A205"/>
      <c r="B205"/>
      <c r="C205"/>
    </row>
    <row r="206" spans="1:3" ht="12.75">
      <c r="A206"/>
      <c r="B206"/>
      <c r="C206"/>
    </row>
    <row r="207" spans="1:3" ht="12.75">
      <c r="A207"/>
      <c r="B207"/>
      <c r="C207"/>
    </row>
    <row r="208" spans="1:3" ht="12.75">
      <c r="A208"/>
      <c r="B208"/>
      <c r="C208"/>
    </row>
    <row r="209" spans="1:3" ht="12.75">
      <c r="A209"/>
      <c r="B209"/>
      <c r="C209"/>
    </row>
    <row r="210" spans="1:3" ht="12.75">
      <c r="A210"/>
      <c r="B210"/>
      <c r="C210"/>
    </row>
    <row r="211" spans="1:3" ht="12.75">
      <c r="A211"/>
      <c r="B211"/>
      <c r="C211"/>
    </row>
    <row r="212" spans="1:3" ht="12.75">
      <c r="A212"/>
      <c r="B212"/>
      <c r="C212"/>
    </row>
    <row r="213" spans="1:3" ht="12.75">
      <c r="A213"/>
      <c r="B213"/>
      <c r="C213"/>
    </row>
    <row r="214" spans="1:3" ht="12.75">
      <c r="A214"/>
      <c r="B214"/>
      <c r="C214"/>
    </row>
    <row r="215" spans="1:3" ht="12.75">
      <c r="A215"/>
      <c r="B215"/>
      <c r="C215"/>
    </row>
    <row r="216" spans="1:3" ht="12.75">
      <c r="A216"/>
      <c r="B216"/>
      <c r="C216"/>
    </row>
    <row r="217" spans="1:3" ht="12.75">
      <c r="A217"/>
      <c r="B217"/>
      <c r="C217"/>
    </row>
    <row r="218" spans="1:3" ht="12.75">
      <c r="A218"/>
      <c r="B218"/>
      <c r="C218"/>
    </row>
    <row r="219" spans="1:3" ht="12.75">
      <c r="A219"/>
      <c r="B219"/>
      <c r="C219"/>
    </row>
    <row r="220" spans="1:3" ht="12.75">
      <c r="A220"/>
      <c r="B220"/>
      <c r="C220"/>
    </row>
    <row r="221" spans="1:3" ht="12.75">
      <c r="A221"/>
      <c r="B221"/>
      <c r="C221"/>
    </row>
    <row r="222" spans="1:3" ht="12.75">
      <c r="A222"/>
      <c r="B222"/>
      <c r="C222"/>
    </row>
    <row r="223" spans="1:3" ht="12.75">
      <c r="A223"/>
      <c r="B223"/>
      <c r="C223"/>
    </row>
    <row r="224" spans="1:3" ht="12.75">
      <c r="A224"/>
      <c r="B224"/>
      <c r="C224"/>
    </row>
    <row r="225" spans="1:3" ht="12.75">
      <c r="A225"/>
      <c r="B225"/>
      <c r="C225"/>
    </row>
    <row r="226" spans="1:3" ht="12.75">
      <c r="A226"/>
      <c r="B226"/>
      <c r="C226"/>
    </row>
    <row r="227" spans="1:3" ht="12.75">
      <c r="A227"/>
      <c r="B227"/>
      <c r="C227"/>
    </row>
    <row r="228" spans="1:3" ht="12.75">
      <c r="A228"/>
      <c r="B228"/>
      <c r="C228"/>
    </row>
    <row r="229" spans="1:3" ht="12.75">
      <c r="A229"/>
      <c r="B229"/>
      <c r="C229"/>
    </row>
    <row r="230" spans="1:3" ht="12.75">
      <c r="A230"/>
      <c r="B230"/>
      <c r="C230"/>
    </row>
    <row r="231" spans="1:3" ht="12.75">
      <c r="A231"/>
      <c r="B231"/>
      <c r="C231"/>
    </row>
    <row r="232" spans="1:3" ht="12.75">
      <c r="A232"/>
      <c r="B232"/>
      <c r="C232"/>
    </row>
    <row r="233" spans="1:3" ht="12.75">
      <c r="A233"/>
      <c r="B233"/>
      <c r="C233"/>
    </row>
    <row r="234" spans="1:3" ht="12.75">
      <c r="A234"/>
      <c r="B234"/>
      <c r="C234"/>
    </row>
    <row r="235" spans="1:3" ht="12.75">
      <c r="A235"/>
      <c r="B235"/>
      <c r="C235"/>
    </row>
    <row r="236" spans="1:3" ht="12.75">
      <c r="A236"/>
      <c r="B236"/>
      <c r="C236"/>
    </row>
    <row r="237" spans="1:3" ht="12.75">
      <c r="A237"/>
      <c r="B237"/>
      <c r="C237"/>
    </row>
    <row r="238" spans="1:3" ht="12.75">
      <c r="A238"/>
      <c r="B238"/>
      <c r="C238"/>
    </row>
    <row r="239" spans="1:3" ht="12.75">
      <c r="A239"/>
      <c r="B239"/>
      <c r="C239"/>
    </row>
    <row r="240" spans="1:3" ht="12.75">
      <c r="A240"/>
      <c r="B240"/>
      <c r="C240"/>
    </row>
    <row r="241" spans="1:3" ht="12.75">
      <c r="A241"/>
      <c r="B241"/>
      <c r="C241"/>
    </row>
    <row r="242" spans="1:3" ht="12.75">
      <c r="A242"/>
      <c r="B242"/>
      <c r="C242"/>
    </row>
    <row r="243" spans="1:3" ht="12.75">
      <c r="A243"/>
      <c r="B243"/>
      <c r="C243"/>
    </row>
    <row r="244" spans="1:3" ht="12.75">
      <c r="A244"/>
      <c r="B244"/>
      <c r="C244"/>
    </row>
    <row r="245" spans="1:3" ht="12.75">
      <c r="A245"/>
      <c r="B245"/>
      <c r="C245"/>
    </row>
    <row r="246" spans="1:3" ht="12.75">
      <c r="A246"/>
      <c r="B246"/>
      <c r="C246"/>
    </row>
    <row r="247" spans="1:3" ht="12.75">
      <c r="A247"/>
      <c r="B247"/>
      <c r="C247"/>
    </row>
    <row r="248" spans="1:3" ht="12.75">
      <c r="A248"/>
      <c r="B248"/>
      <c r="C248"/>
    </row>
    <row r="249" spans="1:3" ht="12.75">
      <c r="A249"/>
      <c r="B249"/>
      <c r="C249"/>
    </row>
    <row r="250" spans="1:3" ht="12.75">
      <c r="A250"/>
      <c r="B250"/>
      <c r="C250"/>
    </row>
    <row r="251" spans="1:3" ht="12.75">
      <c r="A251"/>
      <c r="B251"/>
      <c r="C251"/>
    </row>
    <row r="252" spans="1:3" ht="12.75">
      <c r="A252"/>
      <c r="B252"/>
      <c r="C252"/>
    </row>
    <row r="253" spans="1:3" ht="12.75">
      <c r="A253"/>
      <c r="B253"/>
      <c r="C253"/>
    </row>
    <row r="254" spans="1:3" ht="12.75">
      <c r="A254"/>
      <c r="B254"/>
      <c r="C254"/>
    </row>
    <row r="255" spans="1:3" ht="12.75">
      <c r="A255"/>
      <c r="B255"/>
      <c r="C255"/>
    </row>
    <row r="256" spans="1:3" ht="12.75">
      <c r="A256"/>
      <c r="B256"/>
      <c r="C256"/>
    </row>
    <row r="257" spans="1:3" ht="12.75">
      <c r="A257"/>
      <c r="B257"/>
      <c r="C257"/>
    </row>
    <row r="258" spans="1:3" ht="12.75">
      <c r="A258"/>
      <c r="B258"/>
      <c r="C258"/>
    </row>
    <row r="259" spans="1:3" ht="12.75">
      <c r="A259"/>
      <c r="B259"/>
      <c r="C259"/>
    </row>
    <row r="260" spans="1:3" ht="12.75">
      <c r="A260"/>
      <c r="B260"/>
      <c r="C260"/>
    </row>
    <row r="261" spans="1:3" ht="12.75">
      <c r="A261"/>
      <c r="B261"/>
      <c r="C261"/>
    </row>
    <row r="262" spans="1:3" ht="12.75">
      <c r="A262"/>
      <c r="B262"/>
      <c r="C262"/>
    </row>
    <row r="263" spans="1:3" ht="12.75">
      <c r="A263"/>
      <c r="B263"/>
      <c r="C263"/>
    </row>
    <row r="264" spans="1:3" ht="12.75">
      <c r="A264"/>
      <c r="B264"/>
      <c r="C264"/>
    </row>
    <row r="265" spans="1:3" ht="12.75">
      <c r="A265"/>
      <c r="B265"/>
      <c r="C265"/>
    </row>
    <row r="266" spans="1:3" ht="12.75">
      <c r="A266"/>
      <c r="B266"/>
      <c r="C266"/>
    </row>
    <row r="267" spans="1:3" ht="12.75">
      <c r="A267"/>
      <c r="B267"/>
      <c r="C267"/>
    </row>
    <row r="268" spans="1:3" ht="12.75">
      <c r="A268"/>
      <c r="B268"/>
      <c r="C268"/>
    </row>
    <row r="269" spans="1:3" ht="12.75">
      <c r="A269"/>
      <c r="B269"/>
      <c r="C269"/>
    </row>
    <row r="270" spans="1:3" ht="12.75">
      <c r="A270"/>
      <c r="B270"/>
      <c r="C270"/>
    </row>
    <row r="271" spans="1:3" ht="12.75">
      <c r="A271"/>
      <c r="B271"/>
      <c r="C271"/>
    </row>
    <row r="272" spans="1:3" ht="12.75">
      <c r="A272"/>
      <c r="B272"/>
      <c r="C272"/>
    </row>
    <row r="273" spans="1:3" ht="12.75">
      <c r="A273"/>
      <c r="B273"/>
      <c r="C273"/>
    </row>
    <row r="274" spans="1:3" ht="12.75">
      <c r="A274"/>
      <c r="B274"/>
      <c r="C274"/>
    </row>
    <row r="275" spans="1:3" ht="12.75">
      <c r="A275"/>
      <c r="B275"/>
      <c r="C275"/>
    </row>
    <row r="276" spans="1:3" ht="12.75">
      <c r="A276"/>
      <c r="B276"/>
      <c r="C276"/>
    </row>
    <row r="277" spans="1:3" ht="12.75">
      <c r="A277"/>
      <c r="B277"/>
      <c r="C277"/>
    </row>
    <row r="278" spans="1:3" ht="12.75">
      <c r="A278"/>
      <c r="B278"/>
      <c r="C278"/>
    </row>
    <row r="279" spans="1:3" ht="12.75">
      <c r="A279"/>
      <c r="B279"/>
      <c r="C279"/>
    </row>
    <row r="280" spans="1:3" ht="12.75">
      <c r="A280"/>
      <c r="B280"/>
      <c r="C280"/>
    </row>
    <row r="281" spans="1:3" ht="12.75">
      <c r="A281"/>
      <c r="B281"/>
      <c r="C281"/>
    </row>
    <row r="282" spans="1:3" ht="12.75">
      <c r="A282"/>
      <c r="B282"/>
      <c r="C282"/>
    </row>
    <row r="283" spans="1:3" ht="12.75">
      <c r="A283"/>
      <c r="B283"/>
      <c r="C283"/>
    </row>
    <row r="284" spans="1:3" ht="12.75">
      <c r="A284"/>
      <c r="B284"/>
      <c r="C284"/>
    </row>
    <row r="285" spans="1:3" ht="12.75">
      <c r="A285"/>
      <c r="B285"/>
      <c r="C285"/>
    </row>
    <row r="286" spans="1:3" ht="12.75">
      <c r="A286"/>
      <c r="B286"/>
      <c r="C286"/>
    </row>
    <row r="287" spans="1:3" ht="12.75">
      <c r="A287"/>
      <c r="B287"/>
      <c r="C287"/>
    </row>
    <row r="288" spans="1:3" ht="12.75">
      <c r="A288"/>
      <c r="B288"/>
      <c r="C288"/>
    </row>
    <row r="289" spans="1:3" ht="12.75">
      <c r="A289"/>
      <c r="B289"/>
      <c r="C289"/>
    </row>
    <row r="290" spans="1:3" ht="12.75">
      <c r="A290"/>
      <c r="B290"/>
      <c r="C290"/>
    </row>
    <row r="291" spans="1:3" ht="12.75">
      <c r="A291"/>
      <c r="B291"/>
      <c r="C291"/>
    </row>
    <row r="292" spans="1:3" ht="12.75">
      <c r="A292"/>
      <c r="B292"/>
      <c r="C292"/>
    </row>
    <row r="293" spans="1:3" ht="12.75">
      <c r="A293"/>
      <c r="B293"/>
      <c r="C293"/>
    </row>
    <row r="294" spans="1:3" ht="12.75">
      <c r="A294"/>
      <c r="B294"/>
      <c r="C294"/>
    </row>
    <row r="295" spans="1:3" ht="12.75">
      <c r="A295"/>
      <c r="B295"/>
      <c r="C295"/>
    </row>
    <row r="296" spans="1:3" ht="12.75">
      <c r="A296"/>
      <c r="B296"/>
      <c r="C296"/>
    </row>
    <row r="297" spans="1:3" ht="12.75">
      <c r="A297"/>
      <c r="B297"/>
      <c r="C297"/>
    </row>
    <row r="298" spans="1:3" ht="12.75">
      <c r="A298"/>
      <c r="B298"/>
      <c r="C298"/>
    </row>
    <row r="299" spans="1:3" ht="12.75">
      <c r="A299"/>
      <c r="B299"/>
      <c r="C299"/>
    </row>
    <row r="300" spans="1:3" ht="12.75">
      <c r="A300"/>
      <c r="B300"/>
      <c r="C300"/>
    </row>
    <row r="301" spans="1:3" ht="12.75">
      <c r="A301"/>
      <c r="B301"/>
      <c r="C301"/>
    </row>
    <row r="302" spans="1:3" ht="12.75">
      <c r="A302"/>
      <c r="B302"/>
      <c r="C302"/>
    </row>
    <row r="303" spans="1:3" ht="12.75">
      <c r="A303"/>
      <c r="B303"/>
      <c r="C303"/>
    </row>
    <row r="304" spans="1:3" ht="12.75">
      <c r="A304"/>
      <c r="B304"/>
      <c r="C304"/>
    </row>
    <row r="305" spans="1:3" ht="12.75">
      <c r="A305"/>
      <c r="B305"/>
      <c r="C305"/>
    </row>
    <row r="306" spans="1:3" ht="12.75">
      <c r="A306"/>
      <c r="B306"/>
      <c r="C306"/>
    </row>
    <row r="307" spans="1:3" ht="12.75">
      <c r="A307"/>
      <c r="B307"/>
      <c r="C307"/>
    </row>
    <row r="308" spans="1:3" ht="12.75">
      <c r="A308"/>
      <c r="B308"/>
      <c r="C308"/>
    </row>
    <row r="309" spans="1:3" ht="12.75">
      <c r="A309"/>
      <c r="B309"/>
      <c r="C309"/>
    </row>
    <row r="310" spans="1:3" ht="12.75">
      <c r="A310"/>
      <c r="B310"/>
      <c r="C310"/>
    </row>
    <row r="311" spans="1:3" ht="12.75">
      <c r="A311"/>
      <c r="B311"/>
      <c r="C311"/>
    </row>
    <row r="312" spans="1:3" ht="12.75">
      <c r="A312"/>
      <c r="B312"/>
      <c r="C312"/>
    </row>
    <row r="313" spans="1:3" ht="12.75">
      <c r="A313"/>
      <c r="B313"/>
      <c r="C313"/>
    </row>
    <row r="314" spans="1:3" ht="12.75">
      <c r="A314"/>
      <c r="B314"/>
      <c r="C314"/>
    </row>
    <row r="315" spans="1:3" ht="12.75">
      <c r="A315"/>
      <c r="B315"/>
      <c r="C315"/>
    </row>
    <row r="316" spans="1:3" ht="12.75">
      <c r="A316"/>
      <c r="B316"/>
      <c r="C316"/>
    </row>
    <row r="317" spans="1:3" ht="12.75">
      <c r="A317"/>
      <c r="B317"/>
      <c r="C317"/>
    </row>
    <row r="318" spans="1:3" ht="12.75">
      <c r="A318"/>
      <c r="B318"/>
      <c r="C318"/>
    </row>
    <row r="319" spans="1:3" ht="12.75">
      <c r="A319"/>
      <c r="B319"/>
      <c r="C319"/>
    </row>
    <row r="320" spans="1:3" ht="12.75">
      <c r="A320"/>
      <c r="B320"/>
      <c r="C320"/>
    </row>
    <row r="321" spans="1:3" ht="12.75">
      <c r="A321"/>
      <c r="B321"/>
      <c r="C321"/>
    </row>
    <row r="322" spans="1:3" ht="12.75">
      <c r="A322"/>
      <c r="B322"/>
      <c r="C322"/>
    </row>
    <row r="323" spans="1:3" ht="12.75">
      <c r="A323"/>
      <c r="B323"/>
      <c r="C323"/>
    </row>
    <row r="324" spans="1:3" ht="12.75">
      <c r="A324"/>
      <c r="B324"/>
      <c r="C324"/>
    </row>
    <row r="325" spans="1:3" ht="12.75">
      <c r="A325"/>
      <c r="B325"/>
      <c r="C325"/>
    </row>
    <row r="326" spans="1:3" ht="12.75">
      <c r="A326"/>
      <c r="B326"/>
      <c r="C326"/>
    </row>
    <row r="327" spans="1:3" ht="12.75">
      <c r="A327"/>
      <c r="B327"/>
      <c r="C327"/>
    </row>
    <row r="328" spans="1:3" ht="12.75">
      <c r="A328"/>
      <c r="B328"/>
      <c r="C328"/>
    </row>
    <row r="329" spans="1:3" ht="12.75">
      <c r="A329"/>
      <c r="B329"/>
      <c r="C329"/>
    </row>
    <row r="330" spans="1:3" ht="12.75">
      <c r="A330"/>
      <c r="B330"/>
      <c r="C330"/>
    </row>
    <row r="331" spans="1:3" ht="12.75">
      <c r="A331"/>
      <c r="B331"/>
      <c r="C331"/>
    </row>
    <row r="332" spans="1:3" ht="12.75">
      <c r="A332"/>
      <c r="B332"/>
      <c r="C332"/>
    </row>
    <row r="333" spans="1:3" ht="12.75">
      <c r="A333"/>
      <c r="B333"/>
      <c r="C333"/>
    </row>
    <row r="334" spans="1:3" ht="12.75">
      <c r="A334"/>
      <c r="B334"/>
      <c r="C334"/>
    </row>
    <row r="335" spans="1:3" ht="12.75">
      <c r="A335"/>
      <c r="B335"/>
      <c r="C335"/>
    </row>
    <row r="336" spans="1:3" ht="12.75">
      <c r="A336"/>
      <c r="B336"/>
      <c r="C336"/>
    </row>
    <row r="337" spans="1:3" ht="12.75">
      <c r="A337"/>
      <c r="B337"/>
      <c r="C337"/>
    </row>
    <row r="338" spans="1:3" ht="12.75">
      <c r="A338"/>
      <c r="B338"/>
      <c r="C338"/>
    </row>
    <row r="339" spans="1:3" ht="12.75">
      <c r="A339"/>
      <c r="B339"/>
      <c r="C339"/>
    </row>
    <row r="340" spans="1:3" ht="12.75">
      <c r="A340"/>
      <c r="B340"/>
      <c r="C340"/>
    </row>
    <row r="341" spans="1:3" ht="12.75">
      <c r="A341"/>
      <c r="B341"/>
      <c r="C341"/>
    </row>
    <row r="342" spans="1:3" ht="12.75">
      <c r="A342"/>
      <c r="B342"/>
      <c r="C342"/>
    </row>
    <row r="343" spans="1:3" ht="12.75">
      <c r="A343"/>
      <c r="B343"/>
      <c r="C343"/>
    </row>
    <row r="344" spans="1:3" ht="12.75">
      <c r="A344"/>
      <c r="B344"/>
      <c r="C344"/>
    </row>
    <row r="345" spans="1:3" ht="12.75">
      <c r="A345"/>
      <c r="B345"/>
      <c r="C345"/>
    </row>
    <row r="346" spans="1:3" ht="12.75">
      <c r="A346"/>
      <c r="B346"/>
      <c r="C346"/>
    </row>
    <row r="347" spans="1:3" ht="12.75">
      <c r="A347"/>
      <c r="B347"/>
      <c r="C347"/>
    </row>
    <row r="348" spans="1:3" ht="12.75">
      <c r="A348"/>
      <c r="B348"/>
      <c r="C348"/>
    </row>
    <row r="349" spans="1:3" ht="12.75">
      <c r="A349"/>
      <c r="B349"/>
      <c r="C349"/>
    </row>
    <row r="350" spans="1:3" ht="12.75">
      <c r="A350"/>
      <c r="B350"/>
      <c r="C350"/>
    </row>
    <row r="351" spans="1:3" ht="12.75">
      <c r="A351"/>
      <c r="B351"/>
      <c r="C351"/>
    </row>
    <row r="352" spans="1:3" ht="12.75">
      <c r="A352"/>
      <c r="B352"/>
      <c r="C352"/>
    </row>
    <row r="353" spans="1:3" ht="12.75">
      <c r="A353"/>
      <c r="B353"/>
      <c r="C353"/>
    </row>
    <row r="354" spans="1:3" ht="12.75">
      <c r="A354"/>
      <c r="B354"/>
      <c r="C354"/>
    </row>
    <row r="355" spans="1:3" ht="12.75">
      <c r="A355"/>
      <c r="B355"/>
      <c r="C355"/>
    </row>
    <row r="356" spans="1:3" ht="12.75">
      <c r="A356"/>
      <c r="B356"/>
      <c r="C356"/>
    </row>
    <row r="357" spans="1:3" ht="12.75">
      <c r="A357"/>
      <c r="B357"/>
      <c r="C357"/>
    </row>
    <row r="358" spans="1:3" ht="12.75">
      <c r="A358"/>
      <c r="B358"/>
      <c r="C358"/>
    </row>
    <row r="359" spans="1:3" ht="12.75">
      <c r="A359"/>
      <c r="B359"/>
      <c r="C359"/>
    </row>
    <row r="360" spans="1:3" ht="12.75">
      <c r="A360"/>
      <c r="B360"/>
      <c r="C360"/>
    </row>
    <row r="361" spans="1:3" ht="12.75">
      <c r="A361"/>
      <c r="B361"/>
      <c r="C361"/>
    </row>
    <row r="362" spans="1:3" ht="12.75">
      <c r="A362"/>
      <c r="B362"/>
      <c r="C362"/>
    </row>
    <row r="363" spans="1:3" ht="12.75">
      <c r="A363"/>
      <c r="B363"/>
      <c r="C363"/>
    </row>
    <row r="364" spans="1:3" ht="12.75">
      <c r="A364"/>
      <c r="B364"/>
      <c r="C364"/>
    </row>
    <row r="365" spans="1:3" ht="12.75">
      <c r="A365"/>
      <c r="B365"/>
      <c r="C365"/>
    </row>
    <row r="366" spans="1:3" ht="12.75">
      <c r="A366"/>
      <c r="B366"/>
      <c r="C366"/>
    </row>
    <row r="367" spans="1:3" ht="12.75">
      <c r="A367"/>
      <c r="B367"/>
      <c r="C367"/>
    </row>
    <row r="368" spans="1:3" ht="12.75">
      <c r="A368"/>
      <c r="B368"/>
      <c r="C368"/>
    </row>
    <row r="369" spans="1:3" ht="12.75">
      <c r="A369"/>
      <c r="B369"/>
      <c r="C369"/>
    </row>
    <row r="370" spans="1:3" ht="12.75">
      <c r="A370"/>
      <c r="B370"/>
      <c r="C370"/>
    </row>
    <row r="371" spans="1:3" ht="12.75">
      <c r="A371"/>
      <c r="B371"/>
      <c r="C371"/>
    </row>
    <row r="372" spans="1:3" ht="12.75">
      <c r="A372"/>
      <c r="B372"/>
      <c r="C372"/>
    </row>
    <row r="373" spans="1:3" ht="12.75">
      <c r="A373"/>
      <c r="B373"/>
      <c r="C373"/>
    </row>
    <row r="374" spans="1:3" ht="12.75">
      <c r="A374"/>
      <c r="B374"/>
      <c r="C374"/>
    </row>
    <row r="375" spans="1:3" ht="12.75">
      <c r="A375"/>
      <c r="B375"/>
      <c r="C375"/>
    </row>
    <row r="376" spans="1:3" ht="12.75">
      <c r="A376"/>
      <c r="B376"/>
      <c r="C376"/>
    </row>
    <row r="377" spans="1:3" ht="12.75">
      <c r="A377"/>
      <c r="B377"/>
      <c r="C377"/>
    </row>
    <row r="378" spans="1:3" ht="12.75">
      <c r="A378"/>
      <c r="B378"/>
      <c r="C378"/>
    </row>
    <row r="379" spans="1:3" ht="12.75">
      <c r="A379"/>
      <c r="B379"/>
      <c r="C379"/>
    </row>
    <row r="380" spans="1:3" ht="12.75">
      <c r="A380"/>
      <c r="B380"/>
      <c r="C380"/>
    </row>
    <row r="381" spans="1:3" ht="12.75">
      <c r="A381"/>
      <c r="B381"/>
      <c r="C381"/>
    </row>
    <row r="382" spans="1:3" ht="12.75">
      <c r="A382"/>
      <c r="B382"/>
      <c r="C382"/>
    </row>
    <row r="383" spans="1:3" ht="12.75">
      <c r="A383"/>
      <c r="B383"/>
      <c r="C383"/>
    </row>
    <row r="384" spans="1:3" ht="12.75">
      <c r="A384"/>
      <c r="B384"/>
      <c r="C384"/>
    </row>
    <row r="385" spans="1:3" ht="12.75">
      <c r="A385"/>
      <c r="B385"/>
      <c r="C385"/>
    </row>
    <row r="386" spans="1:3" ht="12.75">
      <c r="A386"/>
      <c r="B386"/>
      <c r="C386"/>
    </row>
    <row r="387" spans="1:3" ht="12.75">
      <c r="A387"/>
      <c r="B387"/>
      <c r="C387"/>
    </row>
    <row r="388" spans="1:3" ht="12.75">
      <c r="A388"/>
      <c r="B388"/>
      <c r="C388"/>
    </row>
    <row r="389" spans="1:3" ht="12.75">
      <c r="A389"/>
      <c r="B389"/>
      <c r="C389"/>
    </row>
    <row r="390" spans="1:3" ht="12.75">
      <c r="A390"/>
      <c r="B390"/>
      <c r="C390"/>
    </row>
    <row r="391" spans="1:3" ht="12.75">
      <c r="A391"/>
      <c r="B391"/>
      <c r="C391"/>
    </row>
    <row r="392" spans="1:3" ht="12.75">
      <c r="A392"/>
      <c r="B392"/>
      <c r="C392"/>
    </row>
    <row r="393" spans="1:3" ht="12.75">
      <c r="A393"/>
      <c r="B393"/>
      <c r="C393"/>
    </row>
    <row r="394" spans="1:3" ht="12.75">
      <c r="A394"/>
      <c r="B394"/>
      <c r="C394"/>
    </row>
    <row r="395" spans="1:3" ht="12.75">
      <c r="A395"/>
      <c r="B395"/>
      <c r="C395"/>
    </row>
    <row r="396" spans="1:3" ht="12.75">
      <c r="A396"/>
      <c r="B396"/>
      <c r="C396"/>
    </row>
    <row r="397" spans="1:3" ht="12.75">
      <c r="A397"/>
      <c r="B397"/>
      <c r="C397"/>
    </row>
    <row r="398" spans="1:3" ht="12.75">
      <c r="A398"/>
      <c r="B398"/>
      <c r="C398"/>
    </row>
    <row r="399" spans="1:3" ht="12.75">
      <c r="A399"/>
      <c r="B399"/>
      <c r="C399"/>
    </row>
    <row r="400" spans="1:3" ht="12.75">
      <c r="A400"/>
      <c r="B400"/>
      <c r="C400"/>
    </row>
    <row r="401" spans="1:3" ht="12.75">
      <c r="A401"/>
      <c r="B401"/>
      <c r="C401"/>
    </row>
    <row r="402" spans="1:3" ht="12.75">
      <c r="A402"/>
      <c r="B402"/>
      <c r="C402"/>
    </row>
    <row r="403" spans="1:3" ht="12.75">
      <c r="A403"/>
      <c r="B403"/>
      <c r="C403"/>
    </row>
    <row r="404" spans="1:3" ht="12.75">
      <c r="A404"/>
      <c r="B404"/>
      <c r="C404"/>
    </row>
    <row r="405" spans="1:3" ht="12.75">
      <c r="A405"/>
      <c r="B405"/>
      <c r="C405"/>
    </row>
    <row r="406" spans="1:3" ht="12.75">
      <c r="A406"/>
      <c r="B406"/>
      <c r="C406"/>
    </row>
    <row r="407" spans="1:3" ht="12.75">
      <c r="A407"/>
      <c r="B407"/>
      <c r="C407"/>
    </row>
    <row r="408" spans="1:3" ht="12.75">
      <c r="A408"/>
      <c r="B408"/>
      <c r="C408"/>
    </row>
    <row r="409" spans="1:3" ht="12.75">
      <c r="A409"/>
      <c r="B409"/>
      <c r="C409"/>
    </row>
    <row r="410" spans="1:3" ht="12.75">
      <c r="A410"/>
      <c r="B410"/>
      <c r="C410"/>
    </row>
    <row r="411" spans="1:3" ht="12.75">
      <c r="A411"/>
      <c r="B411"/>
      <c r="C411"/>
    </row>
    <row r="412" spans="1:3" ht="12.75">
      <c r="A412"/>
      <c r="B412"/>
      <c r="C412"/>
    </row>
    <row r="413" spans="1:3" ht="12.75">
      <c r="A413"/>
      <c r="B413"/>
      <c r="C413"/>
    </row>
    <row r="414" spans="1:3" ht="12.75">
      <c r="A414"/>
      <c r="B414"/>
      <c r="C414"/>
    </row>
    <row r="415" spans="1:3" ht="12.75">
      <c r="A415"/>
      <c r="B415"/>
      <c r="C415"/>
    </row>
    <row r="416" spans="1:3" ht="12.75">
      <c r="A416"/>
      <c r="B416"/>
      <c r="C416"/>
    </row>
    <row r="417" spans="1:3" ht="12.75">
      <c r="A417"/>
      <c r="B417"/>
      <c r="C417"/>
    </row>
    <row r="418" spans="1:3" ht="12.75">
      <c r="A418"/>
      <c r="B418"/>
      <c r="C418"/>
    </row>
    <row r="419" spans="1:3" ht="12.75">
      <c r="A419"/>
      <c r="B419"/>
      <c r="C419"/>
    </row>
    <row r="420" spans="1:3" ht="12.75">
      <c r="A420"/>
      <c r="B420"/>
      <c r="C420"/>
    </row>
    <row r="421" spans="1:3" ht="12.75">
      <c r="A421"/>
      <c r="B421"/>
      <c r="C421"/>
    </row>
    <row r="422" spans="1:3" ht="12.75">
      <c r="A422"/>
      <c r="B422"/>
      <c r="C422"/>
    </row>
    <row r="423" spans="1:3" ht="12.75">
      <c r="A423"/>
      <c r="B423"/>
      <c r="C423"/>
    </row>
    <row r="424" spans="1:3" ht="12.75">
      <c r="A424"/>
      <c r="B424"/>
      <c r="C424"/>
    </row>
    <row r="425" spans="1:3" ht="12.75">
      <c r="A425"/>
      <c r="B425"/>
      <c r="C425"/>
    </row>
    <row r="426" spans="1:3" ht="12.75">
      <c r="A426"/>
      <c r="B426"/>
      <c r="C426"/>
    </row>
    <row r="427" spans="1:3" ht="12.75">
      <c r="A427"/>
      <c r="B427"/>
      <c r="C427"/>
    </row>
    <row r="428" spans="1:3" ht="12.75">
      <c r="A428"/>
      <c r="B428"/>
      <c r="C428"/>
    </row>
    <row r="429" spans="1:3" ht="12.75">
      <c r="A429"/>
      <c r="B429"/>
      <c r="C429"/>
    </row>
    <row r="430" spans="1:3" ht="12.75">
      <c r="A430"/>
      <c r="B430"/>
      <c r="C430"/>
    </row>
    <row r="431" spans="1:3" ht="12.75">
      <c r="A431"/>
      <c r="B431"/>
      <c r="C431"/>
    </row>
    <row r="432" spans="1:3" ht="12.75">
      <c r="A432"/>
      <c r="B432"/>
      <c r="C432"/>
    </row>
    <row r="433" spans="1:3" ht="12.75">
      <c r="A433"/>
      <c r="B433"/>
      <c r="C433"/>
    </row>
    <row r="434" spans="1:3" ht="12.75">
      <c r="A434"/>
      <c r="B434"/>
      <c r="C434"/>
    </row>
    <row r="435" spans="1:3" ht="12.75">
      <c r="A435"/>
      <c r="B435"/>
      <c r="C435"/>
    </row>
    <row r="436" spans="1:3" ht="12.75">
      <c r="A436"/>
      <c r="B436"/>
      <c r="C436"/>
    </row>
    <row r="437" spans="1:3" ht="12.75">
      <c r="A437"/>
      <c r="B437"/>
      <c r="C437"/>
    </row>
    <row r="438" spans="1:3" ht="12.75">
      <c r="A438"/>
      <c r="B438"/>
      <c r="C438"/>
    </row>
    <row r="439" spans="1:3" ht="12.75">
      <c r="A439"/>
      <c r="B439"/>
      <c r="C439"/>
    </row>
    <row r="440" spans="1:3" ht="12.75">
      <c r="A440"/>
      <c r="B440"/>
      <c r="C440"/>
    </row>
    <row r="441" spans="1:3" ht="12.75">
      <c r="A441"/>
      <c r="B441"/>
      <c r="C441"/>
    </row>
    <row r="442" spans="1:3" ht="12.75">
      <c r="A442"/>
      <c r="B442"/>
      <c r="C442"/>
    </row>
    <row r="443" spans="1:3" ht="12.75">
      <c r="A443"/>
      <c r="B443"/>
      <c r="C443"/>
    </row>
    <row r="444" spans="1:3" ht="12.75">
      <c r="A444"/>
      <c r="B444"/>
      <c r="C444"/>
    </row>
    <row r="445" spans="1:3" ht="12.75">
      <c r="A445"/>
      <c r="B445"/>
      <c r="C445"/>
    </row>
    <row r="446" spans="1:3" ht="12.75">
      <c r="A446"/>
      <c r="B446"/>
      <c r="C446"/>
    </row>
    <row r="447" spans="1:3" ht="12.75">
      <c r="A447"/>
      <c r="B447"/>
      <c r="C447"/>
    </row>
    <row r="448" spans="1:3" ht="12.75">
      <c r="A448"/>
      <c r="B448"/>
      <c r="C448"/>
    </row>
    <row r="449" spans="1:3" ht="12.75">
      <c r="A449"/>
      <c r="B449"/>
      <c r="C449"/>
    </row>
    <row r="450" spans="1:3" ht="12.75">
      <c r="A450"/>
      <c r="B450"/>
      <c r="C450"/>
    </row>
    <row r="451" spans="1:3" ht="12.75">
      <c r="A451"/>
      <c r="B451"/>
      <c r="C451"/>
    </row>
    <row r="452" spans="1:3" ht="12.75">
      <c r="A452"/>
      <c r="B452"/>
      <c r="C452"/>
    </row>
    <row r="453" spans="1:3" ht="12.75">
      <c r="A453"/>
      <c r="B453"/>
      <c r="C453"/>
    </row>
    <row r="454" spans="1:3" ht="12.75">
      <c r="A454"/>
      <c r="B454"/>
      <c r="C454"/>
    </row>
    <row r="455" spans="1:3" ht="12.75">
      <c r="A455"/>
      <c r="B455"/>
      <c r="C455"/>
    </row>
    <row r="456" spans="1:3" ht="12.75">
      <c r="A456"/>
      <c r="B456"/>
      <c r="C456"/>
    </row>
    <row r="457" spans="1:3" ht="12.75">
      <c r="A457"/>
      <c r="B457"/>
      <c r="C457"/>
    </row>
    <row r="458" spans="1:3" ht="12.75">
      <c r="A458"/>
      <c r="B458"/>
      <c r="C458"/>
    </row>
    <row r="459" spans="1:3" ht="12.75">
      <c r="A459"/>
      <c r="B459"/>
      <c r="C459"/>
    </row>
    <row r="460" spans="1:3" ht="12.75">
      <c r="A460"/>
      <c r="B460"/>
      <c r="C460"/>
    </row>
    <row r="461" spans="1:3" ht="12.75">
      <c r="A461"/>
      <c r="B461"/>
      <c r="C461"/>
    </row>
    <row r="462" spans="1:3" ht="12.75">
      <c r="A462"/>
      <c r="B462"/>
      <c r="C462"/>
    </row>
    <row r="463" spans="1:3" ht="12.75">
      <c r="A463"/>
      <c r="B463"/>
      <c r="C463"/>
    </row>
    <row r="464" spans="1:3" ht="12.75">
      <c r="A464"/>
      <c r="B464"/>
      <c r="C464"/>
    </row>
    <row r="465" spans="1:3" ht="12.75">
      <c r="A465"/>
      <c r="B465"/>
      <c r="C465"/>
    </row>
    <row r="466" spans="1:3" ht="12.75">
      <c r="A466"/>
      <c r="B466"/>
      <c r="C466"/>
    </row>
    <row r="467" spans="1:3" ht="12.75">
      <c r="A467"/>
      <c r="B467"/>
      <c r="C467"/>
    </row>
    <row r="468" spans="1:3" ht="12.75">
      <c r="A468"/>
      <c r="B468"/>
      <c r="C468"/>
    </row>
    <row r="469" spans="1:3" ht="12.75">
      <c r="A469"/>
      <c r="B469"/>
      <c r="C469"/>
    </row>
    <row r="470" spans="1:3" ht="12.75">
      <c r="A470"/>
      <c r="B470"/>
      <c r="C470"/>
    </row>
    <row r="471" spans="1:3" ht="12.75">
      <c r="A471"/>
      <c r="B471"/>
      <c r="C471"/>
    </row>
    <row r="472" spans="1:3" ht="12.75">
      <c r="A472"/>
      <c r="B472"/>
      <c r="C472"/>
    </row>
    <row r="473" spans="1:3" ht="12.75">
      <c r="A473"/>
      <c r="B473"/>
      <c r="C473"/>
    </row>
    <row r="474" spans="1:3" ht="12.75">
      <c r="A474"/>
      <c r="B474"/>
      <c r="C474"/>
    </row>
    <row r="475" spans="1:3" ht="12.75">
      <c r="A475"/>
      <c r="B475"/>
      <c r="C475"/>
    </row>
    <row r="476" spans="1:3" ht="12.75">
      <c r="A476"/>
      <c r="B476"/>
      <c r="C476"/>
    </row>
    <row r="477" spans="1:3" ht="12.75">
      <c r="A477"/>
      <c r="B477"/>
      <c r="C477"/>
    </row>
    <row r="478" spans="1:3" ht="12.75">
      <c r="A478"/>
      <c r="B478"/>
      <c r="C478"/>
    </row>
    <row r="479" spans="1:3" ht="12.75">
      <c r="A479"/>
      <c r="B479"/>
      <c r="C479"/>
    </row>
    <row r="480" spans="1:3" ht="12.75">
      <c r="A480"/>
      <c r="B480"/>
      <c r="C480"/>
    </row>
    <row r="481" spans="1:3" ht="12.75">
      <c r="A481"/>
      <c r="B481"/>
      <c r="C481"/>
    </row>
    <row r="482" spans="1:3" ht="12.75">
      <c r="A482"/>
      <c r="B482"/>
      <c r="C482"/>
    </row>
    <row r="483" spans="1:3" ht="12.75">
      <c r="A483"/>
      <c r="B483"/>
      <c r="C483"/>
    </row>
    <row r="484" spans="1:3" ht="12.75">
      <c r="A484"/>
      <c r="B484"/>
      <c r="C484"/>
    </row>
    <row r="485" spans="1:3" ht="12.75">
      <c r="A485"/>
      <c r="B485"/>
      <c r="C485"/>
    </row>
    <row r="486" spans="1:3" ht="12.75">
      <c r="A486"/>
      <c r="B486"/>
      <c r="C486"/>
    </row>
    <row r="487" spans="1:3" ht="12.75">
      <c r="A487"/>
      <c r="B487"/>
      <c r="C487"/>
    </row>
    <row r="488" spans="1:3" ht="12.75">
      <c r="A488"/>
      <c r="B488"/>
      <c r="C488"/>
    </row>
    <row r="489" spans="1:3" ht="12.75">
      <c r="A489"/>
      <c r="B489"/>
      <c r="C489"/>
    </row>
    <row r="490" spans="1:3" ht="12.75">
      <c r="A490"/>
      <c r="B490"/>
      <c r="C490"/>
    </row>
    <row r="491" spans="1:3" ht="12.75">
      <c r="A491"/>
      <c r="B491"/>
      <c r="C491"/>
    </row>
    <row r="492" spans="1:3" ht="12.75">
      <c r="A492"/>
      <c r="B492"/>
      <c r="C492"/>
    </row>
    <row r="493" spans="1:3" ht="12.75">
      <c r="A493"/>
      <c r="B493"/>
      <c r="C493"/>
    </row>
    <row r="494" spans="1:3" ht="12.75">
      <c r="A494"/>
      <c r="B494"/>
      <c r="C494"/>
    </row>
    <row r="495" spans="1:3" ht="12.75">
      <c r="A495"/>
      <c r="B495"/>
      <c r="C495"/>
    </row>
    <row r="496" spans="1:3" ht="12.75">
      <c r="A496"/>
      <c r="B496"/>
      <c r="C496"/>
    </row>
    <row r="497" spans="1:3" ht="12.75">
      <c r="A497"/>
      <c r="B497"/>
      <c r="C497"/>
    </row>
    <row r="498" spans="1:3" ht="12.75">
      <c r="A498"/>
      <c r="B498"/>
      <c r="C498"/>
    </row>
    <row r="499" spans="1:3" ht="12.75">
      <c r="A499"/>
      <c r="B499"/>
      <c r="C499"/>
    </row>
    <row r="500" spans="1:3" ht="12.75">
      <c r="A500"/>
      <c r="B500"/>
      <c r="C500"/>
    </row>
    <row r="501" spans="1:3" ht="12.75">
      <c r="A501"/>
      <c r="B501"/>
      <c r="C501"/>
    </row>
    <row r="502" spans="1:3" ht="12.75">
      <c r="A502"/>
      <c r="B502"/>
      <c r="C502"/>
    </row>
    <row r="503" spans="1:3" ht="12.75">
      <c r="A503"/>
      <c r="B503"/>
      <c r="C503"/>
    </row>
    <row r="504" spans="1:3" ht="12.75">
      <c r="A504"/>
      <c r="B504"/>
      <c r="C504"/>
    </row>
    <row r="505" spans="1:3" ht="12.75">
      <c r="A505"/>
      <c r="B505"/>
      <c r="C505"/>
    </row>
    <row r="506" spans="1:3" ht="12.75">
      <c r="A506"/>
      <c r="B506"/>
      <c r="C506"/>
    </row>
    <row r="507" spans="1:3" ht="12.75">
      <c r="A507"/>
      <c r="B507"/>
      <c r="C507"/>
    </row>
    <row r="508" spans="1:3" ht="12.75">
      <c r="A508"/>
      <c r="B508"/>
      <c r="C508"/>
    </row>
    <row r="509" spans="1:3" ht="12.75">
      <c r="A509"/>
      <c r="B509"/>
      <c r="C509"/>
    </row>
    <row r="510" spans="1:3" ht="12.75">
      <c r="A510"/>
      <c r="B510"/>
      <c r="C510"/>
    </row>
    <row r="511" spans="1:3" ht="12.75">
      <c r="A511"/>
      <c r="B511"/>
      <c r="C511"/>
    </row>
    <row r="512" spans="1:3" ht="12.75">
      <c r="A512"/>
      <c r="B512"/>
      <c r="C512"/>
    </row>
    <row r="513" spans="1:3" ht="12.75">
      <c r="A513"/>
      <c r="B513"/>
      <c r="C513"/>
    </row>
    <row r="514" spans="1:3" ht="12.75">
      <c r="A514"/>
      <c r="B514"/>
      <c r="C514"/>
    </row>
    <row r="515" spans="1:3" ht="12.75">
      <c r="A515"/>
      <c r="B515"/>
      <c r="C515"/>
    </row>
    <row r="516" spans="1:3" ht="12.75">
      <c r="A516"/>
      <c r="B516"/>
      <c r="C516"/>
    </row>
    <row r="517" spans="1:3" ht="12.75">
      <c r="A517"/>
      <c r="B517"/>
      <c r="C517"/>
    </row>
    <row r="518" spans="1:3" ht="12.75">
      <c r="A518"/>
      <c r="B518"/>
      <c r="C518"/>
    </row>
    <row r="519" spans="1:3" ht="12.75">
      <c r="A519"/>
      <c r="B519"/>
      <c r="C519"/>
    </row>
    <row r="520" spans="1:3" ht="12.75">
      <c r="A520"/>
      <c r="B520"/>
      <c r="C520"/>
    </row>
    <row r="521" spans="1:3" ht="12.75">
      <c r="A521"/>
      <c r="B521"/>
      <c r="C521"/>
    </row>
    <row r="522" spans="1:3" ht="12.75">
      <c r="A522"/>
      <c r="B522"/>
      <c r="C522"/>
    </row>
    <row r="523" spans="1:3" ht="12.75">
      <c r="A523"/>
      <c r="B523"/>
      <c r="C523"/>
    </row>
    <row r="524" spans="1:3" ht="12.75">
      <c r="A524"/>
      <c r="B524"/>
      <c r="C524"/>
    </row>
    <row r="525" spans="1:3" ht="12.75">
      <c r="A525"/>
      <c r="B525"/>
      <c r="C525"/>
    </row>
    <row r="526" spans="1:3" ht="12.75">
      <c r="A526"/>
      <c r="B526"/>
      <c r="C526"/>
    </row>
    <row r="527" spans="1:3" ht="12.75">
      <c r="A527"/>
      <c r="B527"/>
      <c r="C527"/>
    </row>
    <row r="528" spans="1:3" ht="12.75">
      <c r="A528"/>
      <c r="B528"/>
      <c r="C528"/>
    </row>
    <row r="529" spans="1:3" ht="12.75">
      <c r="A529"/>
      <c r="B529"/>
      <c r="C529"/>
    </row>
    <row r="530" spans="1:3" ht="12.75">
      <c r="A530"/>
      <c r="B530"/>
      <c r="C530"/>
    </row>
    <row r="531" spans="1:3" ht="12.75">
      <c r="A531"/>
      <c r="B531"/>
      <c r="C531"/>
    </row>
    <row r="532" spans="1:3" ht="12.75">
      <c r="A532"/>
      <c r="B532"/>
      <c r="C532"/>
    </row>
    <row r="533" spans="1:3" ht="12.75">
      <c r="A533"/>
      <c r="B533"/>
      <c r="C533"/>
    </row>
    <row r="534" spans="1:3" ht="12.75">
      <c r="A534"/>
      <c r="B534"/>
      <c r="C534"/>
    </row>
    <row r="535" spans="1:3" ht="12.75">
      <c r="A535"/>
      <c r="B535"/>
      <c r="C535"/>
    </row>
    <row r="536" spans="1:3" ht="12.75">
      <c r="A536"/>
      <c r="B536"/>
      <c r="C536"/>
    </row>
    <row r="537" spans="1:3" ht="12.75">
      <c r="A537"/>
      <c r="B537"/>
      <c r="C537"/>
    </row>
    <row r="538" spans="1:3" ht="12.75">
      <c r="A538"/>
      <c r="B538"/>
      <c r="C538"/>
    </row>
    <row r="539" spans="1:3" ht="12.75">
      <c r="A539"/>
      <c r="B539"/>
      <c r="C539"/>
    </row>
    <row r="540" spans="1:3" ht="12.75">
      <c r="A540"/>
      <c r="B540"/>
      <c r="C540"/>
    </row>
    <row r="541" spans="1:3" ht="12.75">
      <c r="A541"/>
      <c r="B541"/>
      <c r="C541"/>
    </row>
    <row r="542" spans="1:3" ht="12.75">
      <c r="A542"/>
      <c r="B542"/>
      <c r="C542"/>
    </row>
    <row r="543" spans="1:3" ht="12.75">
      <c r="A543"/>
      <c r="B543"/>
      <c r="C543"/>
    </row>
    <row r="544" spans="1:3" ht="12.75">
      <c r="A544"/>
      <c r="B544"/>
      <c r="C544"/>
    </row>
    <row r="545" spans="1:3" ht="12.75">
      <c r="A545"/>
      <c r="B545"/>
      <c r="C545"/>
    </row>
    <row r="546" spans="1:3" ht="12.75">
      <c r="A546"/>
      <c r="B546"/>
      <c r="C546"/>
    </row>
    <row r="547" spans="1:3" ht="12.75">
      <c r="A547"/>
      <c r="B547"/>
      <c r="C547"/>
    </row>
    <row r="548" spans="1:3" ht="12.75">
      <c r="A548"/>
      <c r="B548"/>
      <c r="C548"/>
    </row>
    <row r="549" spans="1:3" ht="12.75">
      <c r="A549"/>
      <c r="B549"/>
      <c r="C549"/>
    </row>
    <row r="550" spans="1:3" ht="12.75">
      <c r="A550"/>
      <c r="B550"/>
      <c r="C550"/>
    </row>
    <row r="551" spans="1:3" ht="12.75">
      <c r="A551"/>
      <c r="B551"/>
      <c r="C551"/>
    </row>
    <row r="552" spans="1:3" ht="12.75">
      <c r="A552"/>
      <c r="B552"/>
      <c r="C552"/>
    </row>
    <row r="553" spans="1:3" ht="12.75">
      <c r="A553"/>
      <c r="B553"/>
      <c r="C553"/>
    </row>
    <row r="554" spans="1:3" ht="12.75">
      <c r="A554"/>
      <c r="B554"/>
      <c r="C554"/>
    </row>
    <row r="555" spans="1:3" ht="12.75">
      <c r="A555"/>
      <c r="B555"/>
      <c r="C555"/>
    </row>
    <row r="556" spans="1:3" ht="12.75">
      <c r="A556"/>
      <c r="B556"/>
      <c r="C556"/>
    </row>
    <row r="557" spans="1:3" ht="12.75">
      <c r="A557"/>
      <c r="B557"/>
      <c r="C557"/>
    </row>
    <row r="558" spans="1:3" ht="12.75">
      <c r="A558"/>
      <c r="B558"/>
      <c r="C558"/>
    </row>
    <row r="559" spans="1:3" ht="12.75">
      <c r="A559"/>
      <c r="B559"/>
      <c r="C559"/>
    </row>
    <row r="560" spans="1:3" ht="12.75">
      <c r="A560"/>
      <c r="B560"/>
      <c r="C560"/>
    </row>
    <row r="561" spans="1:3" ht="12.75">
      <c r="A561"/>
      <c r="B561"/>
      <c r="C561"/>
    </row>
    <row r="562" spans="1:3" ht="12.75">
      <c r="A562"/>
      <c r="B562"/>
      <c r="C562"/>
    </row>
    <row r="563" spans="1:3" ht="12.75">
      <c r="A563"/>
      <c r="B563"/>
      <c r="C563"/>
    </row>
    <row r="564" spans="1:3" ht="12.75">
      <c r="A564"/>
      <c r="B564"/>
      <c r="C564"/>
    </row>
    <row r="565" spans="1:3" ht="12.75">
      <c r="A565"/>
      <c r="B565"/>
      <c r="C565"/>
    </row>
    <row r="566" spans="1:3" ht="12.75">
      <c r="A566"/>
      <c r="B566"/>
      <c r="C566"/>
    </row>
    <row r="567" spans="1:3" ht="12.75">
      <c r="A567"/>
      <c r="B567"/>
      <c r="C567"/>
    </row>
    <row r="568" spans="1:3" ht="12.75">
      <c r="A568"/>
      <c r="B568"/>
      <c r="C568"/>
    </row>
    <row r="569" spans="1:3" ht="12.75">
      <c r="A569"/>
      <c r="B569"/>
      <c r="C569"/>
    </row>
    <row r="570" spans="1:3" ht="12.75">
      <c r="A570"/>
      <c r="B570"/>
      <c r="C570"/>
    </row>
    <row r="571" spans="1:3" ht="12.75">
      <c r="A571"/>
      <c r="B571"/>
      <c r="C571"/>
    </row>
    <row r="572" spans="1:3" ht="12.75">
      <c r="A572"/>
      <c r="B572"/>
      <c r="C572"/>
    </row>
    <row r="573" spans="1:3" ht="12.75">
      <c r="A573"/>
      <c r="B573"/>
      <c r="C573"/>
    </row>
    <row r="574" spans="1:3" ht="12.75">
      <c r="A574"/>
      <c r="B574"/>
      <c r="C574"/>
    </row>
    <row r="575" spans="1:3" ht="12.75">
      <c r="A575"/>
      <c r="B575"/>
      <c r="C575"/>
    </row>
    <row r="576" spans="1:3" ht="12.75">
      <c r="A576"/>
      <c r="B576"/>
      <c r="C576"/>
    </row>
    <row r="577" spans="1:3" ht="12.75">
      <c r="A577"/>
      <c r="B577"/>
      <c r="C577"/>
    </row>
    <row r="578" spans="1:3" ht="12.75">
      <c r="A578"/>
      <c r="B578"/>
      <c r="C578"/>
    </row>
    <row r="579" spans="1:3" ht="12.75">
      <c r="A579"/>
      <c r="B579"/>
      <c r="C579"/>
    </row>
    <row r="580" spans="1:3" ht="12.75">
      <c r="A580"/>
      <c r="B580"/>
      <c r="C580"/>
    </row>
    <row r="581" spans="1:3" ht="12.75">
      <c r="A581"/>
      <c r="B581"/>
      <c r="C581"/>
    </row>
    <row r="582" spans="1:3" ht="12.75">
      <c r="A582"/>
      <c r="B582"/>
      <c r="C582"/>
    </row>
    <row r="583" spans="1:3" ht="12.75">
      <c r="A583"/>
      <c r="B583"/>
      <c r="C583"/>
    </row>
    <row r="584" spans="1:3" ht="12.75">
      <c r="A584"/>
      <c r="B584"/>
      <c r="C584"/>
    </row>
    <row r="585" spans="1:3" ht="12.75">
      <c r="A585"/>
      <c r="B585"/>
      <c r="C585"/>
    </row>
    <row r="586" spans="1:3" ht="12.75">
      <c r="A586"/>
      <c r="B586"/>
      <c r="C586"/>
    </row>
    <row r="587" spans="1:3" ht="12.75">
      <c r="A587"/>
      <c r="B587"/>
      <c r="C587"/>
    </row>
    <row r="588" spans="1:3" ht="12.75">
      <c r="A588"/>
      <c r="B588"/>
      <c r="C588"/>
    </row>
    <row r="589" spans="1:3" ht="12.75">
      <c r="A589"/>
      <c r="B589"/>
      <c r="C589"/>
    </row>
    <row r="590" spans="1:3" ht="12.75">
      <c r="A590"/>
      <c r="B590"/>
      <c r="C590"/>
    </row>
    <row r="591" spans="1:3" ht="12.75">
      <c r="A591"/>
      <c r="B591"/>
      <c r="C591"/>
    </row>
    <row r="592" spans="1:3" ht="12.75">
      <c r="A592"/>
      <c r="B592"/>
      <c r="C592"/>
    </row>
    <row r="593" spans="1:3" ht="12.75">
      <c r="A593"/>
      <c r="B593"/>
      <c r="C593"/>
    </row>
    <row r="594" spans="1:3" ht="12.75">
      <c r="A594"/>
      <c r="B594"/>
      <c r="C594"/>
    </row>
    <row r="595" spans="1:3" ht="12.75">
      <c r="A595"/>
      <c r="B595"/>
      <c r="C595"/>
    </row>
    <row r="596" spans="1:3" ht="12.75">
      <c r="A596"/>
      <c r="B596"/>
      <c r="C596"/>
    </row>
    <row r="597" spans="1:3" ht="12.75">
      <c r="A597"/>
      <c r="B597"/>
      <c r="C597"/>
    </row>
    <row r="598" spans="1:3" ht="12.75">
      <c r="A598"/>
      <c r="B598"/>
      <c r="C598"/>
    </row>
    <row r="599" spans="1:3" ht="12.75">
      <c r="A599"/>
      <c r="B599"/>
      <c r="C599"/>
    </row>
    <row r="600" spans="1:3" ht="12.75">
      <c r="A600"/>
      <c r="B600"/>
      <c r="C600"/>
    </row>
    <row r="601" spans="1:3" ht="12.75">
      <c r="A601"/>
      <c r="B601"/>
      <c r="C601"/>
    </row>
    <row r="602" spans="1:3" ht="12.75">
      <c r="A602"/>
      <c r="B602"/>
      <c r="C602"/>
    </row>
    <row r="603" spans="1:3" ht="12.75">
      <c r="A603"/>
      <c r="B603"/>
      <c r="C603"/>
    </row>
    <row r="604" spans="1:3" ht="12.75">
      <c r="A604"/>
      <c r="B604"/>
      <c r="C604"/>
    </row>
    <row r="605" spans="1:3" ht="12.75">
      <c r="A605"/>
      <c r="B605"/>
      <c r="C605"/>
    </row>
    <row r="606" spans="1:3" ht="12.75">
      <c r="A606"/>
      <c r="B606"/>
      <c r="C606"/>
    </row>
    <row r="607" spans="1:3" ht="12.75">
      <c r="A607"/>
      <c r="B607"/>
      <c r="C607"/>
    </row>
    <row r="608" spans="1:3" ht="12.75">
      <c r="A608"/>
      <c r="B608"/>
      <c r="C608"/>
    </row>
    <row r="609" spans="1:3" ht="12.75">
      <c r="A609"/>
      <c r="B609"/>
      <c r="C609"/>
    </row>
    <row r="610" spans="1:3" ht="12.75">
      <c r="A610"/>
      <c r="B610"/>
      <c r="C610"/>
    </row>
    <row r="611" spans="1:3" ht="12.75">
      <c r="A611"/>
      <c r="B611"/>
      <c r="C611"/>
    </row>
    <row r="612" spans="1:3" ht="12.75">
      <c r="A612"/>
      <c r="B612"/>
      <c r="C612"/>
    </row>
    <row r="613" spans="1:3" ht="12.75">
      <c r="A613"/>
      <c r="B613"/>
      <c r="C613"/>
    </row>
    <row r="614" spans="1:3" ht="12.75">
      <c r="A614"/>
      <c r="B614"/>
      <c r="C614"/>
    </row>
    <row r="615" spans="1:3" ht="12.75">
      <c r="A615"/>
      <c r="B615"/>
      <c r="C615"/>
    </row>
    <row r="616" spans="1:3" ht="12.75">
      <c r="A616"/>
      <c r="B616"/>
      <c r="C616"/>
    </row>
    <row r="617" spans="1:3" ht="12.75">
      <c r="A617"/>
      <c r="B617"/>
      <c r="C617"/>
    </row>
    <row r="618" spans="1:3" ht="12.75">
      <c r="A618"/>
      <c r="B618"/>
      <c r="C618"/>
    </row>
    <row r="619" spans="1:3" ht="12.75">
      <c r="A619"/>
      <c r="B619"/>
      <c r="C619"/>
    </row>
    <row r="620" spans="1:3" ht="12.75">
      <c r="A620"/>
      <c r="B620"/>
      <c r="C620"/>
    </row>
    <row r="621" spans="1:3" ht="12.75">
      <c r="A621"/>
      <c r="B621"/>
      <c r="C621"/>
    </row>
    <row r="622" spans="1:3" ht="12.75">
      <c r="A622"/>
      <c r="B622"/>
      <c r="C622"/>
    </row>
    <row r="623" spans="1:3" ht="12.75">
      <c r="A623"/>
      <c r="B623"/>
      <c r="C623"/>
    </row>
    <row r="624" spans="1:3" ht="12.75">
      <c r="A624"/>
      <c r="B624"/>
      <c r="C624"/>
    </row>
    <row r="625" spans="1:3" ht="12.75">
      <c r="A625"/>
      <c r="B625"/>
      <c r="C625"/>
    </row>
    <row r="626" spans="1:3" ht="12.75">
      <c r="A626"/>
      <c r="B626"/>
      <c r="C626"/>
    </row>
    <row r="627" spans="1:3" ht="12.75">
      <c r="A627"/>
      <c r="B627"/>
      <c r="C627"/>
    </row>
    <row r="628" spans="1:3" ht="12.75">
      <c r="A628"/>
      <c r="B628"/>
      <c r="C628"/>
    </row>
    <row r="629" spans="1:3" ht="12.75">
      <c r="A629"/>
      <c r="B629"/>
      <c r="C629"/>
    </row>
    <row r="630" spans="1:3" ht="12.75">
      <c r="A630"/>
      <c r="B630"/>
      <c r="C630"/>
    </row>
    <row r="631" spans="1:3" ht="12.75">
      <c r="A631"/>
      <c r="B631"/>
      <c r="C631"/>
    </row>
    <row r="632" spans="1:3" ht="12.75">
      <c r="A632"/>
      <c r="B632"/>
      <c r="C632"/>
    </row>
    <row r="633" spans="1:3" ht="12.75">
      <c r="A633"/>
      <c r="B633"/>
      <c r="C633"/>
    </row>
    <row r="634" spans="1:3" ht="12.75">
      <c r="A634"/>
      <c r="B634"/>
      <c r="C634"/>
    </row>
    <row r="635" spans="1:3" ht="12.75">
      <c r="A635"/>
      <c r="B635"/>
      <c r="C635"/>
    </row>
    <row r="636" spans="1:3" ht="12.75">
      <c r="A636"/>
      <c r="B636"/>
      <c r="C636"/>
    </row>
    <row r="637" spans="1:3" ht="12.75">
      <c r="A637"/>
      <c r="B637"/>
      <c r="C637"/>
    </row>
    <row r="638" spans="1:3" ht="12.75">
      <c r="A638"/>
      <c r="B638"/>
      <c r="C638"/>
    </row>
    <row r="639" spans="1:3" ht="12.75">
      <c r="A639"/>
      <c r="B639"/>
      <c r="C639"/>
    </row>
    <row r="640" spans="1:3" ht="12.75">
      <c r="A640"/>
      <c r="B640"/>
      <c r="C640"/>
    </row>
    <row r="641" spans="1:3" ht="12.75">
      <c r="A641"/>
      <c r="B641"/>
      <c r="C641"/>
    </row>
    <row r="642" spans="1:3" ht="12.75">
      <c r="A642"/>
      <c r="B642"/>
      <c r="C642"/>
    </row>
    <row r="643" spans="1:3" ht="12.75">
      <c r="A643"/>
      <c r="B643"/>
      <c r="C643"/>
    </row>
    <row r="644" spans="1:3" ht="12.75">
      <c r="A644"/>
      <c r="B644"/>
      <c r="C644"/>
    </row>
    <row r="645" spans="1:3" ht="12.75">
      <c r="A645"/>
      <c r="B645"/>
      <c r="C645"/>
    </row>
    <row r="646" spans="1:3" ht="12.75">
      <c r="A646"/>
      <c r="B646"/>
      <c r="C646"/>
    </row>
    <row r="647" spans="1:3" ht="12.75">
      <c r="A647"/>
      <c r="B647"/>
      <c r="C647"/>
    </row>
    <row r="648" spans="1:3" ht="12.75">
      <c r="A648"/>
      <c r="B648"/>
      <c r="C648"/>
    </row>
    <row r="649" spans="1:3" ht="12.75">
      <c r="A649"/>
      <c r="B649"/>
      <c r="C649"/>
    </row>
    <row r="650" spans="1:3" ht="12.75">
      <c r="A650"/>
      <c r="B650"/>
      <c r="C650"/>
    </row>
    <row r="651" spans="1:3" ht="12.75">
      <c r="A651"/>
      <c r="B651"/>
      <c r="C651"/>
    </row>
    <row r="652" spans="1:3" ht="12.75">
      <c r="A652"/>
      <c r="B652"/>
      <c r="C652"/>
    </row>
    <row r="653" spans="1:3" ht="12.75">
      <c r="A653"/>
      <c r="B653"/>
      <c r="C653"/>
    </row>
    <row r="654" spans="1:3" ht="12.75">
      <c r="A654"/>
      <c r="B654"/>
      <c r="C654"/>
    </row>
    <row r="655" spans="1:3" ht="12.75">
      <c r="A655"/>
      <c r="B655"/>
      <c r="C655"/>
    </row>
    <row r="656" spans="1:3" ht="12.75">
      <c r="A656"/>
      <c r="B656"/>
      <c r="C656"/>
    </row>
    <row r="657" spans="1:3" ht="12.75">
      <c r="A657"/>
      <c r="B657"/>
      <c r="C657"/>
    </row>
    <row r="658" spans="1:3" ht="12.75">
      <c r="A658"/>
      <c r="B658"/>
      <c r="C658"/>
    </row>
    <row r="659" spans="1:3" ht="12.75">
      <c r="A659"/>
      <c r="B659"/>
      <c r="C659"/>
    </row>
    <row r="660" spans="1:3" ht="12.75">
      <c r="A660"/>
      <c r="B660"/>
      <c r="C660"/>
    </row>
    <row r="661" spans="1:3" ht="12.75">
      <c r="A661"/>
      <c r="B661"/>
      <c r="C661"/>
    </row>
    <row r="662" spans="1:3" ht="12.75">
      <c r="A662"/>
      <c r="B662"/>
      <c r="C662"/>
    </row>
    <row r="663" spans="1:3" ht="12.75">
      <c r="A663"/>
      <c r="B663"/>
      <c r="C663"/>
    </row>
    <row r="664" spans="1:3" ht="12.75">
      <c r="A664"/>
      <c r="B664"/>
      <c r="C664"/>
    </row>
    <row r="665" spans="1:3" ht="12.75">
      <c r="A665"/>
      <c r="B665"/>
      <c r="C665"/>
    </row>
    <row r="666" spans="1:3" ht="12.75">
      <c r="A666"/>
      <c r="B666"/>
      <c r="C666"/>
    </row>
    <row r="667" spans="1:3" ht="12.75">
      <c r="A667"/>
      <c r="B667"/>
      <c r="C667"/>
    </row>
    <row r="668" spans="1:3" ht="12.75">
      <c r="A668"/>
      <c r="B668"/>
      <c r="C668"/>
    </row>
    <row r="669" spans="1:3" ht="12.75">
      <c r="A669"/>
      <c r="B669"/>
      <c r="C669"/>
    </row>
    <row r="670" spans="1:3" ht="12.75">
      <c r="A670"/>
      <c r="B670"/>
      <c r="C670"/>
    </row>
    <row r="671" spans="1:3" ht="12.75">
      <c r="A671"/>
      <c r="B671"/>
      <c r="C671"/>
    </row>
    <row r="672" spans="1:3" ht="12.75">
      <c r="A672"/>
      <c r="B672"/>
      <c r="C672"/>
    </row>
    <row r="673" spans="1:3" ht="12.75">
      <c r="A673"/>
      <c r="B673"/>
      <c r="C673"/>
    </row>
    <row r="674" spans="1:3" ht="12.75">
      <c r="A674"/>
      <c r="B674"/>
      <c r="C674"/>
    </row>
    <row r="675" spans="1:3" ht="12.75">
      <c r="A675"/>
      <c r="B675"/>
      <c r="C675"/>
    </row>
    <row r="676" spans="1:3" ht="12.75">
      <c r="A676"/>
      <c r="B676"/>
      <c r="C676"/>
    </row>
    <row r="677" spans="1:3" ht="12.75">
      <c r="A677"/>
      <c r="B677"/>
      <c r="C677"/>
    </row>
    <row r="678" spans="1:3" ht="12.75">
      <c r="A678"/>
      <c r="B678"/>
      <c r="C678"/>
    </row>
    <row r="679" spans="1:3" ht="12.75">
      <c r="A679"/>
      <c r="B679"/>
      <c r="C679"/>
    </row>
    <row r="680" spans="1:3" ht="12.75">
      <c r="A680"/>
      <c r="B680"/>
      <c r="C680"/>
    </row>
    <row r="681" spans="1:3" ht="12.75">
      <c r="A681"/>
      <c r="B681"/>
      <c r="C681"/>
    </row>
    <row r="682" spans="1:3" ht="12.75">
      <c r="A682"/>
      <c r="B682"/>
      <c r="C682"/>
    </row>
    <row r="683" spans="1:3" ht="12.75">
      <c r="A683"/>
      <c r="B683"/>
      <c r="C683"/>
    </row>
    <row r="684" spans="1:3" ht="12.75">
      <c r="A684"/>
      <c r="B684"/>
      <c r="C684"/>
    </row>
    <row r="685" spans="1:3" ht="12.75">
      <c r="A685"/>
      <c r="B685"/>
      <c r="C685"/>
    </row>
    <row r="686" spans="1:3" ht="12.75">
      <c r="A686"/>
      <c r="B686"/>
      <c r="C686"/>
    </row>
    <row r="687" spans="1:3" ht="12.75">
      <c r="A687"/>
      <c r="B687"/>
      <c r="C687"/>
    </row>
    <row r="688" spans="1:3" ht="12.75">
      <c r="A688"/>
      <c r="B688"/>
      <c r="C688"/>
    </row>
    <row r="689" spans="1:3" ht="12.75">
      <c r="A689"/>
      <c r="B689"/>
      <c r="C689"/>
    </row>
    <row r="690" spans="1:3" ht="12.75">
      <c r="A690"/>
      <c r="B690"/>
      <c r="C690"/>
    </row>
    <row r="691" spans="1:3" ht="12.75">
      <c r="A691"/>
      <c r="B691"/>
      <c r="C691"/>
    </row>
    <row r="692" spans="1:3" ht="12.75">
      <c r="A692"/>
      <c r="B692"/>
      <c r="C692"/>
    </row>
    <row r="693" spans="1:3" ht="12.75">
      <c r="A693"/>
      <c r="B693"/>
      <c r="C693"/>
    </row>
    <row r="694" spans="1:3" ht="12.75">
      <c r="A694"/>
      <c r="B694"/>
      <c r="C694"/>
    </row>
    <row r="695" spans="1:3" ht="12.75">
      <c r="A695"/>
      <c r="B695"/>
      <c r="C695"/>
    </row>
    <row r="696" spans="1:3" ht="12.75">
      <c r="A696"/>
      <c r="B696"/>
      <c r="C696"/>
    </row>
    <row r="697" spans="1:3" ht="12.75">
      <c r="A697"/>
      <c r="B697"/>
      <c r="C697"/>
    </row>
    <row r="698" spans="1:3" ht="12.75">
      <c r="A698"/>
      <c r="B698"/>
      <c r="C698"/>
    </row>
    <row r="699" spans="1:3" ht="12.75">
      <c r="A699"/>
      <c r="B699"/>
      <c r="C699"/>
    </row>
    <row r="700" spans="1:3" ht="12.75">
      <c r="A700"/>
      <c r="B700"/>
      <c r="C700"/>
    </row>
    <row r="701" spans="1:3" ht="12.75">
      <c r="A701"/>
      <c r="B701"/>
      <c r="C701"/>
    </row>
    <row r="702" spans="1:3" ht="12.75">
      <c r="A702"/>
      <c r="B702"/>
      <c r="C702"/>
    </row>
    <row r="703" spans="1:3" ht="12.75">
      <c r="A703"/>
      <c r="B703"/>
      <c r="C703"/>
    </row>
    <row r="704" spans="1:3" ht="12.75">
      <c r="A704"/>
      <c r="B704"/>
      <c r="C704"/>
    </row>
    <row r="705" spans="1:3" ht="12.75">
      <c r="A705"/>
      <c r="B705"/>
      <c r="C705"/>
    </row>
    <row r="706" spans="1:3" ht="12.75">
      <c r="A706"/>
      <c r="B706"/>
      <c r="C706"/>
    </row>
    <row r="707" spans="1:3" ht="12.75">
      <c r="A707"/>
      <c r="B707"/>
      <c r="C707"/>
    </row>
    <row r="708" spans="1:3" ht="12.75">
      <c r="A708"/>
      <c r="B708"/>
      <c r="C708"/>
    </row>
    <row r="709" spans="1:3" ht="12.75">
      <c r="A709"/>
      <c r="B709"/>
      <c r="C709"/>
    </row>
    <row r="710" spans="1:3" ht="12.75">
      <c r="A710"/>
      <c r="B710"/>
      <c r="C710"/>
    </row>
    <row r="711" spans="1:3" ht="12.75">
      <c r="A711"/>
      <c r="B711"/>
      <c r="C711"/>
    </row>
    <row r="712" spans="1:3" ht="12.75">
      <c r="A712"/>
      <c r="B712"/>
      <c r="C712"/>
    </row>
    <row r="713" spans="1:3" ht="12.75">
      <c r="A713"/>
      <c r="B713"/>
      <c r="C713"/>
    </row>
    <row r="714" spans="1:3" ht="12.75">
      <c r="A714"/>
      <c r="B714"/>
      <c r="C714"/>
    </row>
    <row r="715" spans="1:3" ht="12.75">
      <c r="A715"/>
      <c r="B715"/>
      <c r="C715"/>
    </row>
    <row r="716" spans="1:3" ht="12.75">
      <c r="A716"/>
      <c r="B716"/>
      <c r="C716"/>
    </row>
    <row r="717" spans="1:3" ht="12.75">
      <c r="A717"/>
      <c r="B717"/>
      <c r="C717"/>
    </row>
    <row r="718" spans="1:3" ht="12.75">
      <c r="A718"/>
      <c r="B718"/>
      <c r="C718"/>
    </row>
    <row r="719" spans="1:3" ht="12.75">
      <c r="A719"/>
      <c r="B719"/>
      <c r="C719"/>
    </row>
    <row r="720" spans="1:3" ht="12.75">
      <c r="A720"/>
      <c r="B720"/>
      <c r="C720"/>
    </row>
    <row r="721" spans="1:3" ht="12.75">
      <c r="A721"/>
      <c r="B721"/>
      <c r="C721"/>
    </row>
    <row r="722" spans="1:3" ht="12.75">
      <c r="A722"/>
      <c r="B722"/>
      <c r="C722"/>
    </row>
    <row r="723" spans="1:3" ht="12.75">
      <c r="A723"/>
      <c r="B723"/>
      <c r="C723"/>
    </row>
    <row r="724" spans="1:3" ht="12.75">
      <c r="A724"/>
      <c r="B724"/>
      <c r="C724"/>
    </row>
    <row r="725" spans="1:3" ht="12.75">
      <c r="A725"/>
      <c r="B725"/>
      <c r="C725"/>
    </row>
    <row r="726" spans="1:3" ht="12.75">
      <c r="A726"/>
      <c r="B726"/>
      <c r="C726"/>
    </row>
    <row r="727" spans="1:3" ht="12.75">
      <c r="A727"/>
      <c r="B727"/>
      <c r="C727"/>
    </row>
    <row r="728" spans="1:3" ht="12.75">
      <c r="A728"/>
      <c r="B728"/>
      <c r="C728"/>
    </row>
    <row r="729" spans="1:3" ht="12.75">
      <c r="A729"/>
      <c r="B729"/>
      <c r="C729"/>
    </row>
    <row r="730" spans="1:3" ht="12.75">
      <c r="A730"/>
      <c r="B730"/>
      <c r="C730"/>
    </row>
    <row r="731" spans="1:3" ht="12.75">
      <c r="A731"/>
      <c r="B731"/>
      <c r="C731"/>
    </row>
    <row r="732" spans="1:3" ht="12.75">
      <c r="A732"/>
      <c r="B732"/>
      <c r="C732"/>
    </row>
    <row r="733" spans="1:3" ht="12.75">
      <c r="A733"/>
      <c r="B733"/>
      <c r="C733"/>
    </row>
    <row r="734" spans="1:3" ht="12.75">
      <c r="A734"/>
      <c r="B734"/>
      <c r="C734"/>
    </row>
    <row r="735" spans="1:3" ht="12.75">
      <c r="A735"/>
      <c r="B735"/>
      <c r="C735"/>
    </row>
    <row r="736" spans="1:3" ht="12.75">
      <c r="A736"/>
      <c r="B736"/>
      <c r="C736"/>
    </row>
    <row r="737" spans="1:3" ht="12.75">
      <c r="A737"/>
      <c r="B737"/>
      <c r="C737"/>
    </row>
    <row r="738" spans="1:3" ht="12.75">
      <c r="A738"/>
      <c r="B738"/>
      <c r="C738"/>
    </row>
    <row r="739" spans="1:3" ht="12.75">
      <c r="A739"/>
      <c r="B739"/>
      <c r="C739"/>
    </row>
    <row r="740" spans="1:3" ht="12.75">
      <c r="A740"/>
      <c r="B740"/>
      <c r="C740"/>
    </row>
    <row r="741" spans="1:3" ht="12.75">
      <c r="A741"/>
      <c r="B741"/>
      <c r="C741"/>
    </row>
    <row r="742" spans="1:3" ht="12.75">
      <c r="A742"/>
      <c r="B742"/>
      <c r="C742"/>
    </row>
    <row r="743" spans="1:3" ht="12.75">
      <c r="A743"/>
      <c r="B743"/>
      <c r="C743"/>
    </row>
    <row r="744" spans="1:3" ht="12.75">
      <c r="A744"/>
      <c r="B744"/>
      <c r="C744"/>
    </row>
    <row r="745" spans="1:3" ht="12.75">
      <c r="A745"/>
      <c r="B745"/>
      <c r="C745"/>
    </row>
    <row r="746" spans="1:3" ht="12.75">
      <c r="A746"/>
      <c r="B746"/>
      <c r="C746"/>
    </row>
    <row r="747" spans="1:3" ht="12.75">
      <c r="A747"/>
      <c r="B747"/>
      <c r="C747"/>
    </row>
    <row r="748" spans="1:3" ht="12.75">
      <c r="A748"/>
      <c r="B748"/>
      <c r="C748"/>
    </row>
    <row r="749" spans="1:3" ht="12.75">
      <c r="A749"/>
      <c r="B749"/>
      <c r="C749"/>
    </row>
    <row r="750" spans="1:3" ht="12.75">
      <c r="A750"/>
      <c r="B750"/>
      <c r="C750"/>
    </row>
    <row r="751" spans="1:3" ht="12.75">
      <c r="A751"/>
      <c r="B751"/>
      <c r="C751"/>
    </row>
    <row r="752" spans="1:3" ht="12.75">
      <c r="A752"/>
      <c r="B752"/>
      <c r="C752"/>
    </row>
    <row r="753" spans="1:3" ht="12.75">
      <c r="A753"/>
      <c r="B753"/>
      <c r="C753"/>
    </row>
    <row r="754" spans="1:3" ht="12.75">
      <c r="A754"/>
      <c r="B754"/>
      <c r="C754"/>
    </row>
  </sheetData>
  <pageMargins left="0.7" right="0.7" top="0" bottom="0" header="0.3" footer="0.3"/>
  <pageSetup scale="75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E34"/>
  <sheetViews>
    <sheetView workbookViewId="0">
      <selection activeCell="E19" sqref="E19"/>
    </sheetView>
  </sheetViews>
  <sheetFormatPr defaultColWidth="9.140625" defaultRowHeight="12.75"/>
  <cols>
    <col min="1" max="1" width="9.140625" style="23"/>
    <col min="2" max="2" width="31.5703125" style="23" bestFit="1" customWidth="1"/>
    <col min="3" max="3" width="2.5703125" style="23" customWidth="1"/>
    <col min="4" max="4" width="9.140625" style="23"/>
    <col min="5" max="5" width="34.5703125" style="23" bestFit="1" customWidth="1"/>
    <col min="6" max="16384" width="9.140625" style="23"/>
  </cols>
  <sheetData>
    <row r="1" spans="1:5">
      <c r="A1" s="99" t="s">
        <v>11</v>
      </c>
      <c r="B1" s="99" t="s">
        <v>12</v>
      </c>
      <c r="D1" s="99" t="s">
        <v>11</v>
      </c>
      <c r="E1" s="99" t="s">
        <v>12</v>
      </c>
    </row>
    <row r="2" spans="1:5">
      <c r="A2" s="100" t="s">
        <v>115</v>
      </c>
      <c r="B2" s="101" t="s">
        <v>80</v>
      </c>
      <c r="D2" s="100" t="s">
        <v>114</v>
      </c>
      <c r="E2" s="101" t="s">
        <v>86</v>
      </c>
    </row>
    <row r="3" spans="1:5">
      <c r="A3" s="100" t="s">
        <v>116</v>
      </c>
      <c r="B3" s="101" t="s">
        <v>93</v>
      </c>
      <c r="D3" s="100" t="s">
        <v>122</v>
      </c>
      <c r="E3" s="101" t="s">
        <v>165</v>
      </c>
    </row>
    <row r="4" spans="1:5">
      <c r="A4" s="100" t="s">
        <v>117</v>
      </c>
      <c r="B4" s="101" t="s">
        <v>98</v>
      </c>
      <c r="D4" s="100" t="s">
        <v>139</v>
      </c>
      <c r="E4" s="101" t="s">
        <v>87</v>
      </c>
    </row>
    <row r="5" spans="1:5">
      <c r="A5" s="100" t="s">
        <v>118</v>
      </c>
      <c r="B5" s="101" t="s">
        <v>81</v>
      </c>
      <c r="D5" s="100" t="s">
        <v>132</v>
      </c>
      <c r="E5" s="101" t="s">
        <v>77</v>
      </c>
    </row>
    <row r="6" spans="1:5">
      <c r="A6" s="100" t="s">
        <v>119</v>
      </c>
      <c r="B6" s="101" t="s">
        <v>92</v>
      </c>
      <c r="D6" s="100" t="s">
        <v>143</v>
      </c>
      <c r="E6" s="101" t="s">
        <v>88</v>
      </c>
    </row>
    <row r="7" spans="1:5">
      <c r="A7" s="100" t="s">
        <v>120</v>
      </c>
      <c r="B7" s="101" t="s">
        <v>145</v>
      </c>
      <c r="D7" s="100" t="s">
        <v>126</v>
      </c>
      <c r="E7" s="101" t="s">
        <v>89</v>
      </c>
    </row>
    <row r="8" spans="1:5">
      <c r="A8" s="100" t="s">
        <v>121</v>
      </c>
      <c r="B8" s="101" t="s">
        <v>105</v>
      </c>
      <c r="D8" s="100" t="s">
        <v>128</v>
      </c>
      <c r="E8" s="101" t="s">
        <v>90</v>
      </c>
    </row>
    <row r="9" spans="1:5">
      <c r="A9" s="100" t="s">
        <v>122</v>
      </c>
      <c r="B9" s="101" t="s">
        <v>165</v>
      </c>
      <c r="D9" s="100" t="s">
        <v>142</v>
      </c>
      <c r="E9" s="101" t="s">
        <v>91</v>
      </c>
    </row>
    <row r="10" spans="1:5">
      <c r="A10" s="100" t="s">
        <v>123</v>
      </c>
      <c r="B10" s="101" t="s">
        <v>95</v>
      </c>
      <c r="D10" s="100" t="s">
        <v>133</v>
      </c>
      <c r="E10" s="101" t="s">
        <v>78</v>
      </c>
    </row>
    <row r="11" spans="1:5">
      <c r="A11" s="100" t="s">
        <v>124</v>
      </c>
      <c r="B11" s="101" t="s">
        <v>94</v>
      </c>
      <c r="D11" s="100" t="s">
        <v>131</v>
      </c>
      <c r="E11" s="101" t="s">
        <v>146</v>
      </c>
    </row>
    <row r="12" spans="1:5">
      <c r="A12" s="100" t="s">
        <v>125</v>
      </c>
      <c r="B12" s="101" t="s">
        <v>99</v>
      </c>
      <c r="D12" s="100" t="s">
        <v>137</v>
      </c>
      <c r="E12" s="101" t="s">
        <v>79</v>
      </c>
    </row>
    <row r="13" spans="1:5">
      <c r="A13" s="100" t="s">
        <v>126</v>
      </c>
      <c r="B13" s="101" t="s">
        <v>89</v>
      </c>
      <c r="D13" s="100" t="s">
        <v>119</v>
      </c>
      <c r="E13" s="101" t="s">
        <v>92</v>
      </c>
    </row>
    <row r="14" spans="1:5">
      <c r="A14" s="100" t="s">
        <v>127</v>
      </c>
      <c r="B14" s="101" t="s">
        <v>96</v>
      </c>
      <c r="D14" s="100" t="s">
        <v>180</v>
      </c>
      <c r="E14" s="101" t="s">
        <v>181</v>
      </c>
    </row>
    <row r="15" spans="1:5">
      <c r="A15" s="100" t="s">
        <v>128</v>
      </c>
      <c r="B15" s="101" t="s">
        <v>90</v>
      </c>
      <c r="D15" s="100" t="s">
        <v>116</v>
      </c>
      <c r="E15" s="101" t="s">
        <v>93</v>
      </c>
    </row>
    <row r="16" spans="1:5">
      <c r="A16" s="100" t="s">
        <v>129</v>
      </c>
      <c r="B16" s="101" t="s">
        <v>112</v>
      </c>
      <c r="D16" s="100" t="s">
        <v>124</v>
      </c>
      <c r="E16" s="101" t="s">
        <v>94</v>
      </c>
    </row>
    <row r="17" spans="1:5">
      <c r="A17" s="100" t="s">
        <v>130</v>
      </c>
      <c r="B17" s="101" t="s">
        <v>85</v>
      </c>
      <c r="D17" s="100" t="s">
        <v>123</v>
      </c>
      <c r="E17" s="101" t="s">
        <v>95</v>
      </c>
    </row>
    <row r="18" spans="1:5">
      <c r="A18" s="100" t="s">
        <v>131</v>
      </c>
      <c r="B18" s="101" t="s">
        <v>146</v>
      </c>
      <c r="D18" s="100" t="s">
        <v>140</v>
      </c>
      <c r="E18" s="101" t="s">
        <v>223</v>
      </c>
    </row>
    <row r="19" spans="1:5">
      <c r="A19" s="100" t="s">
        <v>132</v>
      </c>
      <c r="B19" s="101" t="s">
        <v>77</v>
      </c>
      <c r="D19" s="100" t="s">
        <v>127</v>
      </c>
      <c r="E19" s="101" t="s">
        <v>96</v>
      </c>
    </row>
    <row r="20" spans="1:5">
      <c r="A20" s="100" t="s">
        <v>133</v>
      </c>
      <c r="B20" s="101" t="s">
        <v>78</v>
      </c>
      <c r="D20" s="100" t="s">
        <v>117</v>
      </c>
      <c r="E20" s="101" t="s">
        <v>98</v>
      </c>
    </row>
    <row r="21" spans="1:5">
      <c r="A21" s="100" t="s">
        <v>134</v>
      </c>
      <c r="B21" s="101" t="s">
        <v>83</v>
      </c>
      <c r="D21" s="100" t="s">
        <v>115</v>
      </c>
      <c r="E21" s="101" t="s">
        <v>80</v>
      </c>
    </row>
    <row r="22" spans="1:5">
      <c r="A22" s="100" t="s">
        <v>135</v>
      </c>
      <c r="B22" s="101" t="s">
        <v>84</v>
      </c>
      <c r="D22" s="100" t="s">
        <v>125</v>
      </c>
      <c r="E22" s="101" t="s">
        <v>99</v>
      </c>
    </row>
    <row r="23" spans="1:5">
      <c r="A23" s="100" t="s">
        <v>136</v>
      </c>
      <c r="B23" s="101" t="s">
        <v>111</v>
      </c>
      <c r="D23" s="100" t="s">
        <v>141</v>
      </c>
      <c r="E23" s="101" t="s">
        <v>102</v>
      </c>
    </row>
    <row r="24" spans="1:5">
      <c r="A24" s="100" t="s">
        <v>137</v>
      </c>
      <c r="B24" s="101" t="s">
        <v>79</v>
      </c>
      <c r="D24" s="100">
        <v>89</v>
      </c>
      <c r="E24" s="101" t="s">
        <v>204</v>
      </c>
    </row>
    <row r="25" spans="1:5">
      <c r="A25" s="100" t="s">
        <v>138</v>
      </c>
      <c r="B25" s="101" t="s">
        <v>106</v>
      </c>
      <c r="D25" s="100">
        <v>90</v>
      </c>
      <c r="E25" s="101" t="s">
        <v>205</v>
      </c>
    </row>
    <row r="26" spans="1:5">
      <c r="A26" s="100" t="s">
        <v>139</v>
      </c>
      <c r="B26" s="101" t="s">
        <v>87</v>
      </c>
      <c r="D26" s="100" t="s">
        <v>120</v>
      </c>
      <c r="E26" s="101" t="s">
        <v>145</v>
      </c>
    </row>
    <row r="27" spans="1:5">
      <c r="A27" s="100" t="s">
        <v>140</v>
      </c>
      <c r="B27" s="101" t="s">
        <v>223</v>
      </c>
      <c r="D27" s="100" t="s">
        <v>121</v>
      </c>
      <c r="E27" s="101" t="s">
        <v>105</v>
      </c>
    </row>
    <row r="28" spans="1:5">
      <c r="A28" s="100" t="s">
        <v>141</v>
      </c>
      <c r="B28" s="101" t="s">
        <v>102</v>
      </c>
      <c r="D28" s="100" t="s">
        <v>118</v>
      </c>
      <c r="E28" s="101" t="s">
        <v>81</v>
      </c>
    </row>
    <row r="29" spans="1:5">
      <c r="A29" s="100" t="s">
        <v>114</v>
      </c>
      <c r="B29" s="101" t="s">
        <v>86</v>
      </c>
      <c r="D29" s="100" t="s">
        <v>138</v>
      </c>
      <c r="E29" s="101" t="s">
        <v>106</v>
      </c>
    </row>
    <row r="30" spans="1:5">
      <c r="A30" s="100" t="s">
        <v>142</v>
      </c>
      <c r="B30" s="101" t="s">
        <v>91</v>
      </c>
      <c r="D30" s="100" t="s">
        <v>136</v>
      </c>
      <c r="E30" s="101" t="s">
        <v>111</v>
      </c>
    </row>
    <row r="31" spans="1:5">
      <c r="A31" s="100" t="s">
        <v>143</v>
      </c>
      <c r="B31" s="101" t="s">
        <v>88</v>
      </c>
      <c r="D31" s="100" t="s">
        <v>134</v>
      </c>
      <c r="E31" s="101" t="s">
        <v>83</v>
      </c>
    </row>
    <row r="32" spans="1:5">
      <c r="A32" s="100" t="s">
        <v>144</v>
      </c>
      <c r="B32" s="101" t="s">
        <v>204</v>
      </c>
      <c r="D32" s="100" t="s">
        <v>129</v>
      </c>
      <c r="E32" s="101" t="s">
        <v>112</v>
      </c>
    </row>
    <row r="33" spans="1:5">
      <c r="A33" s="100" t="s">
        <v>212</v>
      </c>
      <c r="B33" s="101" t="s">
        <v>205</v>
      </c>
      <c r="D33" s="100" t="s">
        <v>135</v>
      </c>
      <c r="E33" s="101" t="s">
        <v>84</v>
      </c>
    </row>
    <row r="34" spans="1:5">
      <c r="A34" s="100" t="s">
        <v>180</v>
      </c>
      <c r="B34" s="101" t="s">
        <v>181</v>
      </c>
      <c r="D34" s="100" t="s">
        <v>130</v>
      </c>
      <c r="E34" s="101" t="s">
        <v>85</v>
      </c>
    </row>
  </sheetData>
  <phoneticPr fontId="0" type="noConversion"/>
  <pageMargins left="0.75" right="0.75" top="1" bottom="1" header="0.5" footer="0.5"/>
  <pageSetup orientation="portrait" r:id="rId1"/>
  <headerFooter alignWithMargins="0">
    <oddFooter>&amp;L&amp;"Calibri,Regular"&amp;F\&amp;A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topLeftCell="A22" workbookViewId="0">
      <selection activeCell="A5" sqref="A5"/>
    </sheetView>
  </sheetViews>
  <sheetFormatPr defaultRowHeight="12.75"/>
  <cols>
    <col min="1" max="1" width="23.85546875" customWidth="1"/>
    <col min="2" max="2" width="16.140625" customWidth="1"/>
    <col min="3" max="3" width="10.42578125" customWidth="1"/>
    <col min="4" max="4" width="11.42578125" customWidth="1"/>
    <col min="5" max="5" width="12.42578125" customWidth="1"/>
    <col min="6" max="6" width="12.140625" customWidth="1"/>
    <col min="8" max="8" width="16.42578125" bestFit="1" customWidth="1"/>
    <col min="9" max="9" width="12.85546875" bestFit="1" customWidth="1"/>
  </cols>
  <sheetData>
    <row r="1" spans="1:9">
      <c r="A1" s="406" t="s">
        <v>13</v>
      </c>
      <c r="B1" t="s">
        <v>195</v>
      </c>
    </row>
    <row r="3" spans="1:9">
      <c r="A3" s="406" t="s">
        <v>194</v>
      </c>
      <c r="B3" s="406" t="s">
        <v>772</v>
      </c>
    </row>
    <row r="4" spans="1:9">
      <c r="A4" s="406" t="s">
        <v>771</v>
      </c>
      <c r="B4" t="s">
        <v>220</v>
      </c>
      <c r="C4" t="s">
        <v>230</v>
      </c>
      <c r="D4" t="s">
        <v>229</v>
      </c>
      <c r="E4" t="s">
        <v>193</v>
      </c>
      <c r="H4" s="389" t="s">
        <v>785</v>
      </c>
    </row>
    <row r="5" spans="1:9">
      <c r="A5" s="407" t="s">
        <v>41</v>
      </c>
      <c r="B5" s="405">
        <v>17047071</v>
      </c>
      <c r="C5" s="405"/>
      <c r="D5" s="405">
        <v>1502560</v>
      </c>
      <c r="E5" s="405">
        <v>18549631</v>
      </c>
      <c r="H5">
        <v>18549631</v>
      </c>
      <c r="I5" s="405">
        <f>H5-E5</f>
        <v>0</v>
      </c>
    </row>
    <row r="6" spans="1:9">
      <c r="A6" s="407" t="s">
        <v>21</v>
      </c>
      <c r="B6" s="405">
        <v>27497856</v>
      </c>
      <c r="C6" s="405"/>
      <c r="D6" s="405">
        <v>2150891</v>
      </c>
      <c r="E6" s="405">
        <v>29648747</v>
      </c>
      <c r="H6">
        <v>29648747</v>
      </c>
      <c r="I6" s="405">
        <f t="shared" ref="I6:I37" si="0">H6-E6</f>
        <v>0</v>
      </c>
    </row>
    <row r="7" spans="1:9">
      <c r="A7" s="407" t="s">
        <v>38</v>
      </c>
      <c r="B7" s="405">
        <v>9297967</v>
      </c>
      <c r="C7" s="405">
        <v>1996296</v>
      </c>
      <c r="D7" s="405">
        <v>934644</v>
      </c>
      <c r="E7" s="405">
        <v>12228907</v>
      </c>
      <c r="H7">
        <v>12228907</v>
      </c>
      <c r="I7" s="405">
        <f t="shared" si="0"/>
        <v>0</v>
      </c>
    </row>
    <row r="8" spans="1:9">
      <c r="A8" s="407" t="s">
        <v>31</v>
      </c>
      <c r="B8" s="405">
        <v>8572202</v>
      </c>
      <c r="C8" s="405"/>
      <c r="D8" s="405">
        <v>821108</v>
      </c>
      <c r="E8" s="405">
        <v>9393310</v>
      </c>
      <c r="H8">
        <v>9393310</v>
      </c>
      <c r="I8" s="405">
        <f t="shared" si="0"/>
        <v>0</v>
      </c>
    </row>
    <row r="9" spans="1:9">
      <c r="A9" s="407" t="s">
        <v>43</v>
      </c>
      <c r="B9" s="405">
        <v>7834413</v>
      </c>
      <c r="C9" s="405"/>
      <c r="D9" s="405">
        <v>1352982</v>
      </c>
      <c r="E9" s="405">
        <v>9187395</v>
      </c>
      <c r="H9">
        <v>9187395</v>
      </c>
      <c r="I9" s="405">
        <f t="shared" si="0"/>
        <v>0</v>
      </c>
    </row>
    <row r="10" spans="1:9">
      <c r="A10" s="407" t="s">
        <v>25</v>
      </c>
      <c r="B10" s="405">
        <v>9818361</v>
      </c>
      <c r="C10" s="405"/>
      <c r="D10" s="405">
        <v>1153485</v>
      </c>
      <c r="E10" s="405">
        <v>10971846</v>
      </c>
      <c r="H10">
        <v>10971846</v>
      </c>
      <c r="I10" s="405">
        <f t="shared" si="0"/>
        <v>0</v>
      </c>
    </row>
    <row r="11" spans="1:9">
      <c r="A11" s="407" t="s">
        <v>27</v>
      </c>
      <c r="B11" s="405">
        <v>25869213</v>
      </c>
      <c r="C11" s="405"/>
      <c r="D11" s="405">
        <v>2116638</v>
      </c>
      <c r="E11" s="405">
        <v>27985851</v>
      </c>
      <c r="H11">
        <v>27985851</v>
      </c>
      <c r="I11" s="405">
        <f t="shared" si="0"/>
        <v>0</v>
      </c>
    </row>
    <row r="12" spans="1:9">
      <c r="A12" s="407" t="s">
        <v>42</v>
      </c>
      <c r="B12" s="405">
        <v>16913074</v>
      </c>
      <c r="C12" s="405"/>
      <c r="D12" s="405">
        <v>1216790</v>
      </c>
      <c r="E12" s="405">
        <v>18129864</v>
      </c>
      <c r="H12">
        <v>18129864</v>
      </c>
      <c r="I12" s="405">
        <f t="shared" si="0"/>
        <v>0</v>
      </c>
    </row>
    <row r="13" spans="1:9">
      <c r="A13" s="407" t="s">
        <v>32</v>
      </c>
      <c r="B13" s="405">
        <v>17710407</v>
      </c>
      <c r="C13" s="405"/>
      <c r="D13" s="405">
        <v>1588670</v>
      </c>
      <c r="E13" s="405">
        <v>19299077</v>
      </c>
      <c r="H13">
        <v>19299077</v>
      </c>
      <c r="I13" s="405">
        <f t="shared" si="0"/>
        <v>0</v>
      </c>
    </row>
    <row r="14" spans="1:9">
      <c r="A14" s="407" t="s">
        <v>36</v>
      </c>
      <c r="B14" s="405">
        <v>24610060</v>
      </c>
      <c r="C14" s="405"/>
      <c r="D14" s="405">
        <v>918970</v>
      </c>
      <c r="E14" s="405">
        <v>25529030</v>
      </c>
      <c r="H14">
        <v>25529030</v>
      </c>
      <c r="I14" s="405">
        <f t="shared" si="0"/>
        <v>0</v>
      </c>
    </row>
    <row r="15" spans="1:9">
      <c r="A15" s="407" t="s">
        <v>18</v>
      </c>
      <c r="B15" s="405">
        <v>19704342</v>
      </c>
      <c r="C15" s="405"/>
      <c r="D15" s="405">
        <v>2812383</v>
      </c>
      <c r="E15" s="405">
        <v>22516725</v>
      </c>
      <c r="H15">
        <v>22516725</v>
      </c>
      <c r="I15" s="405">
        <f t="shared" si="0"/>
        <v>0</v>
      </c>
    </row>
    <row r="16" spans="1:9">
      <c r="A16" s="407" t="s">
        <v>15</v>
      </c>
      <c r="B16" s="405">
        <v>8192649</v>
      </c>
      <c r="C16" s="405"/>
      <c r="D16" s="405">
        <v>710486</v>
      </c>
      <c r="E16" s="405">
        <v>8903135</v>
      </c>
      <c r="H16">
        <v>8903135</v>
      </c>
      <c r="I16" s="405">
        <f t="shared" si="0"/>
        <v>0</v>
      </c>
    </row>
    <row r="17" spans="1:9">
      <c r="A17" s="407" t="s">
        <v>23</v>
      </c>
      <c r="B17" s="405">
        <v>22406139</v>
      </c>
      <c r="C17" s="405">
        <v>2020580</v>
      </c>
      <c r="D17" s="405">
        <v>1303346</v>
      </c>
      <c r="E17" s="405">
        <v>25730065</v>
      </c>
      <c r="H17">
        <v>25730065</v>
      </c>
      <c r="I17" s="405">
        <f t="shared" si="0"/>
        <v>0</v>
      </c>
    </row>
    <row r="18" spans="1:9">
      <c r="A18" s="407" t="s">
        <v>22</v>
      </c>
      <c r="B18" s="405">
        <v>21444506</v>
      </c>
      <c r="C18" s="405"/>
      <c r="D18" s="405">
        <v>1168417</v>
      </c>
      <c r="E18" s="405">
        <v>22612923</v>
      </c>
      <c r="H18">
        <v>22612923</v>
      </c>
      <c r="I18" s="405">
        <f t="shared" si="0"/>
        <v>0</v>
      </c>
    </row>
    <row r="19" spans="1:9">
      <c r="A19" s="407" t="s">
        <v>39</v>
      </c>
      <c r="B19" s="405">
        <v>12001558</v>
      </c>
      <c r="C19" s="405"/>
      <c r="D19" s="405">
        <v>1472287</v>
      </c>
      <c r="E19" s="405">
        <v>13473845</v>
      </c>
      <c r="H19">
        <v>13473845</v>
      </c>
      <c r="I19" s="405">
        <f t="shared" si="0"/>
        <v>0</v>
      </c>
    </row>
    <row r="20" spans="1:9">
      <c r="A20" s="407" t="s">
        <v>26</v>
      </c>
      <c r="B20" s="405">
        <v>10890688</v>
      </c>
      <c r="C20" s="405">
        <v>2406175</v>
      </c>
      <c r="D20" s="405">
        <v>1065118</v>
      </c>
      <c r="E20" s="405">
        <v>14361981</v>
      </c>
      <c r="H20">
        <v>14361981</v>
      </c>
      <c r="I20" s="405">
        <f t="shared" si="0"/>
        <v>0</v>
      </c>
    </row>
    <row r="21" spans="1:9">
      <c r="A21" s="407" t="s">
        <v>16</v>
      </c>
      <c r="B21" s="405">
        <v>17947377</v>
      </c>
      <c r="C21" s="405"/>
      <c r="D21" s="405">
        <v>1819396</v>
      </c>
      <c r="E21" s="405">
        <v>19766773</v>
      </c>
      <c r="H21">
        <v>19766773</v>
      </c>
      <c r="I21" s="405">
        <f t="shared" si="0"/>
        <v>0</v>
      </c>
    </row>
    <row r="22" spans="1:9">
      <c r="A22" s="407" t="s">
        <v>14</v>
      </c>
      <c r="B22" s="405">
        <v>9886535</v>
      </c>
      <c r="C22" s="405"/>
      <c r="D22" s="405">
        <v>477819</v>
      </c>
      <c r="E22" s="405">
        <v>10364354</v>
      </c>
      <c r="H22">
        <v>10364354</v>
      </c>
      <c r="I22" s="405">
        <f t="shared" si="0"/>
        <v>0</v>
      </c>
    </row>
    <row r="23" spans="1:9">
      <c r="A23" s="407" t="s">
        <v>24</v>
      </c>
      <c r="B23" s="405">
        <v>21818306</v>
      </c>
      <c r="C23" s="405"/>
      <c r="D23" s="405">
        <v>2527421</v>
      </c>
      <c r="E23" s="405">
        <v>24345727</v>
      </c>
      <c r="H23">
        <v>24345728</v>
      </c>
      <c r="I23" s="405">
        <f t="shared" si="0"/>
        <v>1</v>
      </c>
    </row>
    <row r="24" spans="1:9">
      <c r="A24" s="407" t="s">
        <v>40</v>
      </c>
      <c r="B24" s="405">
        <v>14271934</v>
      </c>
      <c r="C24" s="405"/>
      <c r="D24" s="405">
        <v>1507446</v>
      </c>
      <c r="E24" s="405">
        <v>15779380</v>
      </c>
      <c r="H24">
        <v>15779380</v>
      </c>
      <c r="I24" s="405">
        <f t="shared" si="0"/>
        <v>0</v>
      </c>
    </row>
    <row r="25" spans="1:9">
      <c r="A25" s="407" t="s">
        <v>19</v>
      </c>
      <c r="B25" s="405">
        <v>62527895</v>
      </c>
      <c r="C25" s="405"/>
      <c r="D25" s="405">
        <v>1195761</v>
      </c>
      <c r="E25" s="405">
        <v>63723656</v>
      </c>
      <c r="H25">
        <v>63723656</v>
      </c>
      <c r="I25" s="405">
        <f t="shared" si="0"/>
        <v>0</v>
      </c>
    </row>
    <row r="26" spans="1:9">
      <c r="A26" s="407" t="s">
        <v>20</v>
      </c>
      <c r="B26" s="405">
        <v>19575456</v>
      </c>
      <c r="C26" s="405"/>
      <c r="D26" s="405">
        <v>459488</v>
      </c>
      <c r="E26" s="405">
        <v>20034944</v>
      </c>
      <c r="H26">
        <v>20034944</v>
      </c>
      <c r="I26" s="405">
        <f t="shared" si="0"/>
        <v>0</v>
      </c>
    </row>
    <row r="27" spans="1:9">
      <c r="A27" s="407" t="s">
        <v>17</v>
      </c>
      <c r="B27" s="405">
        <v>15571781</v>
      </c>
      <c r="C27" s="405">
        <v>1963325</v>
      </c>
      <c r="D27" s="405">
        <v>1621555</v>
      </c>
      <c r="E27" s="405">
        <v>19156661</v>
      </c>
      <c r="H27">
        <v>19156661</v>
      </c>
      <c r="I27" s="405">
        <f t="shared" si="0"/>
        <v>0</v>
      </c>
    </row>
    <row r="28" spans="1:9">
      <c r="A28" s="407" t="s">
        <v>37</v>
      </c>
      <c r="B28" s="405">
        <v>14259347</v>
      </c>
      <c r="C28" s="405"/>
      <c r="D28" s="405">
        <v>1140194</v>
      </c>
      <c r="E28" s="405">
        <v>15399541</v>
      </c>
      <c r="H28">
        <v>15399541</v>
      </c>
      <c r="I28" s="405">
        <f t="shared" si="0"/>
        <v>0</v>
      </c>
    </row>
    <row r="29" spans="1:9">
      <c r="A29" s="407" t="s">
        <v>30</v>
      </c>
      <c r="B29" s="405">
        <v>50120207</v>
      </c>
      <c r="C29" s="405"/>
      <c r="D29" s="405">
        <v>3242870</v>
      </c>
      <c r="E29" s="405">
        <v>53363077</v>
      </c>
      <c r="H29">
        <v>53363076</v>
      </c>
      <c r="I29" s="405">
        <f t="shared" si="0"/>
        <v>-1</v>
      </c>
    </row>
    <row r="30" spans="1:9">
      <c r="A30" s="407" t="s">
        <v>35</v>
      </c>
      <c r="B30" s="405">
        <v>18065072</v>
      </c>
      <c r="C30" s="405"/>
      <c r="D30" s="405">
        <v>1640578</v>
      </c>
      <c r="E30" s="405">
        <v>19705650</v>
      </c>
      <c r="H30">
        <v>19705650</v>
      </c>
      <c r="I30" s="405">
        <f t="shared" si="0"/>
        <v>0</v>
      </c>
    </row>
    <row r="31" spans="1:9">
      <c r="A31" s="407" t="s">
        <v>33</v>
      </c>
      <c r="B31" s="405">
        <v>14501472</v>
      </c>
      <c r="C31" s="405"/>
      <c r="D31" s="405">
        <v>699358</v>
      </c>
      <c r="E31" s="405">
        <v>15200830</v>
      </c>
      <c r="H31">
        <v>15200830</v>
      </c>
      <c r="I31" s="405">
        <f t="shared" si="0"/>
        <v>0</v>
      </c>
    </row>
    <row r="32" spans="1:9">
      <c r="A32" s="407" t="s">
        <v>28</v>
      </c>
      <c r="B32" s="405">
        <v>10674805</v>
      </c>
      <c r="C32" s="405"/>
      <c r="D32" s="405">
        <v>1322513</v>
      </c>
      <c r="E32" s="405">
        <v>11997318</v>
      </c>
      <c r="H32">
        <v>11997318</v>
      </c>
      <c r="I32" s="405">
        <f t="shared" si="0"/>
        <v>0</v>
      </c>
    </row>
    <row r="33" spans="1:9">
      <c r="A33" s="407" t="s">
        <v>34</v>
      </c>
      <c r="B33" s="405">
        <v>10035456</v>
      </c>
      <c r="C33" s="405"/>
      <c r="D33" s="405">
        <v>1163276</v>
      </c>
      <c r="E33" s="405">
        <v>11198732</v>
      </c>
      <c r="H33">
        <v>11198732</v>
      </c>
      <c r="I33" s="405">
        <f t="shared" si="0"/>
        <v>0</v>
      </c>
    </row>
    <row r="34" spans="1:9">
      <c r="A34" s="407" t="s">
        <v>29</v>
      </c>
      <c r="B34" s="405">
        <v>16450351</v>
      </c>
      <c r="C34" s="405"/>
      <c r="D34" s="405">
        <v>1202902</v>
      </c>
      <c r="E34" s="405">
        <v>17653253</v>
      </c>
      <c r="H34">
        <v>17653253</v>
      </c>
      <c r="I34" s="405">
        <f t="shared" si="0"/>
        <v>0</v>
      </c>
    </row>
    <row r="35" spans="1:9">
      <c r="A35" s="408" t="s">
        <v>204</v>
      </c>
      <c r="B35" s="409">
        <v>16461328</v>
      </c>
      <c r="C35" s="409"/>
      <c r="D35" s="409">
        <v>173300</v>
      </c>
      <c r="E35" s="409">
        <v>16634628</v>
      </c>
      <c r="H35" s="388">
        <v>16634628</v>
      </c>
      <c r="I35" s="405">
        <f t="shared" si="0"/>
        <v>0</v>
      </c>
    </row>
    <row r="36" spans="1:9">
      <c r="A36" s="408" t="s">
        <v>205</v>
      </c>
      <c r="B36" s="409">
        <v>2450540</v>
      </c>
      <c r="C36" s="409"/>
      <c r="D36" s="409">
        <v>3370000</v>
      </c>
      <c r="E36" s="409">
        <v>5820540</v>
      </c>
      <c r="H36" s="387">
        <v>5820540</v>
      </c>
      <c r="I36" s="405">
        <f t="shared" si="0"/>
        <v>0</v>
      </c>
    </row>
    <row r="37" spans="1:9">
      <c r="A37" s="408" t="s">
        <v>181</v>
      </c>
      <c r="B37" s="409">
        <v>51868632</v>
      </c>
      <c r="C37" s="409">
        <v>387624</v>
      </c>
      <c r="D37" s="409">
        <v>2109348</v>
      </c>
      <c r="E37" s="409">
        <v>54365604</v>
      </c>
      <c r="H37">
        <v>54365604</v>
      </c>
      <c r="I37" s="405">
        <f t="shared" si="0"/>
        <v>0</v>
      </c>
    </row>
    <row r="38" spans="1:9">
      <c r="A38" s="407" t="s">
        <v>193</v>
      </c>
      <c r="B38" s="405">
        <v>626297000</v>
      </c>
      <c r="C38" s="405">
        <v>8774000</v>
      </c>
      <c r="D38" s="405">
        <v>47962000</v>
      </c>
      <c r="E38" s="405">
        <v>683033000</v>
      </c>
      <c r="H38">
        <f>SUM(H5:H37)</f>
        <v>683033000</v>
      </c>
      <c r="I38" s="405">
        <f>H38-E38</f>
        <v>0</v>
      </c>
    </row>
    <row r="40" spans="1:9">
      <c r="E40" s="405">
        <v>683033000</v>
      </c>
    </row>
    <row r="41" spans="1:9">
      <c r="E41" s="405">
        <f>E40-GETPIVOTDATA("total",$A$3)</f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I52"/>
  <sheetViews>
    <sheetView zoomScale="80" zoomScaleNormal="80" workbookViewId="0">
      <selection activeCell="D9" sqref="D9"/>
    </sheetView>
  </sheetViews>
  <sheetFormatPr defaultColWidth="9.140625" defaultRowHeight="12.75"/>
  <cols>
    <col min="1" max="1" width="20.42578125" style="6" bestFit="1" customWidth="1"/>
    <col min="2" max="2" width="21.42578125" style="15" customWidth="1"/>
    <col min="3" max="3" width="16.42578125" style="15" customWidth="1"/>
    <col min="4" max="4" width="18.140625" style="15" customWidth="1"/>
    <col min="5" max="5" width="20.5703125" style="15" bestFit="1" customWidth="1"/>
    <col min="6" max="6" width="9.85546875" style="6" bestFit="1" customWidth="1"/>
    <col min="7" max="7" width="13.140625" style="6" customWidth="1"/>
    <col min="8" max="8" width="9.140625" style="6" customWidth="1"/>
    <col min="9" max="16384" width="9.140625" style="6"/>
  </cols>
  <sheetData>
    <row r="1" spans="1:9" s="2" customFormat="1" ht="15.75">
      <c r="B1" s="18"/>
      <c r="C1" s="18"/>
      <c r="D1" s="18"/>
      <c r="E1" s="18"/>
      <c r="F1"/>
    </row>
    <row r="2" spans="1:9" s="1" customFormat="1" ht="15.75">
      <c r="A2" s="17" t="s">
        <v>55</v>
      </c>
      <c r="B2" s="20"/>
      <c r="C2" s="20"/>
      <c r="D2" s="17"/>
      <c r="E2" s="17"/>
      <c r="F2"/>
    </row>
    <row r="3" spans="1:9" s="1" customFormat="1" ht="15.75">
      <c r="A3" s="19" t="str">
        <f>"FY 2016 Allocation #"&amp;'Alloc Sched Data'!B2</f>
        <v>FY 2016 Allocation #1</v>
      </c>
      <c r="B3" s="20"/>
      <c r="C3" s="20"/>
      <c r="D3" s="17"/>
      <c r="E3" s="17"/>
    </row>
    <row r="5" spans="1:9">
      <c r="A5" s="480" t="s">
        <v>1</v>
      </c>
      <c r="B5" s="481"/>
      <c r="C5" s="481"/>
      <c r="D5" s="481"/>
      <c r="E5" s="482"/>
    </row>
    <row r="7" spans="1:9" s="3" customFormat="1" ht="25.5">
      <c r="A7" s="3" t="s">
        <v>2</v>
      </c>
      <c r="B7" s="4" t="s">
        <v>496</v>
      </c>
      <c r="C7" s="116" t="s">
        <v>202</v>
      </c>
      <c r="D7" s="200" t="s">
        <v>200</v>
      </c>
      <c r="E7" s="5" t="s">
        <v>206</v>
      </c>
    </row>
    <row r="8" spans="1:9">
      <c r="B8" s="7"/>
      <c r="C8" s="8"/>
      <c r="D8" s="201"/>
      <c r="E8" s="9"/>
    </row>
    <row r="9" spans="1:9">
      <c r="A9" s="6" t="s">
        <v>41</v>
      </c>
      <c r="B9" s="456">
        <f t="shared" ref="B9:B38" si="0">SUM(C9:E9)</f>
        <v>18550895</v>
      </c>
      <c r="C9" s="457">
        <v>17048335</v>
      </c>
      <c r="D9" s="457">
        <v>1502560</v>
      </c>
      <c r="E9" s="458"/>
      <c r="G9" s="346"/>
      <c r="H9" s="203"/>
      <c r="I9" s="14"/>
    </row>
    <row r="10" spans="1:9">
      <c r="A10" s="325" t="s">
        <v>21</v>
      </c>
      <c r="B10" s="459">
        <f t="shared" si="0"/>
        <v>29651191</v>
      </c>
      <c r="C10" s="460">
        <v>27500300</v>
      </c>
      <c r="D10" s="460">
        <v>2150891</v>
      </c>
      <c r="E10" s="461"/>
      <c r="G10" s="346"/>
      <c r="H10" s="203"/>
      <c r="I10" s="14"/>
    </row>
    <row r="11" spans="1:9">
      <c r="A11" s="6" t="s">
        <v>38</v>
      </c>
      <c r="B11" s="456">
        <f t="shared" si="0"/>
        <v>12229755</v>
      </c>
      <c r="C11" s="457">
        <v>9298815</v>
      </c>
      <c r="D11" s="457">
        <v>934644</v>
      </c>
      <c r="E11" s="458">
        <v>1996296</v>
      </c>
      <c r="G11" s="346"/>
      <c r="H11" s="203"/>
      <c r="I11" s="14"/>
    </row>
    <row r="12" spans="1:9">
      <c r="A12" s="325" t="s">
        <v>31</v>
      </c>
      <c r="B12" s="459">
        <f t="shared" si="0"/>
        <v>9393873</v>
      </c>
      <c r="C12" s="460">
        <v>8572765</v>
      </c>
      <c r="D12" s="460">
        <v>821108</v>
      </c>
      <c r="E12" s="461"/>
      <c r="G12" s="346"/>
      <c r="H12" s="203"/>
      <c r="I12" s="14"/>
    </row>
    <row r="13" spans="1:9">
      <c r="A13" s="6" t="s">
        <v>43</v>
      </c>
      <c r="B13" s="456">
        <f t="shared" si="0"/>
        <v>9145854</v>
      </c>
      <c r="C13" s="457">
        <v>7792872</v>
      </c>
      <c r="D13" s="457">
        <v>1352982</v>
      </c>
      <c r="E13" s="458"/>
      <c r="G13" s="346"/>
      <c r="H13" s="203"/>
      <c r="I13" s="14"/>
    </row>
    <row r="14" spans="1:9">
      <c r="A14" s="325" t="s">
        <v>25</v>
      </c>
      <c r="B14" s="459">
        <f t="shared" si="0"/>
        <v>10972491</v>
      </c>
      <c r="C14" s="460">
        <v>9819006</v>
      </c>
      <c r="D14" s="460">
        <v>1153485</v>
      </c>
      <c r="E14" s="461"/>
      <c r="G14" s="346"/>
      <c r="H14" s="203"/>
      <c r="I14" s="14"/>
    </row>
    <row r="15" spans="1:9">
      <c r="A15" s="6" t="s">
        <v>27</v>
      </c>
      <c r="B15" s="456">
        <f t="shared" si="0"/>
        <v>27988172</v>
      </c>
      <c r="C15" s="457">
        <v>25871534</v>
      </c>
      <c r="D15" s="457">
        <v>2116638</v>
      </c>
      <c r="E15" s="458"/>
      <c r="G15" s="346"/>
      <c r="H15" s="203"/>
      <c r="I15" s="14"/>
    </row>
    <row r="16" spans="1:9">
      <c r="A16" s="325" t="s">
        <v>42</v>
      </c>
      <c r="B16" s="459">
        <f t="shared" si="0"/>
        <v>18131165</v>
      </c>
      <c r="C16" s="460">
        <v>16914375</v>
      </c>
      <c r="D16" s="460">
        <v>1216790</v>
      </c>
      <c r="E16" s="461"/>
      <c r="G16" s="346"/>
      <c r="H16" s="203"/>
      <c r="I16" s="14"/>
    </row>
    <row r="17" spans="1:9">
      <c r="A17" s="6" t="s">
        <v>32</v>
      </c>
      <c r="B17" s="456">
        <f t="shared" si="0"/>
        <v>19300206</v>
      </c>
      <c r="C17" s="457">
        <v>17711536</v>
      </c>
      <c r="D17" s="457">
        <v>1588670</v>
      </c>
      <c r="E17" s="458"/>
      <c r="G17" s="346"/>
      <c r="H17" s="203"/>
      <c r="I17" s="14"/>
    </row>
    <row r="18" spans="1:9">
      <c r="A18" s="325" t="s">
        <v>36</v>
      </c>
      <c r="B18" s="459">
        <f t="shared" si="0"/>
        <v>25530724</v>
      </c>
      <c r="C18" s="460">
        <v>24611754</v>
      </c>
      <c r="D18" s="460">
        <v>918970</v>
      </c>
      <c r="E18" s="461"/>
      <c r="G18" s="346"/>
      <c r="H18" s="203"/>
      <c r="I18" s="14"/>
    </row>
    <row r="19" spans="1:9">
      <c r="A19" s="6" t="s">
        <v>18</v>
      </c>
      <c r="B19" s="456">
        <f t="shared" si="0"/>
        <v>22518258</v>
      </c>
      <c r="C19" s="457">
        <v>19705875</v>
      </c>
      <c r="D19" s="457">
        <v>2812383</v>
      </c>
      <c r="E19" s="458"/>
      <c r="G19" s="346"/>
      <c r="H19" s="203"/>
      <c r="I19" s="14"/>
    </row>
    <row r="20" spans="1:9">
      <c r="A20" s="325" t="s">
        <v>15</v>
      </c>
      <c r="B20" s="459">
        <f t="shared" si="0"/>
        <v>8903642</v>
      </c>
      <c r="C20" s="460">
        <v>8193156</v>
      </c>
      <c r="D20" s="460">
        <v>710486</v>
      </c>
      <c r="E20" s="461"/>
      <c r="G20" s="346"/>
      <c r="H20" s="203"/>
      <c r="I20" s="14"/>
    </row>
    <row r="21" spans="1:9">
      <c r="A21" s="6" t="s">
        <v>23</v>
      </c>
      <c r="B21" s="456">
        <f t="shared" si="0"/>
        <v>25731942</v>
      </c>
      <c r="C21" s="457">
        <v>22408016</v>
      </c>
      <c r="D21" s="457">
        <v>1303346</v>
      </c>
      <c r="E21" s="458">
        <v>2020580</v>
      </c>
      <c r="G21" s="346"/>
      <c r="H21" s="203"/>
      <c r="I21" s="14"/>
    </row>
    <row r="22" spans="1:9">
      <c r="A22" s="325" t="s">
        <v>22</v>
      </c>
      <c r="B22" s="459">
        <f t="shared" si="0"/>
        <v>22614570</v>
      </c>
      <c r="C22" s="460">
        <v>21446153</v>
      </c>
      <c r="D22" s="460">
        <v>1168417</v>
      </c>
      <c r="E22" s="461"/>
      <c r="G22" s="346"/>
      <c r="H22" s="203"/>
      <c r="I22" s="14"/>
    </row>
    <row r="23" spans="1:9">
      <c r="A23" s="6" t="s">
        <v>39</v>
      </c>
      <c r="B23" s="456">
        <f t="shared" si="0"/>
        <v>13475089</v>
      </c>
      <c r="C23" s="457">
        <v>12002802</v>
      </c>
      <c r="D23" s="457">
        <v>1472287</v>
      </c>
      <c r="E23" s="458"/>
      <c r="G23" s="346"/>
      <c r="H23" s="203"/>
      <c r="I23" s="14"/>
    </row>
    <row r="24" spans="1:9">
      <c r="A24" s="325" t="s">
        <v>26</v>
      </c>
      <c r="B24" s="459">
        <f t="shared" si="0"/>
        <v>14362459</v>
      </c>
      <c r="C24" s="460">
        <v>10891166</v>
      </c>
      <c r="D24" s="460">
        <v>1065118</v>
      </c>
      <c r="E24" s="461">
        <v>2406175</v>
      </c>
      <c r="G24" s="346"/>
      <c r="H24" s="203"/>
      <c r="I24" s="14"/>
    </row>
    <row r="25" spans="1:9">
      <c r="A25" s="6" t="s">
        <v>16</v>
      </c>
      <c r="B25" s="456">
        <f t="shared" si="0"/>
        <v>19768158</v>
      </c>
      <c r="C25" s="457">
        <v>17948762</v>
      </c>
      <c r="D25" s="457">
        <v>1819396</v>
      </c>
      <c r="E25" s="458"/>
      <c r="G25" s="346"/>
      <c r="H25" s="203"/>
      <c r="I25" s="14"/>
    </row>
    <row r="26" spans="1:9">
      <c r="A26" s="325" t="s">
        <v>14</v>
      </c>
      <c r="B26" s="459">
        <f t="shared" si="0"/>
        <v>10364946</v>
      </c>
      <c r="C26" s="460">
        <v>9887127</v>
      </c>
      <c r="D26" s="460">
        <v>477819</v>
      </c>
      <c r="E26" s="461"/>
      <c r="G26" s="346"/>
      <c r="H26" s="203"/>
      <c r="I26" s="14"/>
    </row>
    <row r="27" spans="1:9">
      <c r="A27" s="6" t="s">
        <v>24</v>
      </c>
      <c r="B27" s="456">
        <f t="shared" si="0"/>
        <v>24347248</v>
      </c>
      <c r="C27" s="457">
        <v>21819827</v>
      </c>
      <c r="D27" s="457">
        <v>2527421</v>
      </c>
      <c r="E27" s="458"/>
      <c r="G27" s="346"/>
      <c r="H27" s="203"/>
      <c r="I27" s="14"/>
    </row>
    <row r="28" spans="1:9">
      <c r="A28" s="325" t="s">
        <v>40</v>
      </c>
      <c r="B28" s="459">
        <f t="shared" si="0"/>
        <v>15780579</v>
      </c>
      <c r="C28" s="460">
        <v>14273133</v>
      </c>
      <c r="D28" s="460">
        <v>1507446</v>
      </c>
      <c r="E28" s="461"/>
      <c r="G28" s="346"/>
      <c r="H28" s="203"/>
      <c r="I28" s="14"/>
    </row>
    <row r="29" spans="1:9">
      <c r="A29" s="6" t="s">
        <v>19</v>
      </c>
      <c r="B29" s="456">
        <f t="shared" si="0"/>
        <v>63728214</v>
      </c>
      <c r="C29" s="457">
        <v>62532453</v>
      </c>
      <c r="D29" s="457">
        <v>1195761</v>
      </c>
      <c r="E29" s="458"/>
      <c r="G29" s="346"/>
      <c r="H29" s="203"/>
      <c r="I29" s="14"/>
    </row>
    <row r="30" spans="1:9">
      <c r="A30" s="325" t="s">
        <v>20</v>
      </c>
      <c r="B30" s="459">
        <f t="shared" si="0"/>
        <v>20036449</v>
      </c>
      <c r="C30" s="460">
        <v>19576961</v>
      </c>
      <c r="D30" s="460">
        <v>459488</v>
      </c>
      <c r="E30" s="461"/>
      <c r="G30" s="346"/>
      <c r="H30" s="203"/>
      <c r="I30" s="14"/>
    </row>
    <row r="31" spans="1:9">
      <c r="A31" s="6" t="s">
        <v>17</v>
      </c>
      <c r="B31" s="456">
        <f t="shared" si="0"/>
        <v>19157909</v>
      </c>
      <c r="C31" s="457">
        <v>15573029</v>
      </c>
      <c r="D31" s="457">
        <v>1621555</v>
      </c>
      <c r="E31" s="458">
        <v>1963325</v>
      </c>
      <c r="G31" s="346"/>
      <c r="H31" s="203"/>
      <c r="I31" s="14"/>
    </row>
    <row r="32" spans="1:9">
      <c r="A32" s="325" t="s">
        <v>37</v>
      </c>
      <c r="B32" s="459">
        <f t="shared" si="0"/>
        <v>15400595</v>
      </c>
      <c r="C32" s="460">
        <v>14260401</v>
      </c>
      <c r="D32" s="460">
        <v>1140194</v>
      </c>
      <c r="E32" s="461"/>
      <c r="G32" s="346"/>
      <c r="H32" s="203"/>
      <c r="I32" s="14"/>
    </row>
    <row r="33" spans="1:9">
      <c r="A33" s="6" t="s">
        <v>30</v>
      </c>
      <c r="B33" s="456">
        <f t="shared" si="0"/>
        <v>53366699</v>
      </c>
      <c r="C33" s="457">
        <v>50123829</v>
      </c>
      <c r="D33" s="457">
        <v>3242870</v>
      </c>
      <c r="E33" s="458"/>
      <c r="G33" s="346"/>
      <c r="H33" s="203"/>
      <c r="I33" s="14"/>
    </row>
    <row r="34" spans="1:9">
      <c r="A34" s="325" t="s">
        <v>35</v>
      </c>
      <c r="B34" s="459">
        <f t="shared" si="0"/>
        <v>19707238</v>
      </c>
      <c r="C34" s="460">
        <v>18066660</v>
      </c>
      <c r="D34" s="460">
        <v>1640578</v>
      </c>
      <c r="E34" s="461"/>
      <c r="G34" s="346"/>
      <c r="H34" s="203"/>
      <c r="I34" s="14"/>
    </row>
    <row r="35" spans="1:9">
      <c r="A35" s="6" t="s">
        <v>33</v>
      </c>
      <c r="B35" s="456">
        <f t="shared" si="0"/>
        <v>15201801</v>
      </c>
      <c r="C35" s="457">
        <v>14502443</v>
      </c>
      <c r="D35" s="457">
        <v>699358</v>
      </c>
      <c r="E35" s="458"/>
      <c r="G35" s="346"/>
      <c r="H35" s="203"/>
      <c r="I35" s="14"/>
    </row>
    <row r="36" spans="1:9">
      <c r="A36" s="325" t="s">
        <v>3</v>
      </c>
      <c r="B36" s="459">
        <f t="shared" si="0"/>
        <v>11998193</v>
      </c>
      <c r="C36" s="460">
        <v>10675680</v>
      </c>
      <c r="D36" s="460">
        <v>1322513</v>
      </c>
      <c r="E36" s="461"/>
      <c r="G36" s="346"/>
      <c r="H36" s="203"/>
      <c r="I36" s="14"/>
    </row>
    <row r="37" spans="1:9">
      <c r="A37" s="6" t="s">
        <v>34</v>
      </c>
      <c r="B37" s="456">
        <f t="shared" si="0"/>
        <v>11199445</v>
      </c>
      <c r="C37" s="457">
        <v>10036169</v>
      </c>
      <c r="D37" s="457">
        <v>1163276</v>
      </c>
      <c r="E37" s="458"/>
      <c r="G37" s="346"/>
      <c r="H37" s="203"/>
      <c r="I37" s="14"/>
    </row>
    <row r="38" spans="1:9">
      <c r="A38" s="325" t="s">
        <v>29</v>
      </c>
      <c r="B38" s="459">
        <f t="shared" si="0"/>
        <v>17654300</v>
      </c>
      <c r="C38" s="460">
        <v>16451398</v>
      </c>
      <c r="D38" s="460">
        <v>1202902</v>
      </c>
      <c r="E38" s="461"/>
      <c r="G38" s="346"/>
      <c r="H38" s="203"/>
      <c r="I38" s="14"/>
    </row>
    <row r="39" spans="1:9">
      <c r="B39" s="462"/>
      <c r="C39" s="463"/>
      <c r="D39" s="464"/>
      <c r="E39" s="10"/>
      <c r="G39" s="346"/>
    </row>
    <row r="40" spans="1:9">
      <c r="A40" s="11" t="s">
        <v>63</v>
      </c>
      <c r="B40" s="465">
        <f>SUM(B9:B38)</f>
        <v>606212060</v>
      </c>
      <c r="C40" s="465">
        <f>SUM(C9:C38)</f>
        <v>555516332</v>
      </c>
      <c r="D40" s="466">
        <f>SUM(D9:D38)</f>
        <v>42309352</v>
      </c>
      <c r="E40" s="467">
        <f>SUM(E9:E38)</f>
        <v>8386376</v>
      </c>
    </row>
    <row r="41" spans="1:9">
      <c r="B41" s="462"/>
      <c r="C41" s="468"/>
      <c r="D41" s="462"/>
      <c r="E41" s="469"/>
    </row>
    <row r="42" spans="1:9">
      <c r="A42" s="6" t="s">
        <v>204</v>
      </c>
      <c r="B42" s="462">
        <f>SUM(C42:E42)</f>
        <v>16634796</v>
      </c>
      <c r="C42" s="470">
        <v>16461496</v>
      </c>
      <c r="D42" s="470">
        <v>173300</v>
      </c>
      <c r="E42" s="471">
        <v>0</v>
      </c>
      <c r="F42" s="14"/>
      <c r="G42" s="346"/>
    </row>
    <row r="43" spans="1:9">
      <c r="A43" s="325" t="s">
        <v>205</v>
      </c>
      <c r="B43" s="472">
        <f>C43+D43+E43</f>
        <v>5820540</v>
      </c>
      <c r="C43" s="473">
        <v>2450540</v>
      </c>
      <c r="D43" s="473">
        <v>3370000</v>
      </c>
      <c r="E43" s="474">
        <v>0</v>
      </c>
      <c r="F43" s="14"/>
    </row>
    <row r="44" spans="1:9">
      <c r="B44" s="462"/>
      <c r="C44" s="468"/>
      <c r="D44" s="462"/>
      <c r="E44" s="475"/>
    </row>
    <row r="45" spans="1:9">
      <c r="A45" s="11" t="s">
        <v>199</v>
      </c>
      <c r="B45" s="465">
        <f>SUM(B40:B44)</f>
        <v>628667396</v>
      </c>
      <c r="C45" s="465">
        <f>SUM(C40:C44)</f>
        <v>574428368</v>
      </c>
      <c r="D45" s="466">
        <f>SUM(D40:D44)</f>
        <v>45852652</v>
      </c>
      <c r="E45" s="467">
        <f>SUM(E40:E44)</f>
        <v>8386376</v>
      </c>
    </row>
    <row r="46" spans="1:9">
      <c r="B46" s="462"/>
      <c r="C46" s="468"/>
      <c r="D46" s="462"/>
      <c r="E46" s="476"/>
    </row>
    <row r="47" spans="1:9">
      <c r="A47" s="325" t="s">
        <v>152</v>
      </c>
      <c r="B47" s="472">
        <f>C47+D47+E47</f>
        <v>54365604</v>
      </c>
      <c r="C47" s="473">
        <v>51868632</v>
      </c>
      <c r="D47" s="473">
        <v>2109348</v>
      </c>
      <c r="E47" s="477">
        <v>387624</v>
      </c>
    </row>
    <row r="48" spans="1:9">
      <c r="B48" s="462"/>
      <c r="C48" s="468"/>
      <c r="D48" s="462"/>
      <c r="E48" s="476"/>
    </row>
    <row r="49" spans="1:5">
      <c r="A49" s="11" t="s">
        <v>4</v>
      </c>
      <c r="B49" s="465">
        <f>SUM(B45:B48)</f>
        <v>683033000</v>
      </c>
      <c r="C49" s="465">
        <f>SUM(C45:C48)</f>
        <v>626297000</v>
      </c>
      <c r="D49" s="466">
        <f>SUM(D45:D48)</f>
        <v>47962000</v>
      </c>
      <c r="E49" s="467">
        <f>SUM(E45:E48)</f>
        <v>8774000</v>
      </c>
    </row>
    <row r="50" spans="1:5">
      <c r="B50" s="142"/>
    </row>
    <row r="51" spans="1:5">
      <c r="B51" s="142"/>
    </row>
    <row r="52" spans="1:5" hidden="1">
      <c r="A52" s="6" t="s">
        <v>198</v>
      </c>
      <c r="B52" s="377">
        <f>683033000-B49</f>
        <v>0</v>
      </c>
      <c r="C52" s="377">
        <f>626297000-C49</f>
        <v>0</v>
      </c>
      <c r="D52" s="377">
        <f>47962000-D49</f>
        <v>0</v>
      </c>
      <c r="E52" s="377">
        <f>8774000-E49</f>
        <v>0</v>
      </c>
    </row>
  </sheetData>
  <mergeCells count="1">
    <mergeCell ref="A5:E5"/>
  </mergeCells>
  <phoneticPr fontId="20" type="noConversion"/>
  <printOptions horizontalCentered="1"/>
  <pageMargins left="0.25" right="0.25" top="0.25" bottom="0.5" header="0.35" footer="0.25"/>
  <pageSetup scale="84" orientation="landscape" r:id="rId1"/>
  <headerFooter alignWithMargins="0">
    <oddFooter>&amp;L&amp;"Calibri,Regular"Prepared by the SBCTC- Operating Budget Office&amp;R&amp;"Calibri,Regular"&amp;D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0" tint="-0.14999847407452621"/>
    <pageSetUpPr fitToPage="1"/>
  </sheetPr>
  <dimension ref="A2:R51"/>
  <sheetViews>
    <sheetView zoomScaleNormal="100" workbookViewId="0">
      <selection activeCell="A46" sqref="A46:XFD48"/>
    </sheetView>
  </sheetViews>
  <sheetFormatPr defaultColWidth="9.140625" defaultRowHeight="12.75"/>
  <cols>
    <col min="1" max="1" width="24.140625" style="27" bestFit="1" customWidth="1"/>
    <col min="2" max="2" width="7.5703125" style="27" customWidth="1"/>
    <col min="3" max="3" width="7.140625" style="27" customWidth="1"/>
    <col min="4" max="5" width="9.85546875" style="104" customWidth="1"/>
    <col min="6" max="6" width="12.5703125" style="104" bestFit="1" customWidth="1"/>
    <col min="7" max="7" width="12.5703125" style="104" hidden="1" customWidth="1"/>
    <col min="8" max="8" width="8.42578125" style="104" bestFit="1" customWidth="1"/>
    <col min="9" max="9" width="9" style="104" customWidth="1"/>
    <col min="10" max="10" width="4.42578125" style="104" customWidth="1"/>
    <col min="11" max="11" width="10.85546875" style="104" customWidth="1"/>
    <col min="12" max="12" width="12.85546875" style="104" customWidth="1"/>
    <col min="13" max="13" width="12.140625" style="104" bestFit="1" customWidth="1"/>
    <col min="14" max="14" width="9.85546875" style="104" customWidth="1"/>
    <col min="15" max="15" width="10.85546875" style="27" customWidth="1"/>
    <col min="16" max="16" width="1.85546875" style="196" customWidth="1"/>
    <col min="17" max="17" width="8.85546875" style="27" bestFit="1" customWidth="1"/>
    <col min="18" max="16384" width="9.140625" style="27"/>
  </cols>
  <sheetData>
    <row r="2" spans="1:18" ht="15.75">
      <c r="A2" s="501" t="s">
        <v>59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  <c r="N2" s="501"/>
      <c r="O2" s="501"/>
      <c r="P2" s="501"/>
      <c r="Q2" s="501"/>
    </row>
    <row r="3" spans="1:18" ht="15.6" customHeight="1">
      <c r="A3" s="501" t="str">
        <f>'Attachment One'!A3</f>
        <v>FY 2016 Allocation #1</v>
      </c>
      <c r="B3" s="501"/>
      <c r="C3" s="501"/>
      <c r="D3" s="501"/>
      <c r="E3" s="501"/>
      <c r="F3" s="501"/>
      <c r="G3" s="501"/>
      <c r="H3" s="501"/>
      <c r="I3" s="501"/>
      <c r="J3" s="501"/>
      <c r="K3" s="501"/>
      <c r="L3" s="501"/>
      <c r="M3" s="501"/>
      <c r="N3" s="501"/>
      <c r="O3" s="501"/>
      <c r="P3" s="501"/>
      <c r="Q3" s="501"/>
    </row>
    <row r="4" spans="1:18" ht="13.35" customHeight="1">
      <c r="A4" s="302"/>
      <c r="B4" s="302"/>
      <c r="C4" s="302"/>
      <c r="D4" s="302"/>
      <c r="E4" s="302"/>
      <c r="F4" s="302"/>
      <c r="G4" s="302"/>
      <c r="H4" s="302"/>
      <c r="I4" s="303"/>
      <c r="J4" s="302"/>
      <c r="K4" s="302"/>
      <c r="L4" s="303"/>
      <c r="M4" s="302"/>
      <c r="N4" s="302"/>
      <c r="P4" s="195"/>
    </row>
    <row r="5" spans="1:18" ht="15.6" customHeight="1">
      <c r="D5" s="498" t="s">
        <v>396</v>
      </c>
      <c r="E5" s="499"/>
      <c r="F5" s="499"/>
      <c r="G5" s="499"/>
      <c r="H5" s="499"/>
      <c r="I5" s="500"/>
      <c r="K5" s="495" t="s">
        <v>407</v>
      </c>
      <c r="L5" s="496"/>
      <c r="M5" s="496"/>
      <c r="N5" s="496"/>
      <c r="O5" s="497"/>
      <c r="P5" s="27"/>
    </row>
    <row r="6" spans="1:18">
      <c r="D6" s="311"/>
      <c r="E6" s="494" t="s">
        <v>190</v>
      </c>
      <c r="F6" s="494"/>
      <c r="G6" s="494"/>
      <c r="H6" s="494"/>
      <c r="I6" s="313"/>
      <c r="K6" s="493" t="s">
        <v>190</v>
      </c>
      <c r="L6" s="494"/>
      <c r="M6" s="494"/>
      <c r="N6" s="494"/>
      <c r="O6" s="313"/>
    </row>
    <row r="7" spans="1:18" ht="51.75">
      <c r="A7" s="27" t="s">
        <v>2</v>
      </c>
      <c r="B7" s="106" t="s">
        <v>5</v>
      </c>
      <c r="C7" s="310" t="s">
        <v>7</v>
      </c>
      <c r="D7" s="312" t="s">
        <v>191</v>
      </c>
      <c r="E7" s="273" t="s">
        <v>192</v>
      </c>
      <c r="F7" s="274" t="s">
        <v>177</v>
      </c>
      <c r="G7" s="275"/>
      <c r="H7" s="274" t="s">
        <v>178</v>
      </c>
      <c r="I7" s="314" t="s">
        <v>404</v>
      </c>
      <c r="K7" s="276" t="s">
        <v>346</v>
      </c>
      <c r="L7" s="276" t="s">
        <v>177</v>
      </c>
      <c r="M7" s="275" t="s">
        <v>189</v>
      </c>
      <c r="N7" s="276" t="s">
        <v>266</v>
      </c>
      <c r="O7" s="314" t="s">
        <v>405</v>
      </c>
      <c r="P7" s="195"/>
      <c r="Q7" s="304" t="s">
        <v>408</v>
      </c>
    </row>
    <row r="8" spans="1:18" s="315" customFormat="1" ht="13.7" customHeight="1">
      <c r="A8" s="322"/>
      <c r="B8" s="350"/>
      <c r="C8" s="356"/>
      <c r="D8" s="316"/>
      <c r="E8" s="324"/>
      <c r="F8" s="317"/>
      <c r="G8" s="318"/>
      <c r="H8" s="317"/>
      <c r="I8" s="321"/>
      <c r="J8" s="319"/>
      <c r="K8" s="316"/>
      <c r="L8" s="316"/>
      <c r="M8" s="318"/>
      <c r="N8" s="316"/>
      <c r="O8" s="321"/>
      <c r="P8" s="320"/>
      <c r="Q8" s="309"/>
    </row>
    <row r="9" spans="1:18" s="104" customFormat="1">
      <c r="A9" s="323" t="s">
        <v>41</v>
      </c>
      <c r="B9" s="351" t="s">
        <v>114</v>
      </c>
      <c r="C9" s="103">
        <f>'Alloc Sched Data'!B2</f>
        <v>1</v>
      </c>
      <c r="D9" s="185">
        <v>4434</v>
      </c>
      <c r="E9" s="188">
        <v>251</v>
      </c>
      <c r="F9" s="186">
        <f>20</f>
        <v>20</v>
      </c>
      <c r="G9" s="188">
        <v>0</v>
      </c>
      <c r="H9" s="187">
        <v>0</v>
      </c>
      <c r="I9" s="192">
        <f t="shared" ref="I9:I38" si="0">SUM(D9:H9)</f>
        <v>4705</v>
      </c>
      <c r="K9" s="185">
        <f>62</f>
        <v>62</v>
      </c>
      <c r="L9" s="185">
        <v>0</v>
      </c>
      <c r="M9" s="184">
        <v>0</v>
      </c>
      <c r="N9" s="188">
        <v>0</v>
      </c>
      <c r="O9" s="192">
        <f>SUM(K9:N9)</f>
        <v>62</v>
      </c>
      <c r="P9" s="21"/>
      <c r="Q9" s="309">
        <f>I9+O9</f>
        <v>4767</v>
      </c>
      <c r="R9" s="205"/>
    </row>
    <row r="10" spans="1:18" s="104" customFormat="1">
      <c r="A10" s="327" t="s">
        <v>21</v>
      </c>
      <c r="B10" s="352" t="s">
        <v>122</v>
      </c>
      <c r="C10" s="328">
        <f>C9</f>
        <v>1</v>
      </c>
      <c r="D10" s="329">
        <f>7013+43</f>
        <v>7056</v>
      </c>
      <c r="E10" s="330">
        <v>229</v>
      </c>
      <c r="F10" s="331">
        <v>0</v>
      </c>
      <c r="G10" s="330">
        <v>0</v>
      </c>
      <c r="H10" s="332">
        <v>0</v>
      </c>
      <c r="I10" s="333">
        <f t="shared" si="0"/>
        <v>7285</v>
      </c>
      <c r="K10" s="329">
        <v>0</v>
      </c>
      <c r="L10" s="329">
        <v>0</v>
      </c>
      <c r="M10" s="326">
        <v>0</v>
      </c>
      <c r="N10" s="330">
        <v>0</v>
      </c>
      <c r="O10" s="333">
        <f t="shared" ref="O10:O38" si="1">SUM(K10:N10)</f>
        <v>0</v>
      </c>
      <c r="P10" s="21"/>
      <c r="Q10" s="334">
        <f t="shared" ref="Q10:Q42" si="2">I10+O10</f>
        <v>7285</v>
      </c>
    </row>
    <row r="11" spans="1:18" s="104" customFormat="1">
      <c r="A11" s="110" t="s">
        <v>38</v>
      </c>
      <c r="B11" s="351" t="s">
        <v>139</v>
      </c>
      <c r="C11" s="103">
        <f t="shared" ref="C11:C38" si="3">C10</f>
        <v>1</v>
      </c>
      <c r="D11" s="185">
        <f>1744+6</f>
        <v>1750</v>
      </c>
      <c r="E11" s="188">
        <v>33</v>
      </c>
      <c r="F11" s="186">
        <v>0</v>
      </c>
      <c r="G11" s="188">
        <v>0</v>
      </c>
      <c r="H11" s="187">
        <v>0</v>
      </c>
      <c r="I11" s="192">
        <f t="shared" si="0"/>
        <v>1783</v>
      </c>
      <c r="K11" s="185">
        <v>77</v>
      </c>
      <c r="L11" s="185">
        <v>0</v>
      </c>
      <c r="M11" s="184">
        <v>0</v>
      </c>
      <c r="N11" s="188">
        <v>0</v>
      </c>
      <c r="O11" s="192">
        <f t="shared" si="1"/>
        <v>77</v>
      </c>
      <c r="P11" s="21"/>
      <c r="Q11" s="309">
        <f t="shared" si="2"/>
        <v>1860</v>
      </c>
    </row>
    <row r="12" spans="1:18" s="104" customFormat="1">
      <c r="A12" s="327" t="s">
        <v>31</v>
      </c>
      <c r="B12" s="352" t="s">
        <v>132</v>
      </c>
      <c r="C12" s="328">
        <f t="shared" si="3"/>
        <v>1</v>
      </c>
      <c r="D12" s="329">
        <v>1619</v>
      </c>
      <c r="E12" s="330">
        <v>48</v>
      </c>
      <c r="F12" s="331">
        <v>0</v>
      </c>
      <c r="G12" s="330">
        <v>0</v>
      </c>
      <c r="H12" s="332">
        <v>0</v>
      </c>
      <c r="I12" s="333">
        <f t="shared" si="0"/>
        <v>1667</v>
      </c>
      <c r="K12" s="329">
        <v>42</v>
      </c>
      <c r="L12" s="329">
        <v>0</v>
      </c>
      <c r="M12" s="326">
        <v>0</v>
      </c>
      <c r="N12" s="330">
        <v>0</v>
      </c>
      <c r="O12" s="333">
        <f t="shared" si="1"/>
        <v>42</v>
      </c>
      <c r="P12" s="21"/>
      <c r="Q12" s="334">
        <f t="shared" si="2"/>
        <v>1709</v>
      </c>
    </row>
    <row r="13" spans="1:18" s="104" customFormat="1">
      <c r="A13" s="110" t="s">
        <v>43</v>
      </c>
      <c r="B13" s="351" t="s">
        <v>143</v>
      </c>
      <c r="C13" s="103">
        <f t="shared" si="3"/>
        <v>1</v>
      </c>
      <c r="D13" s="185">
        <v>1454</v>
      </c>
      <c r="E13" s="188">
        <v>27</v>
      </c>
      <c r="F13" s="186">
        <v>0</v>
      </c>
      <c r="G13" s="188">
        <v>0</v>
      </c>
      <c r="H13" s="187">
        <v>0</v>
      </c>
      <c r="I13" s="192">
        <f t="shared" si="0"/>
        <v>1481</v>
      </c>
      <c r="K13" s="189">
        <v>0</v>
      </c>
      <c r="L13" s="189">
        <v>0</v>
      </c>
      <c r="M13" s="184">
        <v>0</v>
      </c>
      <c r="N13" s="188">
        <v>0</v>
      </c>
      <c r="O13" s="192">
        <f t="shared" si="1"/>
        <v>0</v>
      </c>
      <c r="P13" s="21"/>
      <c r="Q13" s="309">
        <f t="shared" si="2"/>
        <v>1481</v>
      </c>
    </row>
    <row r="14" spans="1:18" s="104" customFormat="1">
      <c r="A14" s="327" t="s">
        <v>25</v>
      </c>
      <c r="B14" s="352" t="s">
        <v>126</v>
      </c>
      <c r="C14" s="328">
        <f t="shared" si="3"/>
        <v>1</v>
      </c>
      <c r="D14" s="329">
        <v>2108</v>
      </c>
      <c r="E14" s="330">
        <v>111</v>
      </c>
      <c r="F14" s="331">
        <v>0</v>
      </c>
      <c r="G14" s="330">
        <v>0</v>
      </c>
      <c r="H14" s="332">
        <v>0</v>
      </c>
      <c r="I14" s="333">
        <f t="shared" si="0"/>
        <v>2219</v>
      </c>
      <c r="K14" s="329">
        <v>0</v>
      </c>
      <c r="L14" s="329">
        <v>0</v>
      </c>
      <c r="M14" s="326">
        <v>0</v>
      </c>
      <c r="N14" s="330">
        <v>0</v>
      </c>
      <c r="O14" s="333">
        <f t="shared" si="1"/>
        <v>0</v>
      </c>
      <c r="P14" s="21"/>
      <c r="Q14" s="334">
        <f t="shared" si="2"/>
        <v>2219</v>
      </c>
    </row>
    <row r="15" spans="1:18" s="104" customFormat="1">
      <c r="A15" s="110" t="s">
        <v>27</v>
      </c>
      <c r="B15" s="351" t="s">
        <v>128</v>
      </c>
      <c r="C15" s="103">
        <f t="shared" si="3"/>
        <v>1</v>
      </c>
      <c r="D15" s="185">
        <v>6739</v>
      </c>
      <c r="E15" s="188">
        <v>121</v>
      </c>
      <c r="F15" s="186">
        <v>0</v>
      </c>
      <c r="G15" s="188">
        <v>0</v>
      </c>
      <c r="H15" s="187">
        <f>15+2</f>
        <v>17</v>
      </c>
      <c r="I15" s="192">
        <f t="shared" si="0"/>
        <v>6877</v>
      </c>
      <c r="K15" s="189">
        <v>40</v>
      </c>
      <c r="L15" s="189">
        <v>0</v>
      </c>
      <c r="M15" s="184">
        <v>0</v>
      </c>
      <c r="N15" s="188">
        <v>0</v>
      </c>
      <c r="O15" s="192">
        <f t="shared" si="1"/>
        <v>40</v>
      </c>
      <c r="P15" s="21"/>
      <c r="Q15" s="309">
        <f t="shared" si="2"/>
        <v>6917</v>
      </c>
    </row>
    <row r="16" spans="1:18" s="104" customFormat="1">
      <c r="A16" s="327" t="s">
        <v>42</v>
      </c>
      <c r="B16" s="352" t="s">
        <v>142</v>
      </c>
      <c r="C16" s="328">
        <f t="shared" si="3"/>
        <v>1</v>
      </c>
      <c r="D16" s="329">
        <v>3992</v>
      </c>
      <c r="E16" s="330">
        <v>176</v>
      </c>
      <c r="F16" s="331">
        <v>0</v>
      </c>
      <c r="G16" s="330">
        <v>0</v>
      </c>
      <c r="H16" s="332">
        <v>0</v>
      </c>
      <c r="I16" s="333">
        <f t="shared" si="0"/>
        <v>4168</v>
      </c>
      <c r="K16" s="329">
        <v>77</v>
      </c>
      <c r="L16" s="329">
        <v>0</v>
      </c>
      <c r="M16" s="326">
        <v>0</v>
      </c>
      <c r="N16" s="330">
        <v>0</v>
      </c>
      <c r="O16" s="333">
        <f t="shared" si="1"/>
        <v>77</v>
      </c>
      <c r="P16" s="21"/>
      <c r="Q16" s="334">
        <f t="shared" si="2"/>
        <v>4245</v>
      </c>
    </row>
    <row r="17" spans="1:17" s="104" customFormat="1">
      <c r="A17" s="110" t="s">
        <v>32</v>
      </c>
      <c r="B17" s="351" t="s">
        <v>133</v>
      </c>
      <c r="C17" s="103">
        <f t="shared" si="3"/>
        <v>1</v>
      </c>
      <c r="D17" s="185">
        <f>4556+40</f>
        <v>4596</v>
      </c>
      <c r="E17" s="188">
        <v>221</v>
      </c>
      <c r="F17" s="186">
        <v>5</v>
      </c>
      <c r="G17" s="188">
        <v>0</v>
      </c>
      <c r="H17" s="187">
        <v>0</v>
      </c>
      <c r="I17" s="192">
        <f t="shared" si="0"/>
        <v>4822</v>
      </c>
      <c r="K17" s="189">
        <v>0</v>
      </c>
      <c r="L17" s="189">
        <v>0</v>
      </c>
      <c r="M17" s="184">
        <v>0</v>
      </c>
      <c r="N17" s="188">
        <v>0</v>
      </c>
      <c r="O17" s="192">
        <f t="shared" si="1"/>
        <v>0</v>
      </c>
      <c r="P17" s="21"/>
      <c r="Q17" s="309">
        <f t="shared" si="2"/>
        <v>4822</v>
      </c>
    </row>
    <row r="18" spans="1:17" s="104" customFormat="1">
      <c r="A18" s="327" t="s">
        <v>36</v>
      </c>
      <c r="B18" s="352" t="s">
        <v>137</v>
      </c>
      <c r="C18" s="328">
        <f t="shared" si="3"/>
        <v>1</v>
      </c>
      <c r="D18" s="329">
        <v>4819</v>
      </c>
      <c r="E18" s="330">
        <v>176</v>
      </c>
      <c r="F18" s="331">
        <v>0</v>
      </c>
      <c r="G18" s="330">
        <v>0</v>
      </c>
      <c r="H18" s="332">
        <f>40+2</f>
        <v>42</v>
      </c>
      <c r="I18" s="333">
        <f t="shared" si="0"/>
        <v>5037</v>
      </c>
      <c r="K18" s="329">
        <v>65</v>
      </c>
      <c r="L18" s="329">
        <v>0</v>
      </c>
      <c r="M18" s="326">
        <v>0</v>
      </c>
      <c r="N18" s="330">
        <v>0</v>
      </c>
      <c r="O18" s="333">
        <f t="shared" si="1"/>
        <v>65</v>
      </c>
      <c r="P18" s="21"/>
      <c r="Q18" s="334">
        <f t="shared" si="2"/>
        <v>5102</v>
      </c>
    </row>
    <row r="19" spans="1:17" s="104" customFormat="1">
      <c r="A19" s="110" t="s">
        <v>18</v>
      </c>
      <c r="B19" s="351" t="s">
        <v>119</v>
      </c>
      <c r="C19" s="103">
        <f t="shared" si="3"/>
        <v>1</v>
      </c>
      <c r="D19" s="185">
        <v>4706</v>
      </c>
      <c r="E19" s="188">
        <v>120</v>
      </c>
      <c r="F19" s="186">
        <f>13</f>
        <v>13</v>
      </c>
      <c r="G19" s="188">
        <v>0</v>
      </c>
      <c r="H19" s="187">
        <f>2-2</f>
        <v>0</v>
      </c>
      <c r="I19" s="192">
        <f t="shared" si="0"/>
        <v>4839</v>
      </c>
      <c r="K19" s="189">
        <f>143</f>
        <v>143</v>
      </c>
      <c r="L19" s="189">
        <v>0</v>
      </c>
      <c r="M19" s="184">
        <v>0</v>
      </c>
      <c r="N19" s="188">
        <v>0</v>
      </c>
      <c r="O19" s="192">
        <f t="shared" si="1"/>
        <v>143</v>
      </c>
      <c r="P19" s="21"/>
      <c r="Q19" s="309">
        <f t="shared" si="2"/>
        <v>4982</v>
      </c>
    </row>
    <row r="20" spans="1:17" s="104" customFormat="1">
      <c r="A20" s="327" t="s">
        <v>15</v>
      </c>
      <c r="B20" s="352" t="s">
        <v>116</v>
      </c>
      <c r="C20" s="328">
        <f t="shared" si="3"/>
        <v>1</v>
      </c>
      <c r="D20" s="329">
        <v>1552</v>
      </c>
      <c r="E20" s="330">
        <v>154</v>
      </c>
      <c r="F20" s="331">
        <v>0</v>
      </c>
      <c r="G20" s="330">
        <v>0</v>
      </c>
      <c r="H20" s="332">
        <v>0</v>
      </c>
      <c r="I20" s="333">
        <f t="shared" si="0"/>
        <v>1706</v>
      </c>
      <c r="K20" s="329">
        <v>0</v>
      </c>
      <c r="L20" s="329">
        <v>0</v>
      </c>
      <c r="M20" s="326">
        <v>0</v>
      </c>
      <c r="N20" s="330">
        <v>0</v>
      </c>
      <c r="O20" s="333">
        <f t="shared" si="1"/>
        <v>0</v>
      </c>
      <c r="P20" s="21"/>
      <c r="Q20" s="334">
        <f t="shared" si="2"/>
        <v>1706</v>
      </c>
    </row>
    <row r="21" spans="1:17" s="104" customFormat="1">
      <c r="A21" s="110" t="s">
        <v>23</v>
      </c>
      <c r="B21" s="351" t="s">
        <v>124</v>
      </c>
      <c r="C21" s="103">
        <f t="shared" si="3"/>
        <v>1</v>
      </c>
      <c r="D21" s="185">
        <v>5211</v>
      </c>
      <c r="E21" s="188">
        <v>265</v>
      </c>
      <c r="F21" s="186">
        <v>0</v>
      </c>
      <c r="G21" s="188">
        <v>0</v>
      </c>
      <c r="H21" s="187">
        <v>0</v>
      </c>
      <c r="I21" s="192">
        <f t="shared" si="0"/>
        <v>5476</v>
      </c>
      <c r="K21" s="189">
        <v>39</v>
      </c>
      <c r="L21" s="189">
        <v>0</v>
      </c>
      <c r="M21" s="184">
        <v>0</v>
      </c>
      <c r="N21" s="188">
        <v>0</v>
      </c>
      <c r="O21" s="192">
        <f t="shared" si="1"/>
        <v>39</v>
      </c>
      <c r="P21" s="21"/>
      <c r="Q21" s="309">
        <f t="shared" si="2"/>
        <v>5515</v>
      </c>
    </row>
    <row r="22" spans="1:17" s="104" customFormat="1">
      <c r="A22" s="327" t="s">
        <v>22</v>
      </c>
      <c r="B22" s="352" t="s">
        <v>123</v>
      </c>
      <c r="C22" s="328">
        <f t="shared" si="3"/>
        <v>1</v>
      </c>
      <c r="D22" s="329">
        <v>5698</v>
      </c>
      <c r="E22" s="330">
        <v>202</v>
      </c>
      <c r="F22" s="331">
        <v>0</v>
      </c>
      <c r="G22" s="330">
        <v>0</v>
      </c>
      <c r="H22" s="332">
        <v>0</v>
      </c>
      <c r="I22" s="333">
        <f t="shared" si="0"/>
        <v>5900</v>
      </c>
      <c r="K22" s="329">
        <v>20</v>
      </c>
      <c r="L22" s="329">
        <v>0</v>
      </c>
      <c r="M22" s="326">
        <v>0</v>
      </c>
      <c r="N22" s="330">
        <v>0</v>
      </c>
      <c r="O22" s="333">
        <f t="shared" si="1"/>
        <v>20</v>
      </c>
      <c r="P22" s="21"/>
      <c r="Q22" s="334">
        <f t="shared" si="2"/>
        <v>5920</v>
      </c>
    </row>
    <row r="23" spans="1:17" s="104" customFormat="1">
      <c r="A23" s="110" t="s">
        <v>39</v>
      </c>
      <c r="B23" s="351" t="s">
        <v>140</v>
      </c>
      <c r="C23" s="103">
        <f t="shared" si="3"/>
        <v>1</v>
      </c>
      <c r="D23" s="185">
        <f>2762+40</f>
        <v>2802</v>
      </c>
      <c r="E23" s="188">
        <v>113</v>
      </c>
      <c r="F23" s="186">
        <v>0</v>
      </c>
      <c r="G23" s="188">
        <v>0</v>
      </c>
      <c r="H23" s="187">
        <v>0</v>
      </c>
      <c r="I23" s="192">
        <f t="shared" si="0"/>
        <v>2915</v>
      </c>
      <c r="K23" s="189">
        <v>45</v>
      </c>
      <c r="L23" s="189">
        <v>0</v>
      </c>
      <c r="M23" s="184">
        <v>0</v>
      </c>
      <c r="N23" s="188">
        <v>0</v>
      </c>
      <c r="O23" s="192">
        <f t="shared" si="1"/>
        <v>45</v>
      </c>
      <c r="P23" s="21"/>
      <c r="Q23" s="309">
        <f t="shared" si="2"/>
        <v>2960</v>
      </c>
    </row>
    <row r="24" spans="1:17" s="104" customFormat="1">
      <c r="A24" s="327" t="s">
        <v>26</v>
      </c>
      <c r="B24" s="352" t="s">
        <v>127</v>
      </c>
      <c r="C24" s="328">
        <f t="shared" si="3"/>
        <v>1</v>
      </c>
      <c r="D24" s="329">
        <v>2452</v>
      </c>
      <c r="E24" s="330">
        <v>44</v>
      </c>
      <c r="F24" s="331">
        <v>0</v>
      </c>
      <c r="G24" s="330">
        <v>0</v>
      </c>
      <c r="H24" s="332">
        <v>0</v>
      </c>
      <c r="I24" s="333">
        <f t="shared" si="0"/>
        <v>2496</v>
      </c>
      <c r="K24" s="329">
        <v>0</v>
      </c>
      <c r="L24" s="329">
        <v>0</v>
      </c>
      <c r="M24" s="326">
        <v>0</v>
      </c>
      <c r="N24" s="330">
        <v>0</v>
      </c>
      <c r="O24" s="333">
        <f t="shared" si="1"/>
        <v>0</v>
      </c>
      <c r="P24" s="21"/>
      <c r="Q24" s="334">
        <f t="shared" si="2"/>
        <v>2496</v>
      </c>
    </row>
    <row r="25" spans="1:17" s="104" customFormat="1">
      <c r="A25" s="110" t="s">
        <v>16</v>
      </c>
      <c r="B25" s="351" t="s">
        <v>117</v>
      </c>
      <c r="C25" s="103">
        <f t="shared" si="3"/>
        <v>1</v>
      </c>
      <c r="D25" s="185">
        <f>4525+35</f>
        <v>4560</v>
      </c>
      <c r="E25" s="188">
        <v>172</v>
      </c>
      <c r="F25" s="186">
        <v>0</v>
      </c>
      <c r="G25" s="188">
        <v>0</v>
      </c>
      <c r="H25" s="187">
        <f>30+2</f>
        <v>32</v>
      </c>
      <c r="I25" s="192">
        <f t="shared" si="0"/>
        <v>4764</v>
      </c>
      <c r="K25" s="189">
        <v>61</v>
      </c>
      <c r="L25" s="189">
        <v>0</v>
      </c>
      <c r="M25" s="184">
        <v>0</v>
      </c>
      <c r="N25" s="188">
        <v>0</v>
      </c>
      <c r="O25" s="192">
        <f t="shared" si="1"/>
        <v>61</v>
      </c>
      <c r="P25" s="21"/>
      <c r="Q25" s="309">
        <f t="shared" si="2"/>
        <v>4825</v>
      </c>
    </row>
    <row r="26" spans="1:17" s="104" customFormat="1">
      <c r="A26" s="327" t="s">
        <v>14</v>
      </c>
      <c r="B26" s="352" t="s">
        <v>115</v>
      </c>
      <c r="C26" s="328">
        <f t="shared" si="3"/>
        <v>1</v>
      </c>
      <c r="D26" s="329">
        <f>1495+40</f>
        <v>1535</v>
      </c>
      <c r="E26" s="330">
        <v>150</v>
      </c>
      <c r="F26" s="331">
        <v>0</v>
      </c>
      <c r="G26" s="330">
        <v>0</v>
      </c>
      <c r="H26" s="332">
        <v>0</v>
      </c>
      <c r="I26" s="333">
        <f t="shared" si="0"/>
        <v>1685</v>
      </c>
      <c r="K26" s="329">
        <v>38</v>
      </c>
      <c r="L26" s="329">
        <v>0</v>
      </c>
      <c r="M26" s="326">
        <v>0</v>
      </c>
      <c r="N26" s="330">
        <v>0</v>
      </c>
      <c r="O26" s="333">
        <f t="shared" si="1"/>
        <v>38</v>
      </c>
      <c r="P26" s="21"/>
      <c r="Q26" s="334">
        <f t="shared" si="2"/>
        <v>1723</v>
      </c>
    </row>
    <row r="27" spans="1:17" s="104" customFormat="1">
      <c r="A27" s="110" t="s">
        <v>24</v>
      </c>
      <c r="B27" s="351" t="s">
        <v>125</v>
      </c>
      <c r="C27" s="103">
        <f t="shared" si="3"/>
        <v>1</v>
      </c>
      <c r="D27" s="185">
        <v>5348</v>
      </c>
      <c r="E27" s="188">
        <v>165</v>
      </c>
      <c r="F27" s="186">
        <v>0</v>
      </c>
      <c r="G27" s="188">
        <v>0</v>
      </c>
      <c r="H27" s="187">
        <f>70+2+2</f>
        <v>74</v>
      </c>
      <c r="I27" s="192">
        <f t="shared" si="0"/>
        <v>5587</v>
      </c>
      <c r="K27" s="189">
        <v>0</v>
      </c>
      <c r="L27" s="189">
        <v>0</v>
      </c>
      <c r="M27" s="184">
        <v>0</v>
      </c>
      <c r="N27" s="188">
        <v>0</v>
      </c>
      <c r="O27" s="192">
        <f t="shared" si="1"/>
        <v>0</v>
      </c>
      <c r="P27" s="21"/>
      <c r="Q27" s="309">
        <f t="shared" si="2"/>
        <v>5587</v>
      </c>
    </row>
    <row r="28" spans="1:17" s="104" customFormat="1">
      <c r="A28" s="327" t="s">
        <v>40</v>
      </c>
      <c r="B28" s="352" t="s">
        <v>141</v>
      </c>
      <c r="C28" s="328">
        <f t="shared" si="3"/>
        <v>1</v>
      </c>
      <c r="D28" s="329">
        <v>3584</v>
      </c>
      <c r="E28" s="330">
        <v>193</v>
      </c>
      <c r="F28" s="331">
        <f>6</f>
        <v>6</v>
      </c>
      <c r="G28" s="330">
        <v>0</v>
      </c>
      <c r="H28" s="332">
        <v>0</v>
      </c>
      <c r="I28" s="333">
        <f t="shared" si="0"/>
        <v>3783</v>
      </c>
      <c r="K28" s="329">
        <f>39</f>
        <v>39</v>
      </c>
      <c r="L28" s="329">
        <v>0</v>
      </c>
      <c r="M28" s="326">
        <v>0</v>
      </c>
      <c r="N28" s="330">
        <v>0</v>
      </c>
      <c r="O28" s="333">
        <f t="shared" si="1"/>
        <v>39</v>
      </c>
      <c r="P28" s="21"/>
      <c r="Q28" s="334">
        <f t="shared" si="2"/>
        <v>3822</v>
      </c>
    </row>
    <row r="29" spans="1:17" s="104" customFormat="1">
      <c r="A29" s="110" t="s">
        <v>19</v>
      </c>
      <c r="B29" s="351" t="s">
        <v>120</v>
      </c>
      <c r="C29" s="103">
        <f t="shared" si="3"/>
        <v>1</v>
      </c>
      <c r="D29" s="185">
        <f>13873+82</f>
        <v>13955</v>
      </c>
      <c r="E29" s="188">
        <v>582</v>
      </c>
      <c r="F29" s="186">
        <f>6</f>
        <v>6</v>
      </c>
      <c r="G29" s="188">
        <v>0</v>
      </c>
      <c r="H29" s="187">
        <v>0</v>
      </c>
      <c r="I29" s="192">
        <f t="shared" si="0"/>
        <v>14543</v>
      </c>
      <c r="K29" s="189">
        <f>174</f>
        <v>174</v>
      </c>
      <c r="L29" s="189">
        <v>0</v>
      </c>
      <c r="M29" s="184">
        <v>0</v>
      </c>
      <c r="N29" s="188">
        <v>0</v>
      </c>
      <c r="O29" s="192">
        <f t="shared" si="1"/>
        <v>174</v>
      </c>
      <c r="P29" s="21"/>
      <c r="Q29" s="309">
        <f t="shared" si="2"/>
        <v>14717</v>
      </c>
    </row>
    <row r="30" spans="1:17" s="104" customFormat="1">
      <c r="A30" s="327" t="s">
        <v>20</v>
      </c>
      <c r="B30" s="352" t="s">
        <v>121</v>
      </c>
      <c r="C30" s="328">
        <f t="shared" si="3"/>
        <v>1</v>
      </c>
      <c r="D30" s="329">
        <v>4910</v>
      </c>
      <c r="E30" s="330">
        <v>145</v>
      </c>
      <c r="F30" s="331">
        <v>0</v>
      </c>
      <c r="G30" s="330">
        <v>0</v>
      </c>
      <c r="H30" s="332">
        <v>0</v>
      </c>
      <c r="I30" s="333">
        <f t="shared" si="0"/>
        <v>5055</v>
      </c>
      <c r="K30" s="329">
        <v>20</v>
      </c>
      <c r="L30" s="329">
        <v>0</v>
      </c>
      <c r="M30" s="326">
        <v>0</v>
      </c>
      <c r="N30" s="330">
        <v>0</v>
      </c>
      <c r="O30" s="333">
        <f t="shared" si="1"/>
        <v>20</v>
      </c>
      <c r="P30" s="21"/>
      <c r="Q30" s="334">
        <f t="shared" si="2"/>
        <v>5075</v>
      </c>
    </row>
    <row r="31" spans="1:17" s="104" customFormat="1">
      <c r="A31" s="110" t="s">
        <v>17</v>
      </c>
      <c r="B31" s="351" t="s">
        <v>118</v>
      </c>
      <c r="C31" s="103">
        <f t="shared" si="3"/>
        <v>1</v>
      </c>
      <c r="D31" s="185">
        <f>3704-3</f>
        <v>3701</v>
      </c>
      <c r="E31" s="188">
        <v>101</v>
      </c>
      <c r="F31" s="186">
        <v>0</v>
      </c>
      <c r="G31" s="188">
        <v>0</v>
      </c>
      <c r="H31" s="187">
        <v>0</v>
      </c>
      <c r="I31" s="192">
        <f t="shared" si="0"/>
        <v>3802</v>
      </c>
      <c r="K31" s="189">
        <v>27</v>
      </c>
      <c r="L31" s="189">
        <v>0</v>
      </c>
      <c r="M31" s="184">
        <v>0</v>
      </c>
      <c r="N31" s="188">
        <v>0</v>
      </c>
      <c r="O31" s="192">
        <f t="shared" si="1"/>
        <v>27</v>
      </c>
      <c r="P31" s="21"/>
      <c r="Q31" s="309">
        <f t="shared" si="2"/>
        <v>3829</v>
      </c>
    </row>
    <row r="32" spans="1:17" s="104" customFormat="1">
      <c r="A32" s="327" t="s">
        <v>37</v>
      </c>
      <c r="B32" s="352" t="s">
        <v>138</v>
      </c>
      <c r="C32" s="328">
        <f t="shared" si="3"/>
        <v>1</v>
      </c>
      <c r="D32" s="329">
        <v>3362</v>
      </c>
      <c r="E32" s="330">
        <v>71</v>
      </c>
      <c r="F32" s="331">
        <v>0</v>
      </c>
      <c r="G32" s="330">
        <v>0</v>
      </c>
      <c r="H32" s="332">
        <v>0</v>
      </c>
      <c r="I32" s="333">
        <f t="shared" si="0"/>
        <v>3433</v>
      </c>
      <c r="K32" s="329">
        <v>15</v>
      </c>
      <c r="L32" s="329">
        <v>0</v>
      </c>
      <c r="M32" s="326">
        <v>0</v>
      </c>
      <c r="N32" s="330">
        <v>0</v>
      </c>
      <c r="O32" s="333">
        <f t="shared" si="1"/>
        <v>15</v>
      </c>
      <c r="P32" s="21"/>
      <c r="Q32" s="334">
        <f t="shared" si="2"/>
        <v>3448</v>
      </c>
    </row>
    <row r="33" spans="1:17" s="104" customFormat="1">
      <c r="A33" s="110" t="s">
        <v>30</v>
      </c>
      <c r="B33" s="351" t="s">
        <v>131</v>
      </c>
      <c r="C33" s="103">
        <f t="shared" si="3"/>
        <v>1</v>
      </c>
      <c r="D33" s="185">
        <v>13374</v>
      </c>
      <c r="E33" s="188">
        <v>222</v>
      </c>
      <c r="F33" s="186">
        <v>5</v>
      </c>
      <c r="G33" s="188">
        <v>0</v>
      </c>
      <c r="H33" s="187">
        <v>0</v>
      </c>
      <c r="I33" s="192">
        <f t="shared" si="0"/>
        <v>13601</v>
      </c>
      <c r="K33" s="189">
        <f>40+0</f>
        <v>40</v>
      </c>
      <c r="L33" s="189">
        <v>0</v>
      </c>
      <c r="M33" s="184">
        <v>0</v>
      </c>
      <c r="N33" s="188">
        <v>0</v>
      </c>
      <c r="O33" s="192">
        <f t="shared" si="1"/>
        <v>40</v>
      </c>
      <c r="P33" s="21"/>
      <c r="Q33" s="309">
        <f t="shared" si="2"/>
        <v>13641</v>
      </c>
    </row>
    <row r="34" spans="1:17" s="104" customFormat="1">
      <c r="A34" s="327" t="s">
        <v>35</v>
      </c>
      <c r="B34" s="352" t="s">
        <v>136</v>
      </c>
      <c r="C34" s="328">
        <f t="shared" si="3"/>
        <v>1</v>
      </c>
      <c r="D34" s="329">
        <v>4286</v>
      </c>
      <c r="E34" s="330">
        <v>191</v>
      </c>
      <c r="F34" s="331">
        <v>0</v>
      </c>
      <c r="G34" s="330">
        <v>0</v>
      </c>
      <c r="H34" s="332">
        <v>0</v>
      </c>
      <c r="I34" s="333">
        <f t="shared" si="0"/>
        <v>4477</v>
      </c>
      <c r="K34" s="329">
        <v>25</v>
      </c>
      <c r="L34" s="329">
        <v>0</v>
      </c>
      <c r="M34" s="326">
        <v>0</v>
      </c>
      <c r="N34" s="330">
        <v>0</v>
      </c>
      <c r="O34" s="333">
        <f t="shared" si="1"/>
        <v>25</v>
      </c>
      <c r="P34" s="21"/>
      <c r="Q34" s="334">
        <f t="shared" si="2"/>
        <v>4502</v>
      </c>
    </row>
    <row r="35" spans="1:17" s="104" customFormat="1">
      <c r="A35" s="110" t="s">
        <v>33</v>
      </c>
      <c r="B35" s="351" t="s">
        <v>134</v>
      </c>
      <c r="C35" s="103">
        <f t="shared" si="3"/>
        <v>1</v>
      </c>
      <c r="D35" s="185">
        <v>2728</v>
      </c>
      <c r="E35" s="188">
        <v>254</v>
      </c>
      <c r="F35" s="186">
        <v>0</v>
      </c>
      <c r="G35" s="188">
        <v>0</v>
      </c>
      <c r="H35" s="187">
        <v>0</v>
      </c>
      <c r="I35" s="192">
        <f t="shared" si="0"/>
        <v>2982</v>
      </c>
      <c r="K35" s="185">
        <v>0</v>
      </c>
      <c r="L35" s="185">
        <v>0</v>
      </c>
      <c r="M35" s="184">
        <v>0</v>
      </c>
      <c r="N35" s="188">
        <v>0</v>
      </c>
      <c r="O35" s="192">
        <f t="shared" si="1"/>
        <v>0</v>
      </c>
      <c r="P35" s="21"/>
      <c r="Q35" s="309">
        <f t="shared" si="2"/>
        <v>2982</v>
      </c>
    </row>
    <row r="36" spans="1:17" s="104" customFormat="1">
      <c r="A36" s="327" t="s">
        <v>28</v>
      </c>
      <c r="B36" s="352" t="s">
        <v>129</v>
      </c>
      <c r="C36" s="328">
        <f t="shared" si="3"/>
        <v>1</v>
      </c>
      <c r="D36" s="329">
        <v>2374</v>
      </c>
      <c r="E36" s="330">
        <v>108</v>
      </c>
      <c r="F36" s="331">
        <v>0</v>
      </c>
      <c r="G36" s="330">
        <v>0</v>
      </c>
      <c r="H36" s="332">
        <v>0</v>
      </c>
      <c r="I36" s="333">
        <f t="shared" si="0"/>
        <v>2482</v>
      </c>
      <c r="K36" s="329">
        <v>20</v>
      </c>
      <c r="L36" s="329">
        <v>0</v>
      </c>
      <c r="M36" s="326">
        <v>0</v>
      </c>
      <c r="N36" s="330">
        <v>0</v>
      </c>
      <c r="O36" s="333">
        <f t="shared" si="1"/>
        <v>20</v>
      </c>
      <c r="P36" s="21"/>
      <c r="Q36" s="334">
        <f t="shared" si="2"/>
        <v>2502</v>
      </c>
    </row>
    <row r="37" spans="1:17" s="104" customFormat="1">
      <c r="A37" s="110" t="s">
        <v>34</v>
      </c>
      <c r="B37" s="351" t="s">
        <v>135</v>
      </c>
      <c r="C37" s="103">
        <f t="shared" si="3"/>
        <v>1</v>
      </c>
      <c r="D37" s="185">
        <f>2382-3</f>
        <v>2379</v>
      </c>
      <c r="E37" s="188">
        <v>35</v>
      </c>
      <c r="F37" s="186">
        <v>0</v>
      </c>
      <c r="G37" s="188">
        <v>0</v>
      </c>
      <c r="H37" s="187">
        <v>0</v>
      </c>
      <c r="I37" s="192">
        <f t="shared" si="0"/>
        <v>2414</v>
      </c>
      <c r="K37" s="185">
        <v>0</v>
      </c>
      <c r="L37" s="185">
        <v>0</v>
      </c>
      <c r="M37" s="184">
        <v>0</v>
      </c>
      <c r="N37" s="188">
        <v>0</v>
      </c>
      <c r="O37" s="192">
        <f t="shared" si="1"/>
        <v>0</v>
      </c>
      <c r="P37" s="21"/>
      <c r="Q37" s="309">
        <f t="shared" si="2"/>
        <v>2414</v>
      </c>
    </row>
    <row r="38" spans="1:17" s="104" customFormat="1">
      <c r="A38" s="327" t="s">
        <v>29</v>
      </c>
      <c r="B38" s="352" t="s">
        <v>130</v>
      </c>
      <c r="C38" s="328">
        <f t="shared" si="3"/>
        <v>1</v>
      </c>
      <c r="D38" s="329">
        <v>3893</v>
      </c>
      <c r="E38" s="330">
        <v>76</v>
      </c>
      <c r="F38" s="331">
        <v>0</v>
      </c>
      <c r="G38" s="330">
        <v>0</v>
      </c>
      <c r="H38" s="332">
        <v>0</v>
      </c>
      <c r="I38" s="333">
        <f t="shared" si="0"/>
        <v>3969</v>
      </c>
      <c r="K38" s="329">
        <v>0</v>
      </c>
      <c r="L38" s="329">
        <v>0</v>
      </c>
      <c r="M38" s="326">
        <v>0</v>
      </c>
      <c r="N38" s="330">
        <v>0</v>
      </c>
      <c r="O38" s="333">
        <f t="shared" si="1"/>
        <v>0</v>
      </c>
      <c r="P38" s="21"/>
      <c r="Q38" s="334">
        <f t="shared" si="2"/>
        <v>3969</v>
      </c>
    </row>
    <row r="39" spans="1:17" s="104" customFormat="1">
      <c r="A39" s="305" t="s">
        <v>63</v>
      </c>
      <c r="B39" s="353"/>
      <c r="C39" s="306"/>
      <c r="D39" s="307">
        <f t="shared" ref="D39:I39" si="4">SUM(D9:D38)</f>
        <v>130977</v>
      </c>
      <c r="E39" s="307">
        <f t="shared" si="4"/>
        <v>4756</v>
      </c>
      <c r="F39" s="307">
        <f t="shared" si="4"/>
        <v>55</v>
      </c>
      <c r="G39" s="307">
        <f t="shared" si="4"/>
        <v>0</v>
      </c>
      <c r="H39" s="307">
        <f t="shared" si="4"/>
        <v>165</v>
      </c>
      <c r="I39" s="308">
        <f t="shared" si="4"/>
        <v>135953</v>
      </c>
      <c r="K39" s="307">
        <f>SUM(K9:K38)</f>
        <v>1069</v>
      </c>
      <c r="L39" s="307">
        <f>SUM(L9:L38)</f>
        <v>0</v>
      </c>
      <c r="M39" s="307">
        <f>SUM(M9:M38)</f>
        <v>0</v>
      </c>
      <c r="N39" s="307">
        <f>SUM(N9:N38)</f>
        <v>0</v>
      </c>
      <c r="O39" s="308">
        <f>SUM(O9:O38)</f>
        <v>1069</v>
      </c>
      <c r="P39" s="21"/>
      <c r="Q39" s="308">
        <f t="shared" si="2"/>
        <v>137022</v>
      </c>
    </row>
    <row r="40" spans="1:17" s="104" customFormat="1">
      <c r="A40" s="327" t="s">
        <v>205</v>
      </c>
      <c r="B40" s="352" t="s">
        <v>212</v>
      </c>
      <c r="C40" s="328">
        <f>C38</f>
        <v>1</v>
      </c>
      <c r="D40" s="329">
        <v>34</v>
      </c>
      <c r="E40" s="330">
        <v>430</v>
      </c>
      <c r="F40" s="331">
        <v>0</v>
      </c>
      <c r="G40" s="330">
        <v>0</v>
      </c>
      <c r="H40" s="332">
        <v>0</v>
      </c>
      <c r="I40" s="333">
        <f>SUM(D40:H40)</f>
        <v>464</v>
      </c>
      <c r="K40" s="329">
        <v>0</v>
      </c>
      <c r="L40" s="329">
        <v>0</v>
      </c>
      <c r="M40" s="326">
        <v>0</v>
      </c>
      <c r="N40" s="330">
        <v>0</v>
      </c>
      <c r="O40" s="333">
        <f>SUM(K40:N40)</f>
        <v>0</v>
      </c>
      <c r="Q40" s="334">
        <f t="shared" si="2"/>
        <v>464</v>
      </c>
    </row>
    <row r="41" spans="1:17" s="104" customFormat="1">
      <c r="A41" s="110" t="s">
        <v>181</v>
      </c>
      <c r="B41" s="351" t="s">
        <v>180</v>
      </c>
      <c r="C41" s="103">
        <f>C40</f>
        <v>1</v>
      </c>
      <c r="D41" s="185">
        <v>0</v>
      </c>
      <c r="E41" s="188">
        <v>0</v>
      </c>
      <c r="F41" s="186">
        <f>130-75-55</f>
        <v>0</v>
      </c>
      <c r="G41" s="188">
        <v>0</v>
      </c>
      <c r="H41" s="187">
        <f>2-2</f>
        <v>0</v>
      </c>
      <c r="I41" s="192">
        <f>SUM(D41:H41)</f>
        <v>0</v>
      </c>
      <c r="K41" s="185">
        <v>0</v>
      </c>
      <c r="L41" s="185">
        <f>75</f>
        <v>75</v>
      </c>
      <c r="M41" s="184">
        <v>76</v>
      </c>
      <c r="N41" s="188">
        <v>2420</v>
      </c>
      <c r="O41" s="192">
        <f>SUM(K41:N41)</f>
        <v>2571</v>
      </c>
      <c r="Q41" s="309">
        <f t="shared" si="2"/>
        <v>2571</v>
      </c>
    </row>
    <row r="42" spans="1:17" s="104" customFormat="1">
      <c r="A42" s="108" t="s">
        <v>406</v>
      </c>
      <c r="B42" s="354"/>
      <c r="C42" s="348"/>
      <c r="D42" s="190">
        <f t="shared" ref="D42:I42" si="5">D39+D40+D41</f>
        <v>131011</v>
      </c>
      <c r="E42" s="190">
        <f t="shared" si="5"/>
        <v>5186</v>
      </c>
      <c r="F42" s="190">
        <f t="shared" si="5"/>
        <v>55</v>
      </c>
      <c r="G42" s="190">
        <f t="shared" si="5"/>
        <v>0</v>
      </c>
      <c r="H42" s="190">
        <f t="shared" si="5"/>
        <v>165</v>
      </c>
      <c r="I42" s="107">
        <f t="shared" si="5"/>
        <v>136417</v>
      </c>
      <c r="K42" s="190">
        <f>K39+K40+K41</f>
        <v>1069</v>
      </c>
      <c r="L42" s="190">
        <f>L39+L40+L41</f>
        <v>75</v>
      </c>
      <c r="M42" s="190">
        <f>M39+M40+M41</f>
        <v>76</v>
      </c>
      <c r="N42" s="190">
        <f>N39+N40+N41</f>
        <v>2420</v>
      </c>
      <c r="O42" s="107">
        <f>O39+O40+O41</f>
        <v>3640</v>
      </c>
      <c r="Q42" s="107">
        <f t="shared" si="2"/>
        <v>140057</v>
      </c>
    </row>
    <row r="43" spans="1:17" s="105" customFormat="1">
      <c r="A43" s="109" t="s">
        <v>155</v>
      </c>
      <c r="B43" s="355"/>
      <c r="C43" s="349"/>
      <c r="D43" s="108">
        <f>130437+294+280</f>
        <v>131011</v>
      </c>
      <c r="E43" s="191">
        <v>5186</v>
      </c>
      <c r="F43" s="194">
        <v>55</v>
      </c>
      <c r="G43" s="191">
        <v>0</v>
      </c>
      <c r="H43" s="193">
        <v>165</v>
      </c>
      <c r="I43" s="104"/>
      <c r="J43" s="104"/>
      <c r="K43" s="108">
        <v>1069</v>
      </c>
      <c r="L43" s="108">
        <v>75</v>
      </c>
      <c r="M43" s="191">
        <v>76</v>
      </c>
      <c r="N43" s="191">
        <v>2420</v>
      </c>
    </row>
    <row r="44" spans="1:17" s="105" customFormat="1">
      <c r="A44" s="109" t="s">
        <v>198</v>
      </c>
      <c r="B44" s="355"/>
      <c r="C44" s="349"/>
      <c r="D44" s="108">
        <f>D43-D42</f>
        <v>0</v>
      </c>
      <c r="E44" s="191">
        <f>E43-E42</f>
        <v>0</v>
      </c>
      <c r="F44" s="194">
        <f>F43-F42</f>
        <v>0</v>
      </c>
      <c r="G44" s="191">
        <f>G43-G42</f>
        <v>0</v>
      </c>
      <c r="H44" s="193">
        <f>H43-H42</f>
        <v>0</v>
      </c>
      <c r="I44" s="104"/>
      <c r="J44" s="104"/>
      <c r="K44" s="108">
        <f>K43-K42</f>
        <v>0</v>
      </c>
      <c r="L44" s="108"/>
      <c r="M44" s="191">
        <f>M43-M42</f>
        <v>0</v>
      </c>
      <c r="N44" s="191">
        <f>N43-N42</f>
        <v>0</v>
      </c>
    </row>
    <row r="45" spans="1:17">
      <c r="P45" s="27"/>
    </row>
    <row r="46" spans="1:17" hidden="1">
      <c r="A46" s="347" t="s">
        <v>425</v>
      </c>
      <c r="D46" s="104">
        <f>D42-D48</f>
        <v>280</v>
      </c>
      <c r="E46" s="104">
        <f>E42-E48</f>
        <v>0</v>
      </c>
      <c r="F46" s="104">
        <f>F42-F48</f>
        <v>0</v>
      </c>
      <c r="G46" s="104">
        <f>G42-G48</f>
        <v>-280</v>
      </c>
      <c r="H46" s="104">
        <f>H42-H48</f>
        <v>0</v>
      </c>
      <c r="I46" s="104">
        <f>I48-I42</f>
        <v>0</v>
      </c>
      <c r="K46" s="104">
        <f>K42-K48</f>
        <v>0</v>
      </c>
      <c r="L46" s="104">
        <f>L42-L48</f>
        <v>0</v>
      </c>
      <c r="M46" s="104">
        <f>M42-M48</f>
        <v>0</v>
      </c>
      <c r="N46" s="104">
        <f>N42-N48</f>
        <v>0</v>
      </c>
      <c r="O46" s="104">
        <f>O42-O48</f>
        <v>0</v>
      </c>
      <c r="P46" s="27"/>
      <c r="Q46" s="27">
        <f>I46+O46</f>
        <v>0</v>
      </c>
    </row>
    <row r="47" spans="1:17" hidden="1">
      <c r="A47" s="347"/>
      <c r="P47" s="27"/>
    </row>
    <row r="48" spans="1:17" hidden="1">
      <c r="A48" s="347" t="s">
        <v>426</v>
      </c>
      <c r="D48" s="104">
        <v>130731</v>
      </c>
      <c r="E48" s="104">
        <v>5186</v>
      </c>
      <c r="F48" s="104">
        <v>55</v>
      </c>
      <c r="G48" s="104">
        <v>280</v>
      </c>
      <c r="H48" s="104">
        <v>165</v>
      </c>
      <c r="I48" s="104">
        <f>SUM(D48:H48)</f>
        <v>136417</v>
      </c>
      <c r="K48" s="104">
        <v>1069</v>
      </c>
      <c r="L48" s="104">
        <v>75</v>
      </c>
      <c r="M48" s="104">
        <f>50+26</f>
        <v>76</v>
      </c>
      <c r="N48" s="104">
        <v>2420</v>
      </c>
      <c r="O48" s="27">
        <f>SUM(K48:N48)</f>
        <v>3640</v>
      </c>
      <c r="P48" s="27"/>
      <c r="Q48" s="27">
        <f>O48+I48</f>
        <v>140057</v>
      </c>
    </row>
    <row r="49" spans="13:16">
      <c r="M49" s="104" t="s">
        <v>403</v>
      </c>
      <c r="P49" s="27"/>
    </row>
    <row r="50" spans="13:16">
      <c r="P50" s="27"/>
    </row>
    <row r="51" spans="13:16">
      <c r="P51" s="27"/>
    </row>
  </sheetData>
  <mergeCells count="6">
    <mergeCell ref="K6:N6"/>
    <mergeCell ref="E6:H6"/>
    <mergeCell ref="K5:O5"/>
    <mergeCell ref="D5:I5"/>
    <mergeCell ref="A2:Q2"/>
    <mergeCell ref="A3:Q3"/>
  </mergeCells>
  <phoneticPr fontId="0" type="noConversion"/>
  <pageMargins left="0.5" right="0.5" top="0.5" bottom="0.75" header="0.5" footer="0.5"/>
  <pageSetup scale="75" orientation="landscape" r:id="rId1"/>
  <headerFooter alignWithMargins="0">
    <oddFooter>&amp;L&amp;"Calibri,Regular"&amp;8Prepared by the SBCTC- Operating Budget Office&amp;R&amp;D</oddFoot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M148"/>
  <sheetViews>
    <sheetView topLeftCell="A32" zoomScaleNormal="100" workbookViewId="0">
      <selection activeCell="E18" sqref="E18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9.140625" style="23"/>
    <col min="11" max="11" width="8.5703125" style="23" bestFit="1" customWidth="1"/>
    <col min="12" max="12" width="11" style="23" bestFit="1" customWidth="1"/>
    <col min="13" max="16384" width="9.140625" style="23"/>
  </cols>
  <sheetData>
    <row r="1" spans="1:13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13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13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13" s="92" customFormat="1" ht="12.75" customHeight="1">
      <c r="C4" s="95"/>
      <c r="D4" s="95"/>
      <c r="E4" s="95"/>
      <c r="F4" s="95"/>
      <c r="G4" s="95"/>
      <c r="I4" s="97"/>
    </row>
    <row r="5" spans="1:13" s="92" customFormat="1" ht="15.75">
      <c r="C5" s="95"/>
      <c r="D5" s="37"/>
      <c r="E5" s="36" t="s">
        <v>46</v>
      </c>
      <c r="F5" s="199" t="s">
        <v>114</v>
      </c>
      <c r="G5" s="505" t="str">
        <f>VLOOKUP($F5,District,2,FALSE)</f>
        <v>Bates Technical College</v>
      </c>
      <c r="H5" s="505"/>
      <c r="I5" s="505"/>
    </row>
    <row r="6" spans="1:13" ht="12.75" customHeight="1" thickBot="1"/>
    <row r="7" spans="1:13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13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13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13" ht="12.75" customHeight="1">
      <c r="A10" s="46"/>
      <c r="B10" s="47"/>
      <c r="C10" s="48">
        <f>IF(ISNA(VLOOKUP($F$5,Student,8,FALSE)),0,VLOOKUP($F$5,Student,8,FALSE))</f>
        <v>4705</v>
      </c>
      <c r="D10" s="48"/>
      <c r="E10" s="48">
        <f>IF(ISNA(VLOOKUP($F$5,Student,14,FALSE)),0,VLOOKUP($F$5,Student,14,FALSE))</f>
        <v>62</v>
      </c>
      <c r="F10" s="48"/>
      <c r="G10" s="48">
        <f>$E$10+$C$10+$A$10</f>
        <v>4767</v>
      </c>
      <c r="I10" s="49"/>
    </row>
    <row r="11" spans="1:13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13" ht="12.75" customHeight="1" thickTop="1"/>
    <row r="13" spans="1:13" s="83" customFormat="1" ht="26.25" thickBot="1">
      <c r="A13" s="78" t="s">
        <v>13</v>
      </c>
      <c r="B13" s="78"/>
      <c r="C13" s="79" t="s">
        <v>201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13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13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13" ht="12.75" customHeight="1">
      <c r="A16" s="115" t="s">
        <v>186</v>
      </c>
      <c r="B16" s="35" t="s">
        <v>51</v>
      </c>
      <c r="C16" s="16">
        <f t="shared" ref="C16:C23" si="0">IF(ISNA(VLOOKUP($F$5 &amp;A16, AllocSched,12,FALSE)),"-",VLOOKUP($F$5 &amp;A16, AllocSched,12,FALSE))</f>
        <v>14773798</v>
      </c>
      <c r="D16" s="112" t="s">
        <v>51</v>
      </c>
      <c r="E16" s="16">
        <f t="shared" ref="E16:E23" si="1">IF(ISNA(VLOOKUP($F$5 &amp; A16, AllocSched,13,FALSE)),"-",VLOOKUP($F$5 &amp; A16, AllocSched,13,FALSE))</f>
        <v>-8976</v>
      </c>
      <c r="F16" s="16" t="s">
        <v>51</v>
      </c>
      <c r="G16" s="16">
        <f t="shared" ref="G16:G23" si="2">IF(C16="-",E16,C16+E16)</f>
        <v>14764822</v>
      </c>
      <c r="H16" s="55" t="str">
        <f t="shared" ref="H16:H23" si="3">IF(ISNA(VLOOKUP($F$5 &amp; A16, AllocSched,9,FALSE))," ",VLOOKUP($F$5 &amp; A16, AllocSched,9,FALSE))</f>
        <v>001-011</v>
      </c>
      <c r="I16" s="56">
        <f t="shared" ref="I16:I25" si="4">IF(ISNA(VLOOKUP($F$5 &amp; A16, AllocSched,14,FALSE))," ",VLOOKUP($F$5 &amp; A16, AllocSched,14,FALSE))</f>
        <v>101</v>
      </c>
      <c r="L16" s="270"/>
      <c r="M16" s="268"/>
    </row>
    <row r="17" spans="1:9" ht="12.75" customHeight="1">
      <c r="A17" s="115" t="s">
        <v>171</v>
      </c>
      <c r="B17" s="54"/>
      <c r="C17" s="16">
        <f t="shared" si="0"/>
        <v>1243584</v>
      </c>
      <c r="D17" s="112"/>
      <c r="E17" s="16">
        <f t="shared" si="1"/>
        <v>8976</v>
      </c>
      <c r="F17" s="16"/>
      <c r="G17" s="16">
        <f t="shared" si="2"/>
        <v>1252560</v>
      </c>
      <c r="H17" s="55" t="str">
        <f t="shared" si="3"/>
        <v>08A-3E0</v>
      </c>
      <c r="I17" s="56" t="str">
        <f t="shared" si="4"/>
        <v>3E0</v>
      </c>
    </row>
    <row r="18" spans="1:9" s="272" customFormat="1" ht="12.75" customHeight="1">
      <c r="A18" s="38" t="s">
        <v>441</v>
      </c>
      <c r="C18" s="16">
        <f>IF(ISNA(VLOOKUP($F$5 &amp;A18, AllocSched,12,FALSE)),"-",VLOOKUP($F$5 &amp;A18, AllocSched,12,FALSE))</f>
        <v>0</v>
      </c>
      <c r="D18" s="112"/>
      <c r="E18" s="16">
        <f>IF(ISNA(VLOOKUP($F$5 &amp; A18, AllocSched,13,FALSE)),"-",VLOOKUP($F$5 &amp; A18, AllocSched,13,FALSE))</f>
        <v>-656328</v>
      </c>
      <c r="F18" s="16"/>
      <c r="G18" s="16">
        <f t="shared" si="2"/>
        <v>-656328</v>
      </c>
      <c r="H18" s="55" t="str">
        <f>IF(ISNA(VLOOKUP($F$5 &amp; A18, AllocSched,9,FALSE))," ",VLOOKUP($F$5 &amp; A18, AllocSched,9,FALSE))</f>
        <v>001-011</v>
      </c>
      <c r="I18" s="56">
        <f>IF(ISNA(VLOOKUP($F$5 &amp; A18, AllocSched,14,FALSE))," ",VLOOKUP($F$5 &amp; A18, AllocSched,14,FALSE))</f>
        <v>101</v>
      </c>
    </row>
    <row r="19" spans="1:9" s="272" customFormat="1" ht="12.75" customHeight="1">
      <c r="A19" s="38" t="s">
        <v>781</v>
      </c>
      <c r="C19" s="16">
        <f>IF(ISNA(VLOOKUP($F$5 &amp;A19, AllocSched,12,FALSE)),"-",VLOOKUP($F$5 &amp;A19, AllocSched,12,FALSE))</f>
        <v>0</v>
      </c>
      <c r="D19" s="112"/>
      <c r="E19" s="16">
        <f>IF(ISNA(VLOOKUP($F$5 &amp; A19, AllocSched,13,FALSE)),"-",VLOOKUP($F$5 &amp; A19, AllocSched,13,FALSE))</f>
        <v>52685</v>
      </c>
      <c r="F19" s="16"/>
      <c r="G19" s="16">
        <f>IF(C19="-",E19,C19+E19)</f>
        <v>52685</v>
      </c>
      <c r="H19" s="55" t="str">
        <f>IF(ISNA(VLOOKUP($F$5 &amp; A19, AllocSched,9,FALSE))," ",VLOOKUP($F$5 &amp; A19, AllocSched,9,FALSE))</f>
        <v>001-011</v>
      </c>
      <c r="I19" s="56">
        <f>IF(ISNA(VLOOKUP($F$5 &amp; A19, AllocSched,14,FALSE))," ",VLOOKUP($F$5 &amp; A19, AllocSched,14,FALSE))</f>
        <v>101</v>
      </c>
    </row>
    <row r="20" spans="1:9" s="272" customFormat="1" ht="12.75" customHeight="1">
      <c r="A20" s="38" t="s">
        <v>448</v>
      </c>
      <c r="C20" s="16">
        <f>IF(ISNA(VLOOKUP($F$5 &amp;A20, AllocSched,12,FALSE)),"-",VLOOKUP($F$5 &amp;A20, AllocSched,12,FALSE))</f>
        <v>0</v>
      </c>
      <c r="D20" s="112"/>
      <c r="E20" s="16">
        <f>IF(ISNA(VLOOKUP($F$5 &amp; A20, AllocSched,13,FALSE)),"-",VLOOKUP($F$5 &amp; A20, AllocSched,13,FALSE))</f>
        <v>309824</v>
      </c>
      <c r="F20" s="16"/>
      <c r="G20" s="16">
        <f t="shared" si="2"/>
        <v>309824</v>
      </c>
      <c r="H20" s="55" t="str">
        <f>IF(ISNA(VLOOKUP($F$5 &amp; A20, AllocSched,9,FALSE))," ",VLOOKUP($F$5 &amp; A20, AllocSched,9,FALSE))</f>
        <v>001-011</v>
      </c>
      <c r="I20" s="56">
        <f>IF(ISNA(VLOOKUP($F$5 &amp; A20, AllocSched,14,FALSE))," ",VLOOKUP($F$5 &amp; A20, AllocSched,14,FALSE))</f>
        <v>101</v>
      </c>
    </row>
    <row r="21" spans="1:9" s="269" customFormat="1" ht="12.75" customHeight="1">
      <c r="A21" s="115" t="s">
        <v>340</v>
      </c>
      <c r="B21" s="54"/>
      <c r="C21" s="16">
        <f>IF(ISNA(VLOOKUP($F$5 &amp;A21, AllocSched,12,FALSE)),"-",VLOOKUP($F$5 &amp;A21, AllocSched,12,FALSE))</f>
        <v>0</v>
      </c>
      <c r="D21" s="112"/>
      <c r="E21" s="16">
        <f>IF(ISNA(VLOOKUP($F$5 &amp; A21, AllocSched,13,FALSE)),"-",VLOOKUP($F$5 &amp; A21, AllocSched,13,FALSE))</f>
        <v>533756</v>
      </c>
      <c r="F21" s="16"/>
      <c r="G21" s="16">
        <f t="shared" si="2"/>
        <v>533756</v>
      </c>
      <c r="H21" s="55" t="str">
        <f>IF(ISNA(VLOOKUP($F$5 &amp; A21, AllocSched,9,FALSE))," ",VLOOKUP($F$5 &amp; A21, AllocSched,9,FALSE))</f>
        <v>001-011</v>
      </c>
      <c r="I21" s="56">
        <f>IF(ISNA(VLOOKUP($F$5 &amp; A21, AllocSched,14,FALSE))," ",VLOOKUP($F$5 &amp; A21, AllocSched,14,FALSE))</f>
        <v>101</v>
      </c>
    </row>
    <row r="22" spans="1:9" ht="12.75" customHeight="1">
      <c r="A22" s="115" t="s">
        <v>207</v>
      </c>
      <c r="B22" s="54"/>
      <c r="C22" s="16">
        <f t="shared" si="0"/>
        <v>0</v>
      </c>
      <c r="D22" s="112"/>
      <c r="E22" s="16">
        <f t="shared" si="1"/>
        <v>64517</v>
      </c>
      <c r="F22" s="16"/>
      <c r="G22" s="16">
        <f t="shared" si="2"/>
        <v>64517</v>
      </c>
      <c r="H22" s="55" t="str">
        <f t="shared" si="3"/>
        <v>001-011</v>
      </c>
      <c r="I22" s="56">
        <f t="shared" si="4"/>
        <v>101</v>
      </c>
    </row>
    <row r="23" spans="1:9" s="272" customFormat="1" ht="12.75" customHeight="1">
      <c r="A23" s="115" t="s">
        <v>203</v>
      </c>
      <c r="B23" s="54"/>
      <c r="C23" s="16">
        <f t="shared" si="0"/>
        <v>0</v>
      </c>
      <c r="D23" s="112"/>
      <c r="E23" s="16">
        <f t="shared" si="1"/>
        <v>-4659</v>
      </c>
      <c r="F23" s="16"/>
      <c r="G23" s="16">
        <f t="shared" si="2"/>
        <v>-4659</v>
      </c>
      <c r="H23" s="55" t="str">
        <f t="shared" si="3"/>
        <v>001-011</v>
      </c>
      <c r="I23" s="56">
        <f t="shared" si="4"/>
        <v>101</v>
      </c>
    </row>
    <row r="24" spans="1:9" ht="12.75" customHeight="1">
      <c r="A24" s="115"/>
      <c r="B24" s="54"/>
      <c r="C24" s="16"/>
      <c r="D24" s="112"/>
      <c r="E24" s="16"/>
      <c r="F24" s="16"/>
      <c r="G24" s="16"/>
      <c r="H24" s="55"/>
      <c r="I24" s="56" t="str">
        <f t="shared" si="4"/>
        <v xml:space="preserve"> </v>
      </c>
    </row>
    <row r="25" spans="1:9" s="83" customFormat="1">
      <c r="A25" s="114" t="s">
        <v>168</v>
      </c>
      <c r="B25" s="84"/>
      <c r="C25" s="16"/>
      <c r="D25" s="112"/>
      <c r="E25" s="16"/>
      <c r="F25" s="16"/>
      <c r="G25" s="16"/>
      <c r="H25" s="55"/>
      <c r="I25" s="56" t="str">
        <f t="shared" si="4"/>
        <v xml:space="preserve"> </v>
      </c>
    </row>
    <row r="26" spans="1:9" ht="12.75" customHeight="1">
      <c r="A26" s="38" t="s">
        <v>160</v>
      </c>
      <c r="C26" s="16">
        <f t="shared" ref="C26:C39" si="5">IF(ISNA(VLOOKUP($F$5 &amp;A26, AllocSched,12,FALSE)),"-",VLOOKUP($F$5 &amp;A26, AllocSched,12,FALSE))</f>
        <v>207271</v>
      </c>
      <c r="D26" s="112"/>
      <c r="E26" s="16">
        <f t="shared" ref="E26:E39" si="6">IF(ISNA(VLOOKUP($F$5 &amp; A26, AllocSched,13,FALSE)),"-",VLOOKUP($F$5 &amp; A26, AllocSched,13,FALSE))</f>
        <v>-90330</v>
      </c>
      <c r="F26" s="16"/>
      <c r="G26" s="16">
        <f t="shared" ref="G26:G39" si="7">IF(C26="-",E26,C26+E26)</f>
        <v>116941</v>
      </c>
      <c r="H26" s="55" t="str">
        <f t="shared" ref="H26:H39" si="8">IF(ISNA(VLOOKUP($F$5 &amp; A26, AllocSched,9,FALSE))," ",VLOOKUP($F$5 &amp; A26, AllocSched,9,FALSE))</f>
        <v>001-011</v>
      </c>
      <c r="I26" s="56">
        <f t="shared" ref="I26:I28" si="9">IF(ISNA(VLOOKUP($F$5 &amp; A26, AllocSched,14,FALSE))," ",VLOOKUP($F$5 &amp; A26, AllocSched,14,FALSE))</f>
        <v>101</v>
      </c>
    </row>
    <row r="27" spans="1:9" s="272" customFormat="1" ht="12.75" customHeight="1">
      <c r="A27" s="38" t="s">
        <v>345</v>
      </c>
      <c r="C27" s="16">
        <f>IF(ISNA(VLOOKUP($F$5 &amp;A27, AllocSched,12,FALSE)),"-",VLOOKUP($F$5 &amp;A27, AllocSched,12,FALSE))</f>
        <v>411771</v>
      </c>
      <c r="D27" s="112"/>
      <c r="E27" s="16">
        <f>IF(ISNA(VLOOKUP($F$5 &amp; A27, AllocSched,13,FALSE)),"-",VLOOKUP($F$5 &amp; A27, AllocSched,13,FALSE))</f>
        <v>0</v>
      </c>
      <c r="F27" s="16"/>
      <c r="G27" s="16">
        <f t="shared" si="7"/>
        <v>411771</v>
      </c>
      <c r="H27" s="55" t="str">
        <f t="shared" si="8"/>
        <v>001-011</v>
      </c>
      <c r="I27" s="56">
        <f t="shared" si="9"/>
        <v>101</v>
      </c>
    </row>
    <row r="28" spans="1:9" ht="12.75" customHeight="1">
      <c r="A28" s="38" t="s">
        <v>222</v>
      </c>
      <c r="C28" s="16">
        <f>IF(ISNA(VLOOKUP($F$5 &amp;A28, AllocSched,12,FALSE)),"-",VLOOKUP($F$5 &amp;A28, AllocSched,12,FALSE))</f>
        <v>52134</v>
      </c>
      <c r="D28" s="112"/>
      <c r="E28" s="16">
        <f>IF(ISNA(VLOOKUP($F$5 &amp; A28, AllocSched,13,FALSE)),"-",VLOOKUP($F$5 &amp; A28, AllocSched,13,FALSE))</f>
        <v>-52134</v>
      </c>
      <c r="F28" s="16"/>
      <c r="G28" s="16">
        <f t="shared" si="7"/>
        <v>0</v>
      </c>
      <c r="H28" s="55" t="str">
        <f t="shared" si="8"/>
        <v>08A-3E0</v>
      </c>
      <c r="I28" s="56" t="str">
        <f t="shared" si="9"/>
        <v>3E0</v>
      </c>
    </row>
    <row r="29" spans="1:9" ht="12.75" customHeight="1">
      <c r="A29" s="38" t="s">
        <v>170</v>
      </c>
      <c r="C29" s="16">
        <f t="shared" si="5"/>
        <v>73539</v>
      </c>
      <c r="D29" s="112"/>
      <c r="E29" s="16">
        <f t="shared" si="6"/>
        <v>-57962</v>
      </c>
      <c r="F29" s="16"/>
      <c r="G29" s="16">
        <f t="shared" si="7"/>
        <v>15577</v>
      </c>
      <c r="H29" s="55" t="str">
        <f t="shared" si="8"/>
        <v>001-011</v>
      </c>
      <c r="I29" s="56">
        <f t="shared" ref="I29:I39" si="10">IF(ISNA(VLOOKUP($F$5 &amp; A29, AllocSched,14,FALSE))," ",VLOOKUP($F$5 &amp; A29, AllocSched,14,FALSE))</f>
        <v>101</v>
      </c>
    </row>
    <row r="30" spans="1:9" ht="12.75" customHeight="1">
      <c r="A30" s="115" t="s">
        <v>151</v>
      </c>
      <c r="B30" s="54"/>
      <c r="C30" s="16">
        <f t="shared" si="5"/>
        <v>263800</v>
      </c>
      <c r="D30" s="112"/>
      <c r="E30" s="16">
        <f t="shared" si="6"/>
        <v>-13800</v>
      </c>
      <c r="F30" s="16"/>
      <c r="G30" s="16">
        <f t="shared" si="7"/>
        <v>250000</v>
      </c>
      <c r="H30" s="55" t="str">
        <f t="shared" si="8"/>
        <v>08A-3E0</v>
      </c>
      <c r="I30" s="56" t="str">
        <f t="shared" si="10"/>
        <v>3E0</v>
      </c>
    </row>
    <row r="31" spans="1:9" ht="12.75" customHeight="1">
      <c r="A31" s="115" t="s">
        <v>150</v>
      </c>
      <c r="B31" s="54"/>
      <c r="C31" s="16">
        <f t="shared" si="5"/>
        <v>29412</v>
      </c>
      <c r="D31" s="112"/>
      <c r="E31" s="16">
        <f t="shared" si="6"/>
        <v>0</v>
      </c>
      <c r="F31" s="16"/>
      <c r="G31" s="16">
        <f t="shared" si="7"/>
        <v>29412</v>
      </c>
      <c r="H31" s="55" t="str">
        <f t="shared" si="8"/>
        <v>001-011</v>
      </c>
      <c r="I31" s="56">
        <f t="shared" si="10"/>
        <v>101</v>
      </c>
    </row>
    <row r="32" spans="1:9" ht="12.75" customHeight="1">
      <c r="A32" s="115" t="s">
        <v>272</v>
      </c>
      <c r="B32" s="54"/>
      <c r="C32" s="16">
        <f t="shared" si="5"/>
        <v>74340</v>
      </c>
      <c r="D32" s="112"/>
      <c r="E32" s="16">
        <f t="shared" si="6"/>
        <v>0</v>
      </c>
      <c r="F32" s="16"/>
      <c r="G32" s="16">
        <f t="shared" si="7"/>
        <v>74340</v>
      </c>
      <c r="H32" s="55" t="str">
        <f t="shared" si="8"/>
        <v>001-BD1</v>
      </c>
      <c r="I32" s="56" t="str">
        <f t="shared" si="10"/>
        <v>BD1</v>
      </c>
    </row>
    <row r="33" spans="1:12" ht="12.75" customHeight="1">
      <c r="A33" s="115" t="s">
        <v>273</v>
      </c>
      <c r="B33" s="54"/>
      <c r="C33" s="16">
        <f>IF(ISNA(VLOOKUP($F$5 &amp;A33, AllocSched,12,FALSE)),"-",VLOOKUP($F$5 &amp;A33, AllocSched,12,FALSE))</f>
        <v>127666</v>
      </c>
      <c r="D33" s="112"/>
      <c r="E33" s="16">
        <f>IF(ISNA(VLOOKUP($F$5 &amp; A33, AllocSched,13,FALSE)),"-",VLOOKUP($F$5 &amp; A33, AllocSched,13,FALSE))</f>
        <v>-127666</v>
      </c>
      <c r="F33" s="16"/>
      <c r="G33" s="16">
        <f t="shared" si="7"/>
        <v>0</v>
      </c>
      <c r="H33" s="55" t="str">
        <f t="shared" si="8"/>
        <v>001-BD1</v>
      </c>
      <c r="I33" s="56" t="str">
        <f t="shared" si="10"/>
        <v>BD1</v>
      </c>
    </row>
    <row r="34" spans="1:12" ht="12.75" customHeight="1">
      <c r="A34" s="115" t="s">
        <v>6</v>
      </c>
      <c r="B34" s="54"/>
      <c r="C34" s="16">
        <f t="shared" si="5"/>
        <v>14926</v>
      </c>
      <c r="D34" s="112"/>
      <c r="E34" s="16">
        <f t="shared" si="6"/>
        <v>-56</v>
      </c>
      <c r="F34" s="16"/>
      <c r="G34" s="16">
        <f t="shared" si="7"/>
        <v>14870</v>
      </c>
      <c r="H34" s="55" t="str">
        <f t="shared" si="8"/>
        <v>001-011</v>
      </c>
      <c r="I34" s="56">
        <f t="shared" si="10"/>
        <v>101</v>
      </c>
    </row>
    <row r="35" spans="1:12" s="272" customFormat="1" ht="12.75" customHeight="1">
      <c r="A35" s="115" t="s">
        <v>454</v>
      </c>
      <c r="B35" s="54"/>
      <c r="C35" s="16">
        <f t="shared" si="5"/>
        <v>0</v>
      </c>
      <c r="D35" s="112"/>
      <c r="E35" s="16">
        <f>IF(ISNA(VLOOKUP($F$5 &amp; A35, AllocSched,13,FALSE)),"-",VLOOKUP($F$5 &amp; A35, AllocSched,13,FALSE))</f>
        <v>10609</v>
      </c>
      <c r="F35" s="16"/>
      <c r="G35" s="16">
        <f t="shared" si="7"/>
        <v>10609</v>
      </c>
      <c r="H35" s="55" t="str">
        <f t="shared" si="8"/>
        <v>001-011</v>
      </c>
      <c r="I35" s="56">
        <f t="shared" si="10"/>
        <v>101</v>
      </c>
    </row>
    <row r="36" spans="1:12" s="272" customFormat="1" ht="12.75" customHeight="1">
      <c r="A36" s="115" t="s">
        <v>64</v>
      </c>
      <c r="B36" s="54"/>
      <c r="C36" s="16">
        <f t="shared" si="5"/>
        <v>5000</v>
      </c>
      <c r="D36" s="112"/>
      <c r="E36" s="16">
        <f t="shared" si="6"/>
        <v>-5000</v>
      </c>
      <c r="F36" s="16"/>
      <c r="G36" s="16">
        <f t="shared" si="7"/>
        <v>0</v>
      </c>
      <c r="H36" s="55" t="str">
        <f t="shared" si="8"/>
        <v>001-011</v>
      </c>
      <c r="I36" s="56">
        <f t="shared" si="10"/>
        <v>101</v>
      </c>
    </row>
    <row r="37" spans="1:12" ht="12.75" customHeight="1">
      <c r="A37" s="115" t="s">
        <v>333</v>
      </c>
      <c r="B37" s="54"/>
      <c r="C37" s="16">
        <f>IF(ISNA(VLOOKUP($F$5 &amp;A37, AllocSched,12,FALSE)),"-",VLOOKUP($F$5 &amp;A37, AllocSched,12,FALSE))</f>
        <v>281807</v>
      </c>
      <c r="D37" s="112"/>
      <c r="E37" s="16">
        <f>IF(ISNA(VLOOKUP($F$5 &amp; A37, AllocSched,13,FALSE)),"-",VLOOKUP($F$5 &amp; A37, AllocSched,13,FALSE))</f>
        <v>-55000</v>
      </c>
      <c r="F37" s="16"/>
      <c r="G37" s="16">
        <f t="shared" si="7"/>
        <v>226807</v>
      </c>
      <c r="H37" s="55" t="str">
        <f t="shared" si="8"/>
        <v>001-011</v>
      </c>
      <c r="I37" s="56">
        <f t="shared" si="10"/>
        <v>101</v>
      </c>
    </row>
    <row r="38" spans="1:12" ht="12.75" customHeight="1">
      <c r="A38" s="115" t="s">
        <v>332</v>
      </c>
      <c r="B38" s="54"/>
      <c r="C38" s="16">
        <f>IF(ISNA(VLOOKUP($F$5 &amp;A38, AllocSched,12,FALSE)),"-",VLOOKUP($F$5 &amp;A38, AllocSched,12,FALSE))</f>
        <v>1083391</v>
      </c>
      <c r="D38" s="112"/>
      <c r="E38" s="16">
        <f>IF(ISNA(VLOOKUP($F$5 &amp; A38, AllocSched,13,FALSE)),"-",VLOOKUP($F$5 &amp; A38, AllocSched,13,FALSE))</f>
        <v>0</v>
      </c>
      <c r="F38" s="16"/>
      <c r="G38" s="16">
        <f t="shared" si="7"/>
        <v>1083391</v>
      </c>
      <c r="H38" s="55" t="str">
        <f t="shared" si="8"/>
        <v>001-AC1</v>
      </c>
      <c r="I38" s="56">
        <f t="shared" si="10"/>
        <v>123</v>
      </c>
    </row>
    <row r="39" spans="1:12" ht="12.75" customHeight="1">
      <c r="A39" s="115" t="s">
        <v>215</v>
      </c>
      <c r="B39" s="54"/>
      <c r="C39" s="16">
        <f t="shared" si="5"/>
        <v>691875</v>
      </c>
      <c r="D39" s="112"/>
      <c r="E39" s="16">
        <f t="shared" si="6"/>
        <v>-691875</v>
      </c>
      <c r="F39" s="16"/>
      <c r="G39" s="16">
        <f t="shared" si="7"/>
        <v>0</v>
      </c>
      <c r="H39" s="55" t="str">
        <f t="shared" si="8"/>
        <v>001-AC1</v>
      </c>
      <c r="I39" s="56">
        <f t="shared" si="10"/>
        <v>123</v>
      </c>
    </row>
    <row r="40" spans="1:12" ht="12.75" customHeight="1">
      <c r="A40" s="54"/>
      <c r="B40" s="54"/>
      <c r="C40" s="16"/>
      <c r="D40" s="112"/>
      <c r="E40" s="16"/>
      <c r="F40" s="16"/>
      <c r="G40" s="16"/>
      <c r="H40" s="55"/>
      <c r="I40" s="56"/>
    </row>
    <row r="41" spans="1:12" ht="13.5" thickBot="1">
      <c r="A41" s="89" t="s">
        <v>174</v>
      </c>
      <c r="B41" s="57" t="s">
        <v>51</v>
      </c>
      <c r="C41" s="111">
        <f>SUM(C16:C39)</f>
        <v>19334314</v>
      </c>
      <c r="D41" s="113" t="s">
        <v>51</v>
      </c>
      <c r="E41" s="111">
        <f>SUM(E16:E39)</f>
        <v>-783419</v>
      </c>
      <c r="F41" s="113" t="s">
        <v>51</v>
      </c>
      <c r="G41" s="111">
        <f>SUM(G16:G39)</f>
        <v>18550895</v>
      </c>
      <c r="H41" s="25"/>
      <c r="K41" s="25"/>
      <c r="L41" s="30"/>
    </row>
    <row r="42" spans="1:12" ht="12.75" customHeight="1" thickTop="1">
      <c r="A42" s="84"/>
      <c r="B42" s="84"/>
      <c r="C42" s="58">
        <v>0</v>
      </c>
      <c r="D42" s="58"/>
      <c r="E42" s="90"/>
      <c r="F42" s="90"/>
      <c r="G42" s="90"/>
    </row>
    <row r="43" spans="1:12" s="65" customFormat="1" ht="25.5">
      <c r="A43" s="59" t="s">
        <v>156</v>
      </c>
      <c r="B43" s="60"/>
      <c r="C43" s="61"/>
      <c r="D43" s="62"/>
      <c r="E43" s="63" t="s">
        <v>67</v>
      </c>
      <c r="F43" s="62"/>
      <c r="G43" s="64" t="s">
        <v>163</v>
      </c>
      <c r="H43" s="64" t="s">
        <v>164</v>
      </c>
      <c r="I43" s="98" t="s">
        <v>70</v>
      </c>
    </row>
    <row r="44" spans="1:12" s="65" customFormat="1" ht="12.75" customHeight="1">
      <c r="A44" s="65" t="s">
        <v>240</v>
      </c>
      <c r="C44" s="70"/>
      <c r="D44" s="70"/>
      <c r="E44" s="183" t="s">
        <v>347</v>
      </c>
      <c r="F44" s="70"/>
      <c r="G44" s="28">
        <f t="shared" ref="G44:G51" si="11">VLOOKUP($F$5 &amp; $A44 &amp; $E44,AddRes,7,FALSE)</f>
        <v>0</v>
      </c>
      <c r="H44" s="28">
        <f>VLOOKUP($F$5 &amp; $A44 &amp; $E44,AddRes,8,FALSE)</f>
        <v>0</v>
      </c>
      <c r="I44" s="69">
        <f>VLOOKUP($F$5 &amp; $A44 &amp; $E44,AddRes,10,FALSE)</f>
        <v>42277</v>
      </c>
    </row>
    <row r="45" spans="1:12" s="65" customFormat="1" ht="12.75" customHeight="1">
      <c r="A45" s="65" t="s">
        <v>497</v>
      </c>
      <c r="C45" s="70"/>
      <c r="D45" s="70"/>
      <c r="E45" s="183" t="s">
        <v>499</v>
      </c>
      <c r="F45" s="70"/>
      <c r="G45" s="28">
        <f t="shared" si="11"/>
        <v>0</v>
      </c>
      <c r="H45" s="28">
        <f>VLOOKUP($F$5 &amp; $A45 &amp; $E45,AddRes,8,FALSE)</f>
        <v>0</v>
      </c>
      <c r="I45" s="69">
        <f>VLOOKUP($F$5 &amp; $A45 &amp; $E45,AddRes,10,FALSE)</f>
        <v>42551</v>
      </c>
    </row>
    <row r="46" spans="1:12" s="65" customFormat="1" ht="12.75" customHeight="1">
      <c r="A46" s="65" t="s">
        <v>498</v>
      </c>
      <c r="C46" s="70"/>
      <c r="D46" s="70"/>
      <c r="E46" s="183" t="s">
        <v>500</v>
      </c>
      <c r="F46" s="70"/>
      <c r="G46" s="28">
        <f t="shared" si="11"/>
        <v>0</v>
      </c>
      <c r="H46" s="28">
        <f>VLOOKUP($F$5 &amp; $A46 &amp; $E46,AddRes,8,FALSE)</f>
        <v>0</v>
      </c>
      <c r="I46" s="69">
        <f>VLOOKUP($F$5 &amp; $A46 &amp; $E46,AddRes,10,FALSE)</f>
        <v>42551</v>
      </c>
    </row>
    <row r="47" spans="1:12" s="65" customFormat="1" ht="12.75" customHeight="1">
      <c r="A47" s="65" t="s">
        <v>412</v>
      </c>
      <c r="C47" s="70"/>
      <c r="D47" s="70"/>
      <c r="E47" s="183" t="s">
        <v>413</v>
      </c>
      <c r="F47" s="70"/>
      <c r="G47" s="28">
        <f t="shared" si="11"/>
        <v>0</v>
      </c>
      <c r="H47" s="28">
        <f t="shared" ref="H47" si="12">VLOOKUP($F$5 &amp; $A47 &amp; $E47,AddRes,8,FALSE)</f>
        <v>0</v>
      </c>
      <c r="I47" s="69">
        <f t="shared" ref="I47" si="13">VLOOKUP($F$5 &amp; $A47 &amp; $E47,AddRes,10,FALSE)</f>
        <v>42551</v>
      </c>
    </row>
    <row r="48" spans="1:12" s="65" customFormat="1" ht="12.75" customHeight="1">
      <c r="A48" s="65" t="s">
        <v>241</v>
      </c>
      <c r="C48" s="70"/>
      <c r="D48" s="70"/>
      <c r="E48" s="183" t="s">
        <v>501</v>
      </c>
      <c r="F48" s="70"/>
      <c r="G48" s="28">
        <f t="shared" si="11"/>
        <v>0</v>
      </c>
      <c r="H48" s="28">
        <f>VLOOKUP($F$5 &amp; $A48 &amp; $E48,AddRes,8,FALSE)</f>
        <v>0</v>
      </c>
      <c r="I48" s="69">
        <f>VLOOKUP($F$5 &amp; $A48 &amp; $E48,AddRes,10,FALSE)</f>
        <v>42551</v>
      </c>
    </row>
    <row r="49" spans="1:12" s="65" customFormat="1" ht="12.75" customHeight="1">
      <c r="A49" s="65" t="s">
        <v>233</v>
      </c>
      <c r="C49" s="70"/>
      <c r="D49" s="70"/>
      <c r="E49" s="183" t="s">
        <v>502</v>
      </c>
      <c r="F49" s="70"/>
      <c r="G49" s="28">
        <f t="shared" si="11"/>
        <v>0</v>
      </c>
      <c r="H49" s="28">
        <f>VLOOKUP($F$5 &amp; $A49 &amp; $E49,AddRes,8,FALSE)</f>
        <v>0</v>
      </c>
      <c r="I49" s="69">
        <f>VLOOKUP($F$5 &amp; $A49 &amp; $E49,AddRes,10,FALSE)</f>
        <v>42551</v>
      </c>
    </row>
    <row r="50" spans="1:12" s="65" customFormat="1" ht="12.75" customHeight="1">
      <c r="A50" s="65" t="s">
        <v>231</v>
      </c>
      <c r="C50" s="70"/>
      <c r="D50" s="70"/>
      <c r="E50" s="183" t="s">
        <v>503</v>
      </c>
      <c r="F50" s="70"/>
      <c r="G50" s="28">
        <f t="shared" si="11"/>
        <v>0</v>
      </c>
      <c r="H50" s="28">
        <f>VLOOKUP($F$5 &amp; $A50 &amp; $E50,AddRes,8,FALSE)</f>
        <v>0</v>
      </c>
      <c r="I50" s="69">
        <f>VLOOKUP($F$5 &amp; $A50 &amp; $E50,AddRes,10,FALSE)</f>
        <v>42551</v>
      </c>
    </row>
    <row r="51" spans="1:12" s="65" customFormat="1" ht="12.75" customHeight="1">
      <c r="A51" s="65" t="s">
        <v>232</v>
      </c>
      <c r="C51" s="70"/>
      <c r="D51" s="70"/>
      <c r="E51" s="183" t="s">
        <v>504</v>
      </c>
      <c r="F51" s="70"/>
      <c r="G51" s="28">
        <f t="shared" si="11"/>
        <v>0</v>
      </c>
      <c r="H51" s="28">
        <f>VLOOKUP($F$5 &amp; $A51 &amp; $E51,AddRes,8,FALSE)</f>
        <v>0</v>
      </c>
      <c r="I51" s="69">
        <f>VLOOKUP($F$5 &amp; $A51 &amp; $E51,AddRes,10,FALSE)</f>
        <v>42551</v>
      </c>
    </row>
    <row r="52" spans="1:12" ht="12.75" customHeight="1">
      <c r="A52" s="65"/>
      <c r="E52" s="183"/>
    </row>
    <row r="53" spans="1:12" s="65" customFormat="1" ht="12.75" customHeight="1">
      <c r="C53" s="70"/>
      <c r="D53" s="70"/>
      <c r="E53" s="70"/>
      <c r="F53" s="70"/>
      <c r="G53" s="28"/>
      <c r="H53" s="28"/>
      <c r="I53" s="69"/>
    </row>
    <row r="54" spans="1:12" s="65" customFormat="1" ht="12.75" customHeight="1">
      <c r="C54" s="74" t="s">
        <v>71</v>
      </c>
      <c r="D54" s="70"/>
      <c r="E54" s="70"/>
      <c r="F54" s="70"/>
      <c r="G54" s="182">
        <f>SUM(G44:G51)</f>
        <v>0</v>
      </c>
      <c r="H54" s="182">
        <f>SUM(H44:H51)</f>
        <v>0</v>
      </c>
      <c r="I54" s="73"/>
      <c r="K54" s="75"/>
      <c r="L54" s="75"/>
    </row>
    <row r="55" spans="1:12" s="65" customFormat="1" ht="12.75" customHeight="1">
      <c r="C55" s="70"/>
      <c r="D55" s="70"/>
      <c r="E55" s="70"/>
      <c r="F55" s="70"/>
      <c r="G55" s="70"/>
      <c r="I55" s="73"/>
    </row>
    <row r="56" spans="1:12" s="65" customFormat="1" ht="12.75" customHeight="1">
      <c r="C56" s="70"/>
      <c r="D56" s="70"/>
      <c r="E56" s="70"/>
      <c r="F56" s="70"/>
      <c r="G56" s="70"/>
      <c r="I56" s="73"/>
    </row>
    <row r="57" spans="1:12" s="65" customFormat="1" ht="12.75" customHeight="1">
      <c r="C57" s="70"/>
      <c r="D57" s="70"/>
      <c r="E57" s="70"/>
      <c r="F57" s="70"/>
      <c r="G57" s="70"/>
      <c r="I57" s="73"/>
    </row>
    <row r="58" spans="1:12" s="65" customFormat="1" ht="12.75" customHeight="1">
      <c r="C58" s="70"/>
      <c r="D58" s="70"/>
      <c r="E58" s="70"/>
      <c r="F58" s="70"/>
      <c r="G58" s="70"/>
      <c r="I58" s="73"/>
    </row>
    <row r="59" spans="1:12" s="65" customFormat="1" ht="12.75" customHeight="1">
      <c r="C59" s="70"/>
      <c r="D59" s="70"/>
      <c r="E59" s="70"/>
      <c r="F59" s="70"/>
      <c r="G59" s="70"/>
      <c r="I59" s="73"/>
    </row>
    <row r="60" spans="1:12" s="65" customFormat="1" ht="12.75" customHeight="1">
      <c r="C60" s="70"/>
      <c r="D60" s="70"/>
      <c r="E60" s="70"/>
      <c r="F60" s="70"/>
      <c r="G60" s="70"/>
      <c r="I60" s="73"/>
    </row>
    <row r="61" spans="1:12" s="65" customFormat="1" ht="12.75" customHeight="1">
      <c r="C61" s="70"/>
      <c r="D61" s="70"/>
      <c r="E61" s="70"/>
      <c r="F61" s="70"/>
      <c r="G61" s="70"/>
      <c r="I61" s="73"/>
    </row>
    <row r="62" spans="1:12" s="65" customFormat="1" ht="12.75" customHeight="1">
      <c r="C62" s="70"/>
      <c r="D62" s="70"/>
      <c r="E62" s="70"/>
      <c r="F62" s="70"/>
      <c r="G62" s="70"/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  <row r="139" spans="3:9" s="65" customFormat="1" ht="12.75" customHeight="1">
      <c r="C139" s="70"/>
      <c r="D139" s="70"/>
      <c r="E139" s="70"/>
      <c r="F139" s="70"/>
      <c r="G139" s="70"/>
      <c r="I139" s="73"/>
    </row>
    <row r="140" spans="3:9" s="65" customFormat="1" ht="12.75" customHeight="1">
      <c r="C140" s="70"/>
      <c r="D140" s="70"/>
      <c r="E140" s="70"/>
      <c r="F140" s="70"/>
      <c r="G140" s="70"/>
      <c r="I140" s="73"/>
    </row>
    <row r="141" spans="3:9" s="65" customFormat="1" ht="12.75" customHeight="1">
      <c r="C141" s="70"/>
      <c r="D141" s="70"/>
      <c r="E141" s="70"/>
      <c r="F141" s="70"/>
      <c r="G141" s="70"/>
      <c r="I141" s="73"/>
    </row>
    <row r="142" spans="3:9" s="65" customFormat="1" ht="12.75" customHeight="1">
      <c r="C142" s="70"/>
      <c r="D142" s="70"/>
      <c r="E142" s="70"/>
      <c r="F142" s="70"/>
      <c r="G142" s="70"/>
      <c r="I142" s="73"/>
    </row>
    <row r="143" spans="3:9" s="65" customFormat="1" ht="12.75" customHeight="1">
      <c r="C143" s="70"/>
      <c r="D143" s="70"/>
      <c r="E143" s="70"/>
      <c r="F143" s="70"/>
      <c r="G143" s="70"/>
      <c r="I143" s="73"/>
    </row>
    <row r="144" spans="3:9" s="65" customFormat="1" ht="12.75" customHeight="1">
      <c r="C144" s="70"/>
      <c r="D144" s="70"/>
      <c r="E144" s="70"/>
      <c r="F144" s="70"/>
      <c r="G144" s="70"/>
      <c r="I144" s="73"/>
    </row>
    <row r="145" spans="3:9" s="65" customFormat="1" ht="12.75" customHeight="1">
      <c r="C145" s="70"/>
      <c r="D145" s="70"/>
      <c r="E145" s="70"/>
      <c r="F145" s="70"/>
      <c r="G145" s="70"/>
      <c r="I145" s="73"/>
    </row>
    <row r="146" spans="3:9" s="65" customFormat="1" ht="12.75" customHeight="1">
      <c r="C146" s="70"/>
      <c r="D146" s="70"/>
      <c r="E146" s="70"/>
      <c r="F146" s="70"/>
      <c r="G146" s="70"/>
      <c r="I146" s="73"/>
    </row>
    <row r="147" spans="3:9" s="65" customFormat="1" ht="12.75" customHeight="1">
      <c r="C147" s="70"/>
      <c r="D147" s="70"/>
      <c r="E147" s="70"/>
      <c r="F147" s="70"/>
      <c r="G147" s="70"/>
      <c r="I147" s="73"/>
    </row>
    <row r="148" spans="3:9" s="65" customFormat="1" ht="12.75" customHeight="1">
      <c r="C148" s="70"/>
      <c r="D148" s="70"/>
      <c r="E148" s="70"/>
      <c r="F148" s="70"/>
      <c r="G148" s="70"/>
      <c r="I148" s="73"/>
    </row>
  </sheetData>
  <mergeCells count="2">
    <mergeCell ref="A8:I8"/>
    <mergeCell ref="G5:I5"/>
  </mergeCells>
  <phoneticPr fontId="0" type="noConversion"/>
  <conditionalFormatting sqref="G41">
    <cfRule type="cellIs" dxfId="31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L141"/>
  <sheetViews>
    <sheetView topLeftCell="A35" zoomScaleNormal="100" workbookViewId="0">
      <selection activeCell="K44" sqref="K44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0" style="23" bestFit="1" customWidth="1"/>
    <col min="11" max="11" width="10.140625" style="23" bestFit="1" customWidth="1"/>
    <col min="12" max="12" width="11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122</v>
      </c>
      <c r="G5" s="505" t="str">
        <f>VLOOKUP($F5,District,2,FALSE)</f>
        <v>Bellevue College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7285</v>
      </c>
      <c r="D10" s="48"/>
      <c r="E10" s="48">
        <f>IF(ISNA(VLOOKUP($F$5,Student,14,FALSE)),0,VLOOKUP($F$5,Student,14,FALSE))</f>
        <v>0</v>
      </c>
      <c r="F10" s="48"/>
      <c r="G10" s="48">
        <f>$E$10+$C$10+$A$10</f>
        <v>7285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6"/>
      <c r="D15" s="86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23" si="0">IF(ISNA(VLOOKUP($F$5 &amp;A16, AllocSched,12,FALSE)),"-",VLOOKUP($F$5 &amp;A16, AllocSched,12,FALSE))</f>
        <v>22373058</v>
      </c>
      <c r="D16" s="112" t="s">
        <v>51</v>
      </c>
      <c r="E16" s="16">
        <f t="shared" ref="E16:E23" si="1">IF(ISNA(VLOOKUP($F$5 &amp; A16, AllocSched,13,FALSE)),"-",VLOOKUP($F$5 &amp; A16, AllocSched,13,FALSE))</f>
        <v>-24348</v>
      </c>
      <c r="F16" s="16" t="s">
        <v>51</v>
      </c>
      <c r="G16" s="16">
        <f t="shared" ref="G16:G23" si="2">IF(C16="-",E16,C16+E16)</f>
        <v>22348710</v>
      </c>
      <c r="H16" s="55" t="str">
        <f t="shared" ref="H16:H39" si="3">IF(ISNA(VLOOKUP($F$5 &amp; A16, AllocSched,9,FALSE))," ",VLOOKUP($F$5 &amp; A16, AllocSched,9,FALSE))</f>
        <v>001-011</v>
      </c>
      <c r="I16" s="56">
        <f t="shared" ref="I16:I39" si="4">IF(ISNA(VLOOKUP($F$5 &amp; A16, AllocSched,14,FALSE))," ",VLOOKUP($F$5 &amp; A16, AllocSched,14,FALSE))</f>
        <v>101</v>
      </c>
    </row>
    <row r="17" spans="1:12" ht="12.75" customHeight="1">
      <c r="A17" s="115" t="s">
        <v>171</v>
      </c>
      <c r="B17" s="54"/>
      <c r="C17" s="16">
        <f t="shared" si="0"/>
        <v>1776543</v>
      </c>
      <c r="D17" s="112"/>
      <c r="E17" s="16">
        <f t="shared" si="1"/>
        <v>24348</v>
      </c>
      <c r="F17" s="16"/>
      <c r="G17" s="16">
        <f t="shared" si="2"/>
        <v>1800891</v>
      </c>
      <c r="H17" s="55" t="str">
        <f t="shared" si="3"/>
        <v>08A-3E0</v>
      </c>
      <c r="I17" s="56" t="str">
        <f t="shared" si="4"/>
        <v>3E0</v>
      </c>
      <c r="K17" s="25"/>
      <c r="L17" s="25"/>
    </row>
    <row r="18" spans="1:12" s="272" customFormat="1" ht="12.75" customHeight="1">
      <c r="A18" s="38" t="s">
        <v>781</v>
      </c>
      <c r="B18" s="54"/>
      <c r="C18" s="16">
        <f t="shared" si="0"/>
        <v>0</v>
      </c>
      <c r="D18" s="112"/>
      <c r="E18" s="16">
        <f t="shared" si="1"/>
        <v>178131</v>
      </c>
      <c r="F18" s="16"/>
      <c r="G18" s="16">
        <f t="shared" si="2"/>
        <v>178131</v>
      </c>
      <c r="H18" s="55" t="str">
        <f>IF(ISNA(VLOOKUP($F$5 &amp; A18, AllocSched,9,FALSE))," ",VLOOKUP($F$5 &amp; A18, AllocSched,9,FALSE))</f>
        <v>001-011</v>
      </c>
      <c r="I18" s="56">
        <f t="shared" si="4"/>
        <v>101</v>
      </c>
      <c r="K18" s="25"/>
      <c r="L18" s="25"/>
    </row>
    <row r="19" spans="1:12" s="272" customFormat="1" ht="12.75" customHeight="1">
      <c r="A19" s="115" t="s">
        <v>448</v>
      </c>
      <c r="B19" s="54"/>
      <c r="C19" s="16">
        <f t="shared" si="0"/>
        <v>0</v>
      </c>
      <c r="D19" s="112"/>
      <c r="E19" s="16">
        <f t="shared" si="1"/>
        <v>657487</v>
      </c>
      <c r="F19" s="16"/>
      <c r="G19" s="16">
        <f t="shared" si="2"/>
        <v>657487</v>
      </c>
      <c r="H19" s="55" t="str">
        <f>IF(ISNA(VLOOKUP($F$5 &amp; A19, AllocSched,9,FALSE))," ",VLOOKUP($F$5 &amp; A19, AllocSched,9,FALSE))</f>
        <v>001-011</v>
      </c>
      <c r="I19" s="56">
        <f t="shared" si="4"/>
        <v>101</v>
      </c>
      <c r="K19" s="25"/>
      <c r="L19" s="25"/>
    </row>
    <row r="20" spans="1:12" s="269" customFormat="1" ht="12.75" customHeight="1">
      <c r="A20" s="115" t="s">
        <v>340</v>
      </c>
      <c r="B20" s="54"/>
      <c r="C20" s="16">
        <f t="shared" si="0"/>
        <v>0</v>
      </c>
      <c r="D20" s="112"/>
      <c r="E20" s="16">
        <f t="shared" si="1"/>
        <v>1534464</v>
      </c>
      <c r="F20" s="16"/>
      <c r="G20" s="16">
        <f t="shared" si="2"/>
        <v>1534464</v>
      </c>
      <c r="H20" s="55" t="str">
        <f>IF(ISNA(VLOOKUP($F$5 &amp; A20, AllocSched,9,FALSE))," ",VLOOKUP($F$5 &amp; A20, AllocSched,9,FALSE))</f>
        <v>001-011</v>
      </c>
      <c r="I20" s="56">
        <f t="shared" si="4"/>
        <v>101</v>
      </c>
      <c r="K20" s="25"/>
      <c r="L20" s="25"/>
    </row>
    <row r="21" spans="1:12" ht="12.75" customHeight="1">
      <c r="A21" s="115" t="s">
        <v>207</v>
      </c>
      <c r="B21" s="54"/>
      <c r="C21" s="16">
        <f t="shared" si="0"/>
        <v>0</v>
      </c>
      <c r="D21" s="112"/>
      <c r="E21" s="16">
        <f t="shared" si="1"/>
        <v>114529</v>
      </c>
      <c r="F21" s="16"/>
      <c r="G21" s="16">
        <f t="shared" si="2"/>
        <v>114529</v>
      </c>
      <c r="H21" s="55" t="str">
        <f t="shared" si="3"/>
        <v>001-011</v>
      </c>
      <c r="I21" s="56">
        <f t="shared" si="4"/>
        <v>101</v>
      </c>
    </row>
    <row r="22" spans="1:12" s="272" customFormat="1" ht="12.75" customHeight="1">
      <c r="A22" s="115" t="s">
        <v>203</v>
      </c>
      <c r="B22" s="54"/>
      <c r="C22" s="16">
        <f t="shared" si="0"/>
        <v>0</v>
      </c>
      <c r="D22" s="112"/>
      <c r="E22" s="16">
        <f t="shared" si="1"/>
        <v>-6756</v>
      </c>
      <c r="F22" s="16"/>
      <c r="G22" s="16">
        <f t="shared" si="2"/>
        <v>-6756</v>
      </c>
      <c r="H22" s="55" t="str">
        <f>IF(ISNA(VLOOKUP($F$5 &amp; A22, AllocSched,9,FALSE))," ",VLOOKUP($F$5 &amp; A22, AllocSched,9,FALSE))</f>
        <v>001-011</v>
      </c>
      <c r="I22" s="56">
        <f t="shared" si="4"/>
        <v>101</v>
      </c>
    </row>
    <row r="23" spans="1:12" s="272" customFormat="1" ht="12.75" customHeight="1">
      <c r="A23" s="115" t="s">
        <v>454</v>
      </c>
      <c r="B23" s="54"/>
      <c r="C23" s="16">
        <f t="shared" si="0"/>
        <v>0</v>
      </c>
      <c r="D23" s="112"/>
      <c r="E23" s="16">
        <f t="shared" si="1"/>
        <v>24238</v>
      </c>
      <c r="F23" s="16"/>
      <c r="G23" s="16">
        <f t="shared" si="2"/>
        <v>24238</v>
      </c>
      <c r="H23" s="55" t="str">
        <f>IF(ISNA(VLOOKUP($F$5 &amp; A23, AllocSched,9,FALSE))," ",VLOOKUP($F$5 &amp; A23, AllocSched,9,FALSE))</f>
        <v>001-011</v>
      </c>
      <c r="I23" s="56">
        <f t="shared" si="4"/>
        <v>101</v>
      </c>
    </row>
    <row r="24" spans="1:12" ht="12.75" customHeight="1">
      <c r="A24" s="115"/>
      <c r="B24" s="54"/>
      <c r="C24" s="16"/>
      <c r="D24" s="112"/>
      <c r="E24" s="16"/>
      <c r="F24" s="16"/>
      <c r="G24" s="16"/>
      <c r="H24" s="55" t="str">
        <f t="shared" si="3"/>
        <v xml:space="preserve"> </v>
      </c>
      <c r="I24" s="56" t="str">
        <f t="shared" si="4"/>
        <v xml:space="preserve"> </v>
      </c>
    </row>
    <row r="25" spans="1:12" s="83" customFormat="1">
      <c r="A25" s="114" t="s">
        <v>168</v>
      </c>
      <c r="B25" s="84"/>
      <c r="C25" s="16"/>
      <c r="D25" s="112"/>
      <c r="E25" s="16"/>
      <c r="F25" s="16"/>
      <c r="G25" s="16"/>
      <c r="H25" s="55" t="str">
        <f t="shared" si="3"/>
        <v xml:space="preserve"> </v>
      </c>
      <c r="I25" s="56" t="str">
        <f t="shared" si="4"/>
        <v xml:space="preserve"> </v>
      </c>
    </row>
    <row r="26" spans="1:12" ht="12.75" customHeight="1">
      <c r="A26" s="38" t="s">
        <v>172</v>
      </c>
      <c r="C26" s="16" t="str">
        <f t="shared" ref="C26:C40" si="5">IF(ISNA(VLOOKUP($F$5 &amp;A26, AllocSched,12,FALSE)),"-",VLOOKUP($F$5 &amp;A26, AllocSched,12,FALSE))</f>
        <v>-</v>
      </c>
      <c r="D26" s="112"/>
      <c r="E26" s="16" t="str">
        <f t="shared" ref="E26" si="6">IF(ISNA(VLOOKUP($F$5 &amp; A26, AllocSched,13,FALSE)),"-",VLOOKUP($F$5 &amp; A26, AllocSched,13,FALSE))</f>
        <v>-</v>
      </c>
      <c r="F26" s="16"/>
      <c r="G26" s="16" t="str">
        <f>IF(C26="-",E26,C26+E26)</f>
        <v>-</v>
      </c>
      <c r="H26" s="55" t="str">
        <f t="shared" si="3"/>
        <v xml:space="preserve"> </v>
      </c>
      <c r="I26" s="56" t="str">
        <f t="shared" si="4"/>
        <v xml:space="preserve"> </v>
      </c>
    </row>
    <row r="27" spans="1:12" ht="12.75" customHeight="1">
      <c r="A27" s="38" t="s">
        <v>222</v>
      </c>
      <c r="C27" s="16">
        <f t="shared" si="5"/>
        <v>86890</v>
      </c>
      <c r="D27" s="112"/>
      <c r="E27" s="16">
        <f t="shared" ref="E27:E40" si="7">IF(ISNA(VLOOKUP($F$5 &amp; A27, AllocSched,13,FALSE)),"-",VLOOKUP($F$5 &amp; A27, AllocSched,13,FALSE))</f>
        <v>-86890</v>
      </c>
      <c r="F27" s="16"/>
      <c r="G27" s="16">
        <f>IF(C27="-",E27,C27+E27)</f>
        <v>0</v>
      </c>
      <c r="H27" s="55" t="str">
        <f>IF(ISNA(VLOOKUP($F$5 &amp; A27, AllocSched,9,FALSE))," ",VLOOKUP($F$5 &amp; A27, AllocSched,9,FALSE))</f>
        <v>08A-3E0</v>
      </c>
      <c r="I27" s="56" t="str">
        <f t="shared" si="4"/>
        <v>3E0</v>
      </c>
    </row>
    <row r="28" spans="1:12" s="272" customFormat="1" ht="12.75" customHeight="1">
      <c r="A28" s="38" t="s">
        <v>445</v>
      </c>
      <c r="C28" s="16">
        <f t="shared" si="5"/>
        <v>0</v>
      </c>
      <c r="D28" s="112"/>
      <c r="E28" s="16">
        <f t="shared" si="7"/>
        <v>750000</v>
      </c>
      <c r="F28" s="16"/>
      <c r="G28" s="16">
        <f>IF(C28="-",E28,C28+E28)</f>
        <v>750000</v>
      </c>
      <c r="H28" s="55" t="str">
        <f>IF(ISNA(VLOOKUP($F$5 &amp; A28, AllocSched,9,FALSE))," ",VLOOKUP($F$5 &amp; A28, AllocSched,9,FALSE))</f>
        <v>001-BQ1</v>
      </c>
      <c r="I28" s="56" t="str">
        <f t="shared" si="4"/>
        <v>BQ1</v>
      </c>
    </row>
    <row r="29" spans="1:12" ht="12.75" customHeight="1">
      <c r="A29" s="38" t="s">
        <v>173</v>
      </c>
      <c r="C29" s="16">
        <f t="shared" si="5"/>
        <v>204157</v>
      </c>
      <c r="D29" s="112"/>
      <c r="E29" s="16">
        <f t="shared" si="7"/>
        <v>0</v>
      </c>
      <c r="F29" s="16"/>
      <c r="G29" s="16">
        <f>IF(C29="-",E29,C29+E29)</f>
        <v>204157</v>
      </c>
      <c r="H29" s="55" t="str">
        <f>IF(ISNA(VLOOKUP($F$5 &amp; A29, AllocSched,9,FALSE))," ",VLOOKUP($F$5 &amp; A29, AllocSched,9,FALSE))</f>
        <v>001-011</v>
      </c>
      <c r="I29" s="56">
        <f t="shared" si="4"/>
        <v>101</v>
      </c>
    </row>
    <row r="30" spans="1:12" ht="12.75" customHeight="1">
      <c r="A30" s="38" t="s">
        <v>170</v>
      </c>
      <c r="C30" s="16">
        <f t="shared" si="5"/>
        <v>73160</v>
      </c>
      <c r="D30" s="112"/>
      <c r="E30" s="16">
        <f t="shared" si="7"/>
        <v>49964</v>
      </c>
      <c r="F30" s="16"/>
      <c r="G30" s="16">
        <f t="shared" ref="G30:G39" si="8">IF(C30="-",E30,C30+E30)</f>
        <v>123124</v>
      </c>
      <c r="H30" s="55" t="str">
        <f t="shared" si="3"/>
        <v>001-011</v>
      </c>
      <c r="I30" s="56">
        <f t="shared" si="4"/>
        <v>101</v>
      </c>
    </row>
    <row r="31" spans="1:12" s="272" customFormat="1" ht="12.75" customHeight="1">
      <c r="A31" s="115" t="s">
        <v>162</v>
      </c>
      <c r="C31" s="16">
        <v>0</v>
      </c>
      <c r="D31" s="112"/>
      <c r="E31" s="16">
        <f>IF(ISNA(VLOOKUP($F$5 &amp; A31, AllocSched,13,FALSE)),"-",VLOOKUP($F$5 &amp; A31, AllocSched,13,FALSE))</f>
        <v>0</v>
      </c>
      <c r="F31" s="16"/>
      <c r="G31" s="16">
        <f>IF(C31="-",E31,C31+E31)</f>
        <v>0</v>
      </c>
      <c r="H31" s="55" t="str">
        <f>IF(ISNA(VLOOKUP($F$5 &amp; A31, AllocSched,9,FALSE))," ",VLOOKUP($F$5 &amp; A31, AllocSched,9,FALSE))</f>
        <v>001-011</v>
      </c>
      <c r="I31" s="56">
        <f>IF(ISNA(VLOOKUP($F$5 &amp; A31, AllocSched,14,FALSE))," ",VLOOKUP($F$5 &amp; A31, AllocSched,14,FALSE))</f>
        <v>101</v>
      </c>
    </row>
    <row r="32" spans="1:12" ht="12.75" customHeight="1">
      <c r="A32" s="115" t="s">
        <v>151</v>
      </c>
      <c r="B32" s="54"/>
      <c r="C32" s="16">
        <f t="shared" si="5"/>
        <v>350000</v>
      </c>
      <c r="D32" s="112"/>
      <c r="E32" s="16">
        <f t="shared" si="7"/>
        <v>0</v>
      </c>
      <c r="F32" s="16"/>
      <c r="G32" s="16">
        <f t="shared" si="8"/>
        <v>350000</v>
      </c>
      <c r="H32" s="55" t="str">
        <f t="shared" si="3"/>
        <v>08A-3E0</v>
      </c>
      <c r="I32" s="56" t="str">
        <f t="shared" si="4"/>
        <v>3E0</v>
      </c>
    </row>
    <row r="33" spans="1:12" ht="12.75" customHeight="1">
      <c r="A33" s="115" t="s">
        <v>150</v>
      </c>
      <c r="B33" s="54"/>
      <c r="C33" s="16">
        <f t="shared" si="5"/>
        <v>29412</v>
      </c>
      <c r="D33" s="112"/>
      <c r="E33" s="16">
        <f t="shared" si="7"/>
        <v>0</v>
      </c>
      <c r="F33" s="16"/>
      <c r="G33" s="16">
        <f t="shared" si="8"/>
        <v>29412</v>
      </c>
      <c r="H33" s="55" t="str">
        <f t="shared" si="3"/>
        <v>001-011</v>
      </c>
      <c r="I33" s="56">
        <f t="shared" si="4"/>
        <v>101</v>
      </c>
    </row>
    <row r="34" spans="1:12" ht="12.75" customHeight="1">
      <c r="A34" s="115" t="s">
        <v>272</v>
      </c>
      <c r="B34" s="54"/>
      <c r="C34" s="16">
        <f t="shared" si="5"/>
        <v>105857</v>
      </c>
      <c r="D34" s="112"/>
      <c r="E34" s="16">
        <f t="shared" si="7"/>
        <v>0</v>
      </c>
      <c r="F34" s="16"/>
      <c r="G34" s="16">
        <f t="shared" si="8"/>
        <v>105857</v>
      </c>
      <c r="H34" s="55" t="str">
        <f t="shared" si="3"/>
        <v>001-BD1</v>
      </c>
      <c r="I34" s="56" t="str">
        <f t="shared" si="4"/>
        <v>BD1</v>
      </c>
    </row>
    <row r="35" spans="1:12" ht="12.75" customHeight="1">
      <c r="A35" s="115" t="s">
        <v>273</v>
      </c>
      <c r="B35" s="54"/>
      <c r="C35" s="16">
        <f t="shared" si="5"/>
        <v>203987</v>
      </c>
      <c r="D35" s="112"/>
      <c r="E35" s="16">
        <f t="shared" si="7"/>
        <v>-203987</v>
      </c>
      <c r="F35" s="16"/>
      <c r="G35" s="16">
        <f>IF(C35="-",E35,C35+E35)</f>
        <v>0</v>
      </c>
      <c r="H35" s="55" t="str">
        <f>IF(ISNA(VLOOKUP($F$5 &amp; A35, AllocSched,9,FALSE))," ",VLOOKUP($F$5 &amp; A35, AllocSched,9,FALSE))</f>
        <v>001-BD1</v>
      </c>
      <c r="I35" s="56" t="str">
        <f t="shared" si="4"/>
        <v>BD1</v>
      </c>
    </row>
    <row r="36" spans="1:12" ht="12.75" customHeight="1">
      <c r="A36" s="115" t="s">
        <v>6</v>
      </c>
      <c r="B36" s="54"/>
      <c r="C36" s="16">
        <f t="shared" si="5"/>
        <v>50917</v>
      </c>
      <c r="D36" s="112"/>
      <c r="E36" s="16">
        <f t="shared" si="7"/>
        <v>30181</v>
      </c>
      <c r="F36" s="16"/>
      <c r="G36" s="16">
        <f t="shared" si="8"/>
        <v>81098</v>
      </c>
      <c r="H36" s="55" t="str">
        <f t="shared" si="3"/>
        <v>001-011</v>
      </c>
      <c r="I36" s="56">
        <f t="shared" si="4"/>
        <v>101</v>
      </c>
    </row>
    <row r="37" spans="1:12" ht="12.75" customHeight="1">
      <c r="A37" s="115" t="s">
        <v>333</v>
      </c>
      <c r="B37" s="54"/>
      <c r="C37" s="16">
        <f t="shared" si="5"/>
        <v>207289</v>
      </c>
      <c r="D37" s="112"/>
      <c r="E37" s="16">
        <f t="shared" si="7"/>
        <v>0</v>
      </c>
      <c r="F37" s="16"/>
      <c r="G37" s="16">
        <f t="shared" si="8"/>
        <v>207289</v>
      </c>
      <c r="H37" s="55" t="str">
        <f t="shared" si="3"/>
        <v>001-011</v>
      </c>
      <c r="I37" s="56">
        <f t="shared" si="4"/>
        <v>101</v>
      </c>
    </row>
    <row r="38" spans="1:12" ht="12.75" customHeight="1">
      <c r="A38" s="115" t="s">
        <v>332</v>
      </c>
      <c r="B38" s="54"/>
      <c r="C38" s="16">
        <f t="shared" si="5"/>
        <v>990159</v>
      </c>
      <c r="D38" s="112"/>
      <c r="E38" s="16">
        <f t="shared" si="7"/>
        <v>0</v>
      </c>
      <c r="F38" s="16"/>
      <c r="G38" s="16">
        <f t="shared" si="8"/>
        <v>990159</v>
      </c>
      <c r="H38" s="55" t="str">
        <f t="shared" si="3"/>
        <v>001-AC1</v>
      </c>
      <c r="I38" s="56">
        <f t="shared" si="4"/>
        <v>123</v>
      </c>
    </row>
    <row r="39" spans="1:12" ht="12.75" customHeight="1">
      <c r="A39" s="115" t="s">
        <v>215</v>
      </c>
      <c r="B39" s="54"/>
      <c r="C39" s="16">
        <f t="shared" si="5"/>
        <v>471500</v>
      </c>
      <c r="D39" s="112"/>
      <c r="E39" s="16">
        <f t="shared" si="7"/>
        <v>-471500</v>
      </c>
      <c r="F39" s="16"/>
      <c r="G39" s="16">
        <f t="shared" si="8"/>
        <v>0</v>
      </c>
      <c r="H39" s="55" t="str">
        <f t="shared" si="3"/>
        <v>001-AC1</v>
      </c>
      <c r="I39" s="56">
        <f t="shared" si="4"/>
        <v>123</v>
      </c>
    </row>
    <row r="40" spans="1:12" s="272" customFormat="1" ht="12.75" customHeight="1">
      <c r="A40" s="115" t="s">
        <v>451</v>
      </c>
      <c r="B40" s="54"/>
      <c r="C40" s="16">
        <f t="shared" si="5"/>
        <v>0</v>
      </c>
      <c r="D40" s="112"/>
      <c r="E40" s="16">
        <f t="shared" si="7"/>
        <v>158401</v>
      </c>
      <c r="F40" s="16"/>
      <c r="G40" s="16">
        <f>IF(C40="-",E40,C40+E40)</f>
        <v>158401</v>
      </c>
      <c r="H40" s="55" t="str">
        <f>IF(ISNA(VLOOKUP($F$5 &amp; A40, AllocSched,9,FALSE))," ",VLOOKUP($F$5 &amp; A40, AllocSched,9,FALSE))</f>
        <v>001-011</v>
      </c>
      <c r="I40" s="56">
        <f>IF(ISNA(VLOOKUP($F$5 &amp; A40, AllocSched,14,FALSE))," ",VLOOKUP($F$5 &amp; A40, AllocSched,14,FALSE))</f>
        <v>101</v>
      </c>
    </row>
    <row r="41" spans="1:12" ht="13.5" thickBot="1">
      <c r="A41" s="89" t="s">
        <v>174</v>
      </c>
      <c r="B41" s="57" t="s">
        <v>51</v>
      </c>
      <c r="C41" s="111">
        <f>SUM(C16:C40)</f>
        <v>26922929</v>
      </c>
      <c r="D41" s="113" t="s">
        <v>51</v>
      </c>
      <c r="E41" s="111">
        <f>SUM(E16:E40)</f>
        <v>2728262</v>
      </c>
      <c r="F41" s="113" t="s">
        <v>51</v>
      </c>
      <c r="G41" s="111">
        <f>SUM(G16:G40)</f>
        <v>29651191</v>
      </c>
      <c r="K41" s="25"/>
      <c r="L41" s="30"/>
    </row>
    <row r="42" spans="1:12" ht="12.75" customHeight="1" thickTop="1">
      <c r="A42" s="84"/>
      <c r="B42" s="84"/>
      <c r="C42" s="58">
        <v>0</v>
      </c>
      <c r="D42" s="58"/>
      <c r="E42" s="90"/>
      <c r="F42" s="90"/>
      <c r="G42" s="90"/>
    </row>
    <row r="43" spans="1:12" s="65" customFormat="1" ht="25.5">
      <c r="A43" s="59" t="s">
        <v>156</v>
      </c>
      <c r="B43" s="60"/>
      <c r="C43" s="61"/>
      <c r="D43" s="62"/>
      <c r="E43" s="63" t="s">
        <v>67</v>
      </c>
      <c r="F43" s="62"/>
      <c r="G43" s="64" t="s">
        <v>163</v>
      </c>
      <c r="H43" s="64" t="s">
        <v>164</v>
      </c>
      <c r="I43" s="98" t="s">
        <v>70</v>
      </c>
    </row>
    <row r="44" spans="1:12" s="65" customFormat="1" ht="12.75" customHeight="1">
      <c r="A44" s="66" t="s">
        <v>240</v>
      </c>
      <c r="B44" s="67"/>
      <c r="C44" s="68"/>
      <c r="E44" s="66" t="s">
        <v>348</v>
      </c>
      <c r="G44" s="30">
        <f>VLOOKUP($F$5 &amp; $A44 &amp; $E44,AddRes,7,FALSE)</f>
        <v>0</v>
      </c>
      <c r="H44" s="30">
        <f t="shared" ref="H44:H53" si="9">VLOOKUP($F$5 &amp; $A44 &amp; $E44,AddRes,8,FALSE)</f>
        <v>0</v>
      </c>
      <c r="I44" s="69">
        <f t="shared" ref="I44:I53" si="10">VLOOKUP($F$5 &amp; $A44 &amp; $E44,AddRes,10,FALSE)</f>
        <v>42277</v>
      </c>
      <c r="J44" s="198"/>
    </row>
    <row r="45" spans="1:12" s="65" customFormat="1" ht="12.75" customHeight="1">
      <c r="A45" s="66" t="s">
        <v>497</v>
      </c>
      <c r="B45" s="67"/>
      <c r="C45" s="68"/>
      <c r="E45" s="66" t="s">
        <v>507</v>
      </c>
      <c r="G45" s="30">
        <f t="shared" ref="G45" si="11">VLOOKUP($F$5 &amp; $A45 &amp; $E45,AddRes,7,FALSE)</f>
        <v>0</v>
      </c>
      <c r="H45" s="30">
        <f t="shared" si="9"/>
        <v>0</v>
      </c>
      <c r="I45" s="69">
        <f t="shared" si="10"/>
        <v>42551</v>
      </c>
    </row>
    <row r="46" spans="1:12" s="65" customFormat="1" ht="12.75" customHeight="1">
      <c r="A46" s="66" t="s">
        <v>498</v>
      </c>
      <c r="B46" s="67"/>
      <c r="C46" s="68"/>
      <c r="E46" s="66" t="s">
        <v>508</v>
      </c>
      <c r="G46" s="30">
        <f t="shared" ref="G46:G53" si="12">VLOOKUP($F$5 &amp; $A46 &amp; $E46,AddRes,7,FALSE)</f>
        <v>0</v>
      </c>
      <c r="H46" s="30">
        <f t="shared" si="9"/>
        <v>0</v>
      </c>
      <c r="I46" s="69">
        <f t="shared" si="10"/>
        <v>42551</v>
      </c>
    </row>
    <row r="47" spans="1:12" s="65" customFormat="1" ht="12.75" customHeight="1">
      <c r="A47" s="66" t="s">
        <v>505</v>
      </c>
      <c r="B47" s="67"/>
      <c r="C47" s="68"/>
      <c r="E47" s="66" t="s">
        <v>509</v>
      </c>
      <c r="G47" s="30">
        <f t="shared" si="12"/>
        <v>0</v>
      </c>
      <c r="H47" s="30">
        <f t="shared" si="9"/>
        <v>0</v>
      </c>
      <c r="I47" s="69">
        <f t="shared" si="10"/>
        <v>42551</v>
      </c>
    </row>
    <row r="48" spans="1:12" s="65" customFormat="1" ht="12.75" customHeight="1">
      <c r="A48" s="66" t="s">
        <v>241</v>
      </c>
      <c r="B48" s="67"/>
      <c r="C48" s="68"/>
      <c r="E48" s="66" t="s">
        <v>510</v>
      </c>
      <c r="G48" s="30">
        <f t="shared" si="12"/>
        <v>0</v>
      </c>
      <c r="H48" s="30">
        <f t="shared" si="9"/>
        <v>0</v>
      </c>
      <c r="I48" s="69">
        <f t="shared" si="10"/>
        <v>42551</v>
      </c>
    </row>
    <row r="49" spans="1:12" s="65" customFormat="1" ht="12.75" customHeight="1">
      <c r="A49" s="66" t="s">
        <v>233</v>
      </c>
      <c r="B49" s="67"/>
      <c r="C49" s="68"/>
      <c r="E49" s="66" t="s">
        <v>511</v>
      </c>
      <c r="G49" s="30">
        <f t="shared" si="12"/>
        <v>0</v>
      </c>
      <c r="H49" s="30">
        <f t="shared" si="9"/>
        <v>0</v>
      </c>
      <c r="I49" s="69">
        <f t="shared" si="10"/>
        <v>42551</v>
      </c>
    </row>
    <row r="50" spans="1:12" s="65" customFormat="1" ht="12.75" customHeight="1">
      <c r="A50" s="66" t="s">
        <v>231</v>
      </c>
      <c r="B50" s="67"/>
      <c r="C50" s="68"/>
      <c r="E50" s="66" t="s">
        <v>512</v>
      </c>
      <c r="G50" s="30">
        <f t="shared" si="12"/>
        <v>0</v>
      </c>
      <c r="H50" s="30">
        <f t="shared" si="9"/>
        <v>0</v>
      </c>
      <c r="I50" s="69">
        <f t="shared" si="10"/>
        <v>42551</v>
      </c>
    </row>
    <row r="51" spans="1:12" s="65" customFormat="1" ht="12.75" customHeight="1">
      <c r="A51" s="66" t="s">
        <v>506</v>
      </c>
      <c r="B51" s="67"/>
      <c r="C51" s="68"/>
      <c r="E51" s="66" t="s">
        <v>513</v>
      </c>
      <c r="G51" s="270">
        <f t="shared" si="12"/>
        <v>0</v>
      </c>
      <c r="H51" s="270">
        <f t="shared" si="9"/>
        <v>0</v>
      </c>
      <c r="I51" s="69">
        <f t="shared" si="10"/>
        <v>42551</v>
      </c>
    </row>
    <row r="52" spans="1:12" s="65" customFormat="1" ht="12.75" customHeight="1">
      <c r="A52" s="66" t="s">
        <v>429</v>
      </c>
      <c r="B52" s="67"/>
      <c r="C52" s="68"/>
      <c r="E52" s="66" t="s">
        <v>514</v>
      </c>
      <c r="G52" s="270">
        <f t="shared" si="12"/>
        <v>0</v>
      </c>
      <c r="H52" s="270">
        <f t="shared" si="9"/>
        <v>0</v>
      </c>
      <c r="I52" s="69">
        <f t="shared" si="10"/>
        <v>42247</v>
      </c>
    </row>
    <row r="53" spans="1:12" s="65" customFormat="1" ht="12.75" customHeight="1">
      <c r="A53" s="66" t="s">
        <v>232</v>
      </c>
      <c r="B53" s="67"/>
      <c r="C53" s="68"/>
      <c r="E53" s="66" t="s">
        <v>515</v>
      </c>
      <c r="G53" s="30">
        <f t="shared" si="12"/>
        <v>0</v>
      </c>
      <c r="H53" s="30">
        <f t="shared" si="9"/>
        <v>0</v>
      </c>
      <c r="I53" s="69">
        <f t="shared" si="10"/>
        <v>42551</v>
      </c>
      <c r="J53" s="198"/>
    </row>
    <row r="54" spans="1:12" s="65" customFormat="1" ht="12.75" customHeight="1">
      <c r="A54" s="66"/>
      <c r="C54" s="70"/>
      <c r="D54" s="70"/>
      <c r="E54" s="70"/>
      <c r="F54" s="70"/>
      <c r="G54" s="71"/>
      <c r="H54" s="72"/>
      <c r="I54" s="73"/>
    </row>
    <row r="55" spans="1:12" s="65" customFormat="1" ht="12.75" customHeight="1">
      <c r="C55" s="74" t="s">
        <v>71</v>
      </c>
      <c r="D55" s="70"/>
      <c r="E55" s="70"/>
      <c r="F55" s="70"/>
      <c r="G55" s="182">
        <f>SUM(G44:G53)</f>
        <v>0</v>
      </c>
      <c r="H55" s="182">
        <f>SUM(H44:H53)</f>
        <v>0</v>
      </c>
      <c r="I55" s="73"/>
      <c r="K55" s="75"/>
      <c r="L55" s="75"/>
    </row>
    <row r="56" spans="1:12" s="65" customFormat="1" ht="12.75" customHeight="1">
      <c r="C56" s="70"/>
      <c r="D56" s="70"/>
      <c r="E56" s="70"/>
      <c r="F56" s="70"/>
      <c r="G56" s="70"/>
      <c r="I56" s="73"/>
    </row>
    <row r="57" spans="1:12" s="65" customFormat="1" ht="12.75" customHeight="1">
      <c r="C57" s="70"/>
      <c r="D57" s="70"/>
      <c r="E57" s="70"/>
      <c r="F57" s="70"/>
      <c r="G57" s="70"/>
      <c r="I57" s="73"/>
    </row>
    <row r="58" spans="1:12" s="65" customFormat="1" ht="12.75" customHeight="1">
      <c r="C58" s="70"/>
      <c r="D58" s="70"/>
      <c r="E58" s="70"/>
      <c r="F58" s="70"/>
      <c r="G58" s="70"/>
      <c r="I58" s="73"/>
    </row>
    <row r="59" spans="1:12" s="65" customFormat="1" ht="12.75" customHeight="1">
      <c r="C59" s="70"/>
      <c r="D59" s="70"/>
      <c r="E59" s="70"/>
      <c r="F59" s="70"/>
      <c r="G59" s="70"/>
      <c r="I59" s="73"/>
    </row>
    <row r="60" spans="1:12" s="65" customFormat="1" ht="12.75" customHeight="1">
      <c r="C60" s="70"/>
      <c r="D60" s="70"/>
      <c r="E60" s="70"/>
      <c r="F60" s="70"/>
      <c r="G60" s="70"/>
      <c r="I60" s="73"/>
    </row>
    <row r="61" spans="1:12" s="65" customFormat="1" ht="12.75" customHeight="1">
      <c r="C61" s="70"/>
      <c r="D61" s="70"/>
      <c r="E61" s="70"/>
      <c r="F61" s="70"/>
      <c r="G61" s="70"/>
      <c r="I61" s="73"/>
    </row>
    <row r="62" spans="1:12" s="65" customFormat="1" ht="12.75" customHeight="1">
      <c r="C62" s="70"/>
      <c r="D62" s="70"/>
      <c r="E62" s="70"/>
      <c r="F62" s="70"/>
      <c r="G62" s="70"/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  <row r="139" spans="3:9" s="65" customFormat="1" ht="12.75" customHeight="1">
      <c r="C139" s="70"/>
      <c r="D139" s="70"/>
      <c r="E139" s="70"/>
      <c r="F139" s="70"/>
      <c r="G139" s="70"/>
      <c r="I139" s="73"/>
    </row>
    <row r="140" spans="3:9" s="65" customFormat="1" ht="12.75" customHeight="1">
      <c r="C140" s="70"/>
      <c r="D140" s="70"/>
      <c r="E140" s="70"/>
      <c r="F140" s="70"/>
      <c r="G140" s="70"/>
      <c r="I140" s="73"/>
    </row>
    <row r="141" spans="3:9" s="65" customFormat="1" ht="12.75" customHeight="1">
      <c r="C141" s="70"/>
      <c r="D141" s="70"/>
      <c r="E141" s="70"/>
      <c r="F141" s="70"/>
      <c r="G141" s="70"/>
      <c r="I141" s="73"/>
    </row>
  </sheetData>
  <mergeCells count="2">
    <mergeCell ref="A8:I8"/>
    <mergeCell ref="G5:I5"/>
  </mergeCells>
  <phoneticPr fontId="0" type="noConversion"/>
  <conditionalFormatting sqref="G41">
    <cfRule type="cellIs" dxfId="30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L141"/>
  <sheetViews>
    <sheetView topLeftCell="A24"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9.140625" style="23"/>
    <col min="11" max="11" width="13.5703125" style="23" bestFit="1" customWidth="1"/>
    <col min="12" max="12" width="11" style="23" bestFit="1" customWidth="1"/>
    <col min="13" max="16384" width="9.140625" style="23"/>
  </cols>
  <sheetData>
    <row r="1" spans="1:12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12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12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12" s="92" customFormat="1" ht="12.75" customHeight="1">
      <c r="C4" s="95"/>
      <c r="D4" s="95"/>
      <c r="E4" s="95"/>
      <c r="F4" s="95"/>
      <c r="G4" s="95"/>
      <c r="I4" s="97"/>
    </row>
    <row r="5" spans="1:12" s="92" customFormat="1" ht="15.75">
      <c r="C5" s="95"/>
      <c r="D5" s="37"/>
      <c r="E5" s="36" t="s">
        <v>46</v>
      </c>
      <c r="F5" s="199" t="s">
        <v>139</v>
      </c>
      <c r="G5" s="505" t="str">
        <f>VLOOKUP($F5,District,2,FALSE)</f>
        <v>Bellingham Technical College</v>
      </c>
      <c r="H5" s="505"/>
      <c r="I5" s="505"/>
    </row>
    <row r="6" spans="1:12" ht="12.75" customHeight="1" thickBot="1"/>
    <row r="7" spans="1:12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12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12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12" ht="12.75" customHeight="1">
      <c r="A10" s="46"/>
      <c r="B10" s="47"/>
      <c r="C10" s="48">
        <f>IF(ISNA(VLOOKUP($F$5,Student,8,FALSE)),0,VLOOKUP($F$5,Student,8,FALSE))</f>
        <v>1783</v>
      </c>
      <c r="D10" s="48"/>
      <c r="E10" s="48">
        <f>IF(ISNA(VLOOKUP($F$5,Student,14,FALSE)),0,VLOOKUP($F$5,Student,14,FALSE))</f>
        <v>77</v>
      </c>
      <c r="F10" s="48"/>
      <c r="G10" s="48">
        <f>$E$10+$C$10+$A$10</f>
        <v>1860</v>
      </c>
      <c r="I10" s="49"/>
      <c r="J10" s="164"/>
    </row>
    <row r="11" spans="1:12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12" ht="12.75" customHeight="1" thickTop="1"/>
    <row r="13" spans="1:12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12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12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12" ht="12.75" customHeight="1">
      <c r="A16" s="115" t="s">
        <v>186</v>
      </c>
      <c r="B16" s="35" t="s">
        <v>51</v>
      </c>
      <c r="C16" s="16">
        <f t="shared" ref="C16:C24" si="0">IF(ISNA(VLOOKUP($F$5 &amp;A16, AllocSched,12,FALSE)),"-",VLOOKUP($F$5 &amp;A16, AllocSched,12,FALSE))</f>
        <v>7365559</v>
      </c>
      <c r="D16" s="112" t="s">
        <v>51</v>
      </c>
      <c r="E16" s="16">
        <f t="shared" ref="E16:E24" si="1">IF(ISNA(VLOOKUP($F$5 &amp; A16, AllocSched,13,FALSE)),"-",VLOOKUP($F$5 &amp; A16, AllocSched,13,FALSE))</f>
        <v>-7251</v>
      </c>
      <c r="F16" s="16" t="s">
        <v>51</v>
      </c>
      <c r="G16" s="16">
        <f t="shared" ref="G16:G22" si="2">IF(C16="-",E16,C16+E16)</f>
        <v>7358308</v>
      </c>
      <c r="H16" s="55" t="str">
        <f t="shared" ref="H16:H22" si="3">IF(ISNA(VLOOKUP($F$5 &amp; A16, AllocSched,9,FALSE))," ",VLOOKUP($F$5 &amp; A16, AllocSched,9,FALSE))</f>
        <v>001-011</v>
      </c>
      <c r="I16" s="56">
        <f t="shared" ref="I16:I41" si="4">IF(ISNA(VLOOKUP($F$5 &amp; A16, AllocSched,14,FALSE))," ",VLOOKUP($F$5 &amp; A16, AllocSched,14,FALSE))</f>
        <v>101</v>
      </c>
      <c r="K16" s="25"/>
      <c r="L16" s="25"/>
    </row>
    <row r="17" spans="1:12" ht="12.75" customHeight="1">
      <c r="A17" s="115" t="s">
        <v>171</v>
      </c>
      <c r="B17" s="54"/>
      <c r="C17" s="16">
        <f t="shared" si="0"/>
        <v>871393</v>
      </c>
      <c r="D17" s="112"/>
      <c r="E17" s="16">
        <f t="shared" si="1"/>
        <v>7251</v>
      </c>
      <c r="F17" s="16"/>
      <c r="G17" s="16">
        <f t="shared" si="2"/>
        <v>878644</v>
      </c>
      <c r="H17" s="55" t="str">
        <f t="shared" si="3"/>
        <v>08A-3E0</v>
      </c>
      <c r="I17" s="56" t="str">
        <f t="shared" si="4"/>
        <v>3E0</v>
      </c>
      <c r="K17" s="30"/>
      <c r="L17" s="30"/>
    </row>
    <row r="18" spans="1:12" s="272" customFormat="1" ht="12.75" customHeight="1">
      <c r="A18" s="115" t="s">
        <v>781</v>
      </c>
      <c r="B18" s="54"/>
      <c r="C18" s="16">
        <f t="shared" si="0"/>
        <v>0</v>
      </c>
      <c r="D18" s="112"/>
      <c r="E18" s="16">
        <f t="shared" si="1"/>
        <v>42126</v>
      </c>
      <c r="F18" s="16"/>
      <c r="G18" s="16">
        <f>IF(C18="-",E18,C18+E18)</f>
        <v>42126</v>
      </c>
      <c r="H18" s="55" t="str">
        <f>IF(ISNA(VLOOKUP($F$5 &amp; A18, AllocSched,9,FALSE))," ",VLOOKUP($F$5 &amp; A18, AllocSched,9,FALSE))</f>
        <v>001-011</v>
      </c>
      <c r="I18" s="56">
        <f>IF(ISNA(VLOOKUP($F$5 &amp; A18, AllocSched,14,FALSE))," ",VLOOKUP($F$5 &amp; A18, AllocSched,14,FALSE))</f>
        <v>101</v>
      </c>
      <c r="K18" s="270"/>
      <c r="L18" s="270"/>
    </row>
    <row r="19" spans="1:12" s="272" customFormat="1" ht="12.75" customHeight="1">
      <c r="A19" s="115" t="s">
        <v>448</v>
      </c>
      <c r="B19" s="54"/>
      <c r="C19" s="16">
        <f t="shared" si="0"/>
        <v>0</v>
      </c>
      <c r="D19" s="112"/>
      <c r="E19" s="16">
        <f t="shared" si="1"/>
        <v>224153</v>
      </c>
      <c r="F19" s="16"/>
      <c r="G19" s="16">
        <f>IF(C19="-",E19,C19+E19)</f>
        <v>224153</v>
      </c>
      <c r="H19" s="55" t="str">
        <f>IF(ISNA(VLOOKUP($F$5 &amp; A19, AllocSched,9,FALSE))," ",VLOOKUP($F$5 &amp; A19, AllocSched,9,FALSE))</f>
        <v>001-011</v>
      </c>
      <c r="I19" s="56">
        <f>IF(ISNA(VLOOKUP($F$5 &amp; A19, AllocSched,14,FALSE))," ",VLOOKUP($F$5 &amp; A19, AllocSched,14,FALSE))</f>
        <v>101</v>
      </c>
      <c r="K19" s="270"/>
      <c r="L19" s="270"/>
    </row>
    <row r="20" spans="1:12" s="269" customFormat="1" ht="12.75" customHeight="1">
      <c r="A20" s="115" t="s">
        <v>340</v>
      </c>
      <c r="B20" s="54"/>
      <c r="C20" s="16">
        <f t="shared" si="0"/>
        <v>0</v>
      </c>
      <c r="D20" s="112"/>
      <c r="E20" s="16">
        <f t="shared" si="1"/>
        <v>430554</v>
      </c>
      <c r="F20" s="16"/>
      <c r="G20" s="16">
        <f>IF(C20="-",E20,C20+E20)</f>
        <v>430554</v>
      </c>
      <c r="H20" s="55" t="str">
        <f>IF(ISNA(VLOOKUP($F$5 &amp; A20, AllocSched,9,FALSE))," ",VLOOKUP($F$5 &amp; A20, AllocSched,9,FALSE))</f>
        <v>001-011</v>
      </c>
      <c r="I20" s="56">
        <f>IF(ISNA(VLOOKUP($F$5 &amp; A20, AllocSched,14,FALSE))," ",VLOOKUP($F$5 &amp; A20, AllocSched,14,FALSE))</f>
        <v>101</v>
      </c>
    </row>
    <row r="21" spans="1:12" ht="12.75" customHeight="1">
      <c r="A21" s="115" t="s">
        <v>253</v>
      </c>
      <c r="B21" s="54"/>
      <c r="C21" s="16">
        <f>IF(ISNA(VLOOKUP($F$5 &amp;A21, AllocSched,12,FALSE)),"-",VLOOKUP($F$5 &amp;A21, AllocSched,12,FALSE))</f>
        <v>0</v>
      </c>
      <c r="D21" s="112"/>
      <c r="E21" s="16">
        <f>IF(ISNA(VLOOKUP($F$5 &amp; A21, AllocSched,13,FALSE)),"-",VLOOKUP($F$5 &amp; A21, AllocSched,13,FALSE))</f>
        <v>300</v>
      </c>
      <c r="F21" s="16"/>
      <c r="G21" s="16">
        <f>IF(C21="-",E21,C21+E21)</f>
        <v>300</v>
      </c>
      <c r="H21" s="55" t="str">
        <f t="shared" si="3"/>
        <v>001-011</v>
      </c>
      <c r="I21" s="56">
        <f t="shared" si="4"/>
        <v>101</v>
      </c>
    </row>
    <row r="22" spans="1:12" ht="12.75" customHeight="1">
      <c r="A22" s="115" t="s">
        <v>207</v>
      </c>
      <c r="B22" s="54"/>
      <c r="C22" s="16">
        <f t="shared" si="0"/>
        <v>0</v>
      </c>
      <c r="D22" s="112"/>
      <c r="E22" s="16">
        <f t="shared" si="1"/>
        <v>44857</v>
      </c>
      <c r="F22" s="16"/>
      <c r="G22" s="16">
        <f t="shared" si="2"/>
        <v>44857</v>
      </c>
      <c r="H22" s="55" t="str">
        <f t="shared" si="3"/>
        <v>001-011</v>
      </c>
      <c r="I22" s="56">
        <f t="shared" si="4"/>
        <v>101</v>
      </c>
    </row>
    <row r="23" spans="1:12" s="272" customFormat="1" ht="12.75" customHeight="1">
      <c r="A23" s="115" t="s">
        <v>203</v>
      </c>
      <c r="B23" s="54"/>
      <c r="C23" s="16">
        <f t="shared" si="0"/>
        <v>0</v>
      </c>
      <c r="D23" s="112"/>
      <c r="E23" s="16">
        <f t="shared" si="1"/>
        <v>-2616</v>
      </c>
      <c r="F23" s="16"/>
      <c r="G23" s="16">
        <f>IF(C23="-",E23,C23+E23)</f>
        <v>-2616</v>
      </c>
      <c r="H23" s="55" t="str">
        <f>IF(ISNA(VLOOKUP($F$5 &amp; A23, AllocSched,9,FALSE))," ",VLOOKUP($F$5 &amp; A23, AllocSched,9,FALSE))</f>
        <v>001-011</v>
      </c>
      <c r="I23" s="56">
        <f>IF(ISNA(VLOOKUP($F$5 &amp; A23, AllocSched,14,FALSE))," ",VLOOKUP($F$5 &amp; A23, AllocSched,14,FALSE))</f>
        <v>101</v>
      </c>
    </row>
    <row r="24" spans="1:12" s="272" customFormat="1" ht="12.75" customHeight="1">
      <c r="A24" s="115" t="s">
        <v>454</v>
      </c>
      <c r="B24" s="54"/>
      <c r="C24" s="16">
        <f t="shared" si="0"/>
        <v>0</v>
      </c>
      <c r="D24" s="112"/>
      <c r="E24" s="16">
        <f t="shared" si="1"/>
        <v>182</v>
      </c>
      <c r="F24" s="16"/>
      <c r="G24" s="16">
        <f>IF(C24="-",E24,C24+E24)</f>
        <v>182</v>
      </c>
      <c r="H24" s="55" t="str">
        <f>IF(ISNA(VLOOKUP($F$5 &amp; A24, AllocSched,9,FALSE))," ",VLOOKUP($F$5 &amp; A24, AllocSched,9,FALSE))</f>
        <v>001-011</v>
      </c>
      <c r="I24" s="56">
        <f>IF(ISNA(VLOOKUP($F$5 &amp; A24, AllocSched,14,FALSE))," ",VLOOKUP($F$5 &amp; A24, AllocSched,14,FALSE))</f>
        <v>101</v>
      </c>
    </row>
    <row r="25" spans="1:12" ht="12.75" customHeight="1">
      <c r="A25" s="115"/>
      <c r="B25" s="54"/>
      <c r="C25" s="16"/>
      <c r="D25" s="112"/>
      <c r="E25" s="16"/>
      <c r="F25" s="16"/>
      <c r="G25" s="16"/>
      <c r="H25" s="55" t="str">
        <f t="shared" ref="H25:H41" si="5">IF(ISNA(VLOOKUP($F$5 &amp; A25, AllocSched,9,FALSE))," ",VLOOKUP($F$5 &amp; A25, AllocSched,9,FALSE))</f>
        <v xml:space="preserve"> </v>
      </c>
      <c r="I25" s="56" t="str">
        <f t="shared" si="4"/>
        <v xml:space="preserve"> </v>
      </c>
    </row>
    <row r="26" spans="1:12" s="83" customFormat="1">
      <c r="A26" s="114" t="s">
        <v>168</v>
      </c>
      <c r="B26" s="84"/>
      <c r="C26" s="16"/>
      <c r="D26" s="112"/>
      <c r="E26" s="16"/>
      <c r="F26" s="16"/>
      <c r="G26" s="16"/>
      <c r="H26" s="55" t="str">
        <f t="shared" si="5"/>
        <v xml:space="preserve"> </v>
      </c>
      <c r="I26" s="56" t="str">
        <f t="shared" si="4"/>
        <v xml:space="preserve"> </v>
      </c>
    </row>
    <row r="27" spans="1:12" s="83" customFormat="1">
      <c r="A27" s="38" t="s">
        <v>345</v>
      </c>
      <c r="B27" s="272"/>
      <c r="C27" s="16">
        <f t="shared" ref="C27:C41" si="6">IF(ISNA(VLOOKUP($F$5 &amp;A27, AllocSched,12,FALSE)),"-",VLOOKUP($F$5 &amp;A27, AllocSched,12,FALSE))</f>
        <v>607376</v>
      </c>
      <c r="D27" s="112"/>
      <c r="E27" s="16">
        <f>IF(ISNA(VLOOKUP($F$5 &amp; A27, AllocSched,13,FALSE)),"-",VLOOKUP($F$5 &amp; A27, AllocSched,13,FALSE))</f>
        <v>0</v>
      </c>
      <c r="F27" s="16"/>
      <c r="G27" s="16">
        <f>IF(C27="-",E27,C27+E27)</f>
        <v>607376</v>
      </c>
      <c r="H27" s="55" t="str">
        <f>IF(ISNA(VLOOKUP($F$5 &amp; A27, AllocSched,9,FALSE))," ",VLOOKUP($F$5 &amp; A27, AllocSched,9,FALSE))</f>
        <v>001-011</v>
      </c>
      <c r="I27" s="56">
        <f>IF(ISNA(VLOOKUP($F$5 &amp; A27, AllocSched,14,FALSE))," ",VLOOKUP($F$5 &amp; A27, AllocSched,14,FALSE))</f>
        <v>101</v>
      </c>
    </row>
    <row r="28" spans="1:12" ht="12.75" customHeight="1">
      <c r="A28" s="38" t="s">
        <v>211</v>
      </c>
      <c r="C28" s="16">
        <f t="shared" si="6"/>
        <v>251525</v>
      </c>
      <c r="D28" s="112"/>
      <c r="E28" s="16">
        <f>IF(ISNA(VLOOKUP($F$5 &amp; A28, AllocSched,13,FALSE)),"-",VLOOKUP($F$5 &amp; A28, AllocSched,13,FALSE))</f>
        <v>-251525</v>
      </c>
      <c r="F28" s="16"/>
      <c r="G28" s="16">
        <f>IF(C28="-",E28,C28+E28)</f>
        <v>0</v>
      </c>
      <c r="H28" s="55" t="str">
        <f>IF(ISNA(VLOOKUP($F$5 &amp; A28, AllocSched,9,FALSE))," ",VLOOKUP($F$5 &amp; A28, AllocSched,9,FALSE))</f>
        <v>001-011</v>
      </c>
      <c r="I28" s="56">
        <f t="shared" si="4"/>
        <v>101</v>
      </c>
    </row>
    <row r="29" spans="1:12" ht="12.75" customHeight="1">
      <c r="A29" s="38" t="s">
        <v>208</v>
      </c>
      <c r="C29" s="16">
        <f t="shared" si="6"/>
        <v>1999596</v>
      </c>
      <c r="D29" s="112"/>
      <c r="E29" s="16">
        <f t="shared" ref="E29:E41" si="7">IF(ISNA(VLOOKUP($F$5 &amp; A29, AllocSched,13,FALSE)),"-",VLOOKUP($F$5 &amp; A29, AllocSched,13,FALSE))</f>
        <v>-3300</v>
      </c>
      <c r="F29" s="16"/>
      <c r="G29" s="16">
        <f t="shared" ref="G29:G41" si="8">IF(C29="-",E29,C29+E29)</f>
        <v>1996296</v>
      </c>
      <c r="H29" s="55" t="str">
        <f t="shared" si="5"/>
        <v>060-BA0</v>
      </c>
      <c r="I29" s="56" t="str">
        <f t="shared" si="4"/>
        <v>BA0</v>
      </c>
    </row>
    <row r="30" spans="1:12" ht="12.75" customHeight="1">
      <c r="A30" s="38" t="s">
        <v>222</v>
      </c>
      <c r="C30" s="16">
        <f t="shared" si="6"/>
        <v>15225</v>
      </c>
      <c r="D30" s="112"/>
      <c r="E30" s="16">
        <f>IF(ISNA(VLOOKUP($F$5 &amp; A30, AllocSched,13,FALSE)),"-",VLOOKUP($F$5 &amp; A30, AllocSched,13,FALSE))</f>
        <v>-15225</v>
      </c>
      <c r="F30" s="16"/>
      <c r="G30" s="16">
        <f>IF(C30="-",E30,C30+E30)</f>
        <v>0</v>
      </c>
      <c r="H30" s="55" t="str">
        <f>IF(ISNA(VLOOKUP($F$5 &amp; A30, AllocSched,9,FALSE))," ",VLOOKUP($F$5 &amp; A30, AllocSched,9,FALSE))</f>
        <v>08A-3E0</v>
      </c>
      <c r="I30" s="56" t="str">
        <f t="shared" si="4"/>
        <v>3E0</v>
      </c>
    </row>
    <row r="31" spans="1:12" ht="12.75" customHeight="1">
      <c r="A31" s="38" t="s">
        <v>170</v>
      </c>
      <c r="C31" s="16">
        <f t="shared" si="6"/>
        <v>41636</v>
      </c>
      <c r="D31" s="112"/>
      <c r="E31" s="16">
        <f t="shared" si="7"/>
        <v>-883</v>
      </c>
      <c r="F31" s="16"/>
      <c r="G31" s="16">
        <f t="shared" si="8"/>
        <v>40753</v>
      </c>
      <c r="H31" s="55" t="str">
        <f t="shared" si="5"/>
        <v>001-011</v>
      </c>
      <c r="I31" s="56">
        <f t="shared" si="4"/>
        <v>101</v>
      </c>
    </row>
    <row r="32" spans="1:12" s="272" customFormat="1" ht="12.75" customHeight="1">
      <c r="A32" s="115" t="s">
        <v>162</v>
      </c>
      <c r="C32" s="16">
        <f t="shared" si="6"/>
        <v>53316</v>
      </c>
      <c r="D32" s="112"/>
      <c r="E32" s="16">
        <f>IF(ISNA(VLOOKUP($F$5 &amp; A32, AllocSched,13,FALSE)),"-",VLOOKUP($F$5 &amp; A32, AllocSched,13,FALSE))</f>
        <v>-53316</v>
      </c>
      <c r="F32" s="16"/>
      <c r="G32" s="16">
        <f>IF(C32="-",E32,C32+E32)</f>
        <v>0</v>
      </c>
      <c r="H32" s="55" t="str">
        <f>IF(ISNA(VLOOKUP($F$5 &amp; A32, AllocSched,9,FALSE))," ",VLOOKUP($F$5 &amp; A32, AllocSched,9,FALSE))</f>
        <v>001-011</v>
      </c>
      <c r="I32" s="56">
        <f>IF(ISNA(VLOOKUP($F$5 &amp; A32, AllocSched,14,FALSE))," ",VLOOKUP($F$5 &amp; A32, AllocSched,14,FALSE))</f>
        <v>101</v>
      </c>
    </row>
    <row r="33" spans="1:12" ht="12.75" customHeight="1">
      <c r="A33" s="115" t="s">
        <v>151</v>
      </c>
      <c r="B33" s="54"/>
      <c r="C33" s="16">
        <f t="shared" si="6"/>
        <v>56000</v>
      </c>
      <c r="D33" s="112"/>
      <c r="E33" s="16">
        <f t="shared" si="7"/>
        <v>0</v>
      </c>
      <c r="F33" s="16"/>
      <c r="G33" s="16">
        <f t="shared" si="8"/>
        <v>56000</v>
      </c>
      <c r="H33" s="55" t="str">
        <f t="shared" si="5"/>
        <v>08A-3E0</v>
      </c>
      <c r="I33" s="56" t="str">
        <f t="shared" si="4"/>
        <v>3E0</v>
      </c>
    </row>
    <row r="34" spans="1:12" ht="12.75" customHeight="1">
      <c r="A34" s="115" t="s">
        <v>150</v>
      </c>
      <c r="B34" s="54"/>
      <c r="C34" s="16">
        <f t="shared" si="6"/>
        <v>317412</v>
      </c>
      <c r="D34" s="112"/>
      <c r="E34" s="16">
        <f t="shared" si="7"/>
        <v>0</v>
      </c>
      <c r="F34" s="16"/>
      <c r="G34" s="16">
        <f t="shared" si="8"/>
        <v>317412</v>
      </c>
      <c r="H34" s="55" t="str">
        <f t="shared" si="5"/>
        <v>001-011</v>
      </c>
      <c r="I34" s="56">
        <f t="shared" si="4"/>
        <v>101</v>
      </c>
    </row>
    <row r="35" spans="1:12" ht="12.75" customHeight="1">
      <c r="A35" s="115" t="s">
        <v>272</v>
      </c>
      <c r="B35" s="54"/>
      <c r="C35" s="16">
        <f t="shared" si="6"/>
        <v>36082</v>
      </c>
      <c r="D35" s="112"/>
      <c r="E35" s="16">
        <f t="shared" si="7"/>
        <v>0</v>
      </c>
      <c r="F35" s="16"/>
      <c r="G35" s="16">
        <f t="shared" si="8"/>
        <v>36082</v>
      </c>
      <c r="H35" s="55" t="str">
        <f t="shared" si="5"/>
        <v>001-BD1</v>
      </c>
      <c r="I35" s="56" t="str">
        <f t="shared" si="4"/>
        <v>BD1</v>
      </c>
    </row>
    <row r="36" spans="1:12" ht="12.75" customHeight="1">
      <c r="A36" s="115" t="s">
        <v>273</v>
      </c>
      <c r="B36" s="54"/>
      <c r="C36" s="16">
        <f t="shared" si="6"/>
        <v>106872</v>
      </c>
      <c r="D36" s="112"/>
      <c r="E36" s="16">
        <f>IF(ISNA(VLOOKUP($F$5 &amp; A36, AllocSched,13,FALSE)),"-",VLOOKUP($F$5 &amp; A36, AllocSched,13,FALSE))</f>
        <v>-106872</v>
      </c>
      <c r="F36" s="16"/>
      <c r="G36" s="16">
        <f>IF(C36="-",E36,C36+E36)</f>
        <v>0</v>
      </c>
      <c r="H36" s="55" t="str">
        <f>IF(ISNA(VLOOKUP($F$5 &amp; A36, AllocSched,9,FALSE))," ",VLOOKUP($F$5 &amp; A36, AllocSched,9,FALSE))</f>
        <v>001-BD1</v>
      </c>
      <c r="I36" s="56" t="str">
        <f t="shared" si="4"/>
        <v>BD1</v>
      </c>
    </row>
    <row r="37" spans="1:12" ht="12.75" customHeight="1">
      <c r="A37" s="115" t="s">
        <v>6</v>
      </c>
      <c r="B37" s="54"/>
      <c r="C37" s="16">
        <f t="shared" si="6"/>
        <v>10528</v>
      </c>
      <c r="D37" s="112"/>
      <c r="E37" s="16">
        <f t="shared" si="7"/>
        <v>-4148</v>
      </c>
      <c r="F37" s="16"/>
      <c r="G37" s="16">
        <f t="shared" si="8"/>
        <v>6380</v>
      </c>
      <c r="H37" s="55" t="str">
        <f t="shared" si="5"/>
        <v>001-011</v>
      </c>
      <c r="I37" s="56">
        <f t="shared" si="4"/>
        <v>101</v>
      </c>
    </row>
    <row r="38" spans="1:12" s="272" customFormat="1" ht="12.75" customHeight="1">
      <c r="A38" s="115" t="s">
        <v>64</v>
      </c>
      <c r="B38" s="54"/>
      <c r="C38" s="16" t="str">
        <f>IF(ISNA(VLOOKUP($F$5 &amp;A38, AllocSched,12,FALSE)),"-",VLOOKUP($F$5 &amp;A38, AllocSched,12,FALSE))</f>
        <v>-</v>
      </c>
      <c r="D38" s="112"/>
      <c r="E38" s="16" t="str">
        <f>IF(ISNA(VLOOKUP($F$5 &amp; A38, AllocSched,13,FALSE)),"-",VLOOKUP($F$5 &amp; A38, AllocSched,13,FALSE))</f>
        <v>-</v>
      </c>
      <c r="F38" s="16"/>
      <c r="G38" s="16" t="str">
        <f>IF(C38="-",E38,C38+E38)</f>
        <v>-</v>
      </c>
      <c r="H38" s="55" t="str">
        <f>IF(ISNA(VLOOKUP($F$5 &amp; A38, AllocSched,9,FALSE))," ",VLOOKUP($F$5 &amp; A38, AllocSched,9,FALSE))</f>
        <v xml:space="preserve"> </v>
      </c>
      <c r="I38" s="56" t="str">
        <f t="shared" ref="I38" si="9">IF(ISNA(VLOOKUP($F$5 &amp; A38, AllocSched,14,FALSE))," ",VLOOKUP($F$5 &amp; A38, AllocSched,14,FALSE))</f>
        <v xml:space="preserve"> </v>
      </c>
    </row>
    <row r="39" spans="1:12" ht="12.75" customHeight="1">
      <c r="A39" s="115" t="s">
        <v>333</v>
      </c>
      <c r="B39" s="54"/>
      <c r="C39" s="16">
        <f t="shared" si="6"/>
        <v>123401</v>
      </c>
      <c r="D39" s="112"/>
      <c r="E39" s="16">
        <f t="shared" si="7"/>
        <v>-90000</v>
      </c>
      <c r="F39" s="16"/>
      <c r="G39" s="16">
        <f t="shared" si="8"/>
        <v>33401</v>
      </c>
      <c r="H39" s="55" t="str">
        <f t="shared" si="5"/>
        <v>001-011</v>
      </c>
      <c r="I39" s="56">
        <f t="shared" si="4"/>
        <v>101</v>
      </c>
    </row>
    <row r="40" spans="1:12" ht="12.75" customHeight="1">
      <c r="A40" s="115" t="s">
        <v>332</v>
      </c>
      <c r="B40" s="54"/>
      <c r="C40" s="16">
        <f t="shared" si="6"/>
        <v>159547</v>
      </c>
      <c r="D40" s="112"/>
      <c r="E40" s="16">
        <f t="shared" si="7"/>
        <v>0</v>
      </c>
      <c r="F40" s="16"/>
      <c r="G40" s="16">
        <f t="shared" si="8"/>
        <v>159547</v>
      </c>
      <c r="H40" s="55" t="str">
        <f t="shared" si="5"/>
        <v>001-AC1</v>
      </c>
      <c r="I40" s="56">
        <f t="shared" si="4"/>
        <v>123</v>
      </c>
    </row>
    <row r="41" spans="1:12" ht="12.75" customHeight="1">
      <c r="A41" s="115" t="s">
        <v>215</v>
      </c>
      <c r="B41" s="54"/>
      <c r="C41" s="16">
        <f t="shared" si="6"/>
        <v>702125</v>
      </c>
      <c r="D41" s="112"/>
      <c r="E41" s="16">
        <f t="shared" si="7"/>
        <v>-702125</v>
      </c>
      <c r="F41" s="16"/>
      <c r="G41" s="16">
        <f t="shared" si="8"/>
        <v>0</v>
      </c>
      <c r="H41" s="55" t="str">
        <f t="shared" si="5"/>
        <v>001-AC1</v>
      </c>
      <c r="I41" s="56">
        <f t="shared" si="4"/>
        <v>123</v>
      </c>
    </row>
    <row r="42" spans="1:12" ht="12.75" customHeight="1">
      <c r="A42" s="54"/>
      <c r="B42" s="54"/>
      <c r="C42" s="16"/>
      <c r="D42" s="112"/>
      <c r="E42" s="16"/>
      <c r="F42" s="16"/>
      <c r="G42" s="16"/>
      <c r="H42" s="55"/>
      <c r="I42" s="56"/>
    </row>
    <row r="43" spans="1:12" ht="13.5" thickBot="1">
      <c r="A43" s="89" t="s">
        <v>174</v>
      </c>
      <c r="B43" s="57" t="s">
        <v>51</v>
      </c>
      <c r="C43" s="111">
        <f>SUM(C16:C41)</f>
        <v>12717593</v>
      </c>
      <c r="D43" s="113" t="s">
        <v>51</v>
      </c>
      <c r="E43" s="111">
        <f>SUM(E16:E41)</f>
        <v>-487838</v>
      </c>
      <c r="F43" s="113" t="s">
        <v>51</v>
      </c>
      <c r="G43" s="111">
        <f>SUM(G16:G41)</f>
        <v>12229755</v>
      </c>
      <c r="K43" s="147"/>
      <c r="L43" s="30"/>
    </row>
    <row r="44" spans="1:12" ht="12.75" customHeight="1" thickTop="1">
      <c r="A44" s="84"/>
      <c r="B44" s="84"/>
      <c r="C44" s="58">
        <v>0</v>
      </c>
      <c r="D44" s="58"/>
      <c r="E44" s="90"/>
      <c r="F44" s="90"/>
      <c r="G44" s="90"/>
    </row>
    <row r="45" spans="1:12" s="65" customFormat="1" ht="25.5">
      <c r="A45" s="59" t="s">
        <v>156</v>
      </c>
      <c r="B45" s="60"/>
      <c r="C45" s="61"/>
      <c r="D45" s="62"/>
      <c r="E45" s="63" t="s">
        <v>67</v>
      </c>
      <c r="F45" s="62"/>
      <c r="G45" s="64" t="s">
        <v>163</v>
      </c>
      <c r="H45" s="64" t="s">
        <v>164</v>
      </c>
      <c r="I45" s="98" t="s">
        <v>70</v>
      </c>
    </row>
    <row r="46" spans="1:12" s="65" customFormat="1" ht="12.75" customHeight="1">
      <c r="A46" s="66" t="s">
        <v>240</v>
      </c>
      <c r="B46" s="67"/>
      <c r="C46" s="68"/>
      <c r="E46" s="66" t="s">
        <v>349</v>
      </c>
      <c r="G46" s="150">
        <f t="shared" ref="G46:G53" si="10">VLOOKUP($F$5 &amp; $A46 &amp; $E46,AddRes,7,FALSE)</f>
        <v>0</v>
      </c>
      <c r="H46" s="150">
        <f t="shared" ref="H46" si="11">VLOOKUP($F$5 &amp; $A46 &amp; $E46,AddRes,8,FALSE)</f>
        <v>0</v>
      </c>
      <c r="I46" s="69">
        <f t="shared" ref="I46" si="12">VLOOKUP($F$5 &amp; $A46 &amp; $E46,AddRes,10,FALSE)</f>
        <v>42277</v>
      </c>
    </row>
    <row r="47" spans="1:12" s="65" customFormat="1" ht="12.75" customHeight="1">
      <c r="A47" s="66" t="s">
        <v>497</v>
      </c>
      <c r="B47" s="67"/>
      <c r="C47" s="68"/>
      <c r="E47" s="66" t="s">
        <v>516</v>
      </c>
      <c r="G47" s="150">
        <f t="shared" si="10"/>
        <v>0</v>
      </c>
      <c r="H47" s="150">
        <f t="shared" ref="H47:H53" si="13">VLOOKUP($F$5 &amp; $A47 &amp; $E47,AddRes,8,FALSE)</f>
        <v>0</v>
      </c>
      <c r="I47" s="69">
        <f t="shared" ref="I47:I53" si="14">VLOOKUP($F$5 &amp; $A47 &amp; $E47,AddRes,10,FALSE)</f>
        <v>42551</v>
      </c>
    </row>
    <row r="48" spans="1:12" s="65" customFormat="1" ht="12.75" customHeight="1">
      <c r="A48" s="66" t="s">
        <v>498</v>
      </c>
      <c r="B48" s="67"/>
      <c r="C48" s="68"/>
      <c r="E48" s="66" t="s">
        <v>517</v>
      </c>
      <c r="G48" s="150">
        <f t="shared" si="10"/>
        <v>0</v>
      </c>
      <c r="H48" s="150">
        <f t="shared" si="13"/>
        <v>0</v>
      </c>
      <c r="I48" s="69">
        <f t="shared" si="14"/>
        <v>42551</v>
      </c>
    </row>
    <row r="49" spans="1:12" s="65" customFormat="1" ht="12.75" customHeight="1">
      <c r="A49" s="66" t="s">
        <v>505</v>
      </c>
      <c r="B49" s="67"/>
      <c r="C49" s="68"/>
      <c r="E49" s="66" t="s">
        <v>518</v>
      </c>
      <c r="G49" s="150">
        <f t="shared" si="10"/>
        <v>0</v>
      </c>
      <c r="H49" s="150">
        <f t="shared" si="13"/>
        <v>0</v>
      </c>
      <c r="I49" s="69">
        <f t="shared" si="14"/>
        <v>42551</v>
      </c>
    </row>
    <row r="50" spans="1:12" s="65" customFormat="1" ht="12.75" customHeight="1">
      <c r="A50" s="66" t="s">
        <v>242</v>
      </c>
      <c r="B50" s="67"/>
      <c r="C50" s="34"/>
      <c r="D50" s="224"/>
      <c r="E50" s="66" t="s">
        <v>350</v>
      </c>
      <c r="G50" s="150">
        <f t="shared" si="10"/>
        <v>0</v>
      </c>
      <c r="H50" s="150">
        <f t="shared" si="13"/>
        <v>0</v>
      </c>
      <c r="I50" s="69">
        <f t="shared" si="14"/>
        <v>42551</v>
      </c>
    </row>
    <row r="51" spans="1:12" s="65" customFormat="1" ht="12.75" customHeight="1">
      <c r="A51" s="66" t="s">
        <v>233</v>
      </c>
      <c r="B51" s="67"/>
      <c r="C51" s="68"/>
      <c r="E51" s="66" t="s">
        <v>519</v>
      </c>
      <c r="G51" s="150">
        <f t="shared" si="10"/>
        <v>0</v>
      </c>
      <c r="H51" s="150">
        <f t="shared" si="13"/>
        <v>0</v>
      </c>
      <c r="I51" s="69">
        <f t="shared" si="14"/>
        <v>42551</v>
      </c>
    </row>
    <row r="52" spans="1:12" s="65" customFormat="1" ht="12.75" customHeight="1">
      <c r="A52" s="66" t="s">
        <v>231</v>
      </c>
      <c r="B52" s="67"/>
      <c r="C52" s="68"/>
      <c r="E52" s="66" t="s">
        <v>520</v>
      </c>
      <c r="G52" s="150">
        <f t="shared" si="10"/>
        <v>0</v>
      </c>
      <c r="H52" s="150">
        <f t="shared" si="13"/>
        <v>0</v>
      </c>
      <c r="I52" s="69">
        <f t="shared" si="14"/>
        <v>42551</v>
      </c>
      <c r="J52" s="198"/>
      <c r="K52" s="75"/>
      <c r="L52" s="75"/>
    </row>
    <row r="53" spans="1:12" s="65" customFormat="1" ht="12.75" customHeight="1">
      <c r="A53" s="66" t="s">
        <v>232</v>
      </c>
      <c r="B53" s="67"/>
      <c r="C53" s="68"/>
      <c r="E53" s="66" t="s">
        <v>521</v>
      </c>
      <c r="G53" s="150">
        <f t="shared" si="10"/>
        <v>0</v>
      </c>
      <c r="H53" s="150">
        <f t="shared" si="13"/>
        <v>0</v>
      </c>
      <c r="I53" s="69">
        <f t="shared" si="14"/>
        <v>42551</v>
      </c>
      <c r="J53" s="198"/>
    </row>
    <row r="54" spans="1:12" s="65" customFormat="1" ht="12.75" customHeight="1">
      <c r="C54" s="70"/>
      <c r="D54" s="70"/>
      <c r="E54" s="70"/>
      <c r="F54" s="70"/>
      <c r="G54" s="71"/>
      <c r="H54" s="72"/>
      <c r="I54" s="73"/>
    </row>
    <row r="55" spans="1:12" s="65" customFormat="1" ht="12.75" customHeight="1">
      <c r="C55" s="74" t="s">
        <v>71</v>
      </c>
      <c r="D55" s="70"/>
      <c r="E55" s="70"/>
      <c r="F55" s="70"/>
      <c r="G55" s="75">
        <f>SUM(G46:G53)</f>
        <v>0</v>
      </c>
      <c r="H55" s="75">
        <f>SUM(H46:H53)</f>
        <v>0</v>
      </c>
      <c r="I55" s="73"/>
      <c r="K55" s="75"/>
    </row>
    <row r="56" spans="1:12" s="65" customFormat="1" ht="12.75" customHeight="1">
      <c r="C56" s="70"/>
      <c r="D56" s="70"/>
      <c r="E56" s="70"/>
      <c r="F56" s="70"/>
      <c r="G56" s="70"/>
      <c r="I56" s="73"/>
    </row>
    <row r="57" spans="1:12" s="65" customFormat="1" ht="12.75" customHeight="1">
      <c r="C57" s="70"/>
      <c r="D57" s="70"/>
      <c r="E57" s="70"/>
      <c r="F57" s="70"/>
      <c r="G57" s="70"/>
      <c r="I57" s="73"/>
    </row>
    <row r="58" spans="1:12" s="65" customFormat="1" ht="12.75" customHeight="1">
      <c r="C58" s="70"/>
      <c r="D58" s="70"/>
      <c r="E58" s="70"/>
      <c r="F58" s="70"/>
      <c r="G58" s="70"/>
      <c r="I58" s="73"/>
    </row>
    <row r="59" spans="1:12" s="65" customFormat="1" ht="12.75" customHeight="1">
      <c r="C59" s="70"/>
      <c r="D59" s="70"/>
      <c r="E59" s="70"/>
      <c r="F59" s="70"/>
      <c r="G59" s="70"/>
      <c r="I59" s="73"/>
    </row>
    <row r="60" spans="1:12" s="65" customFormat="1" ht="12.75" customHeight="1">
      <c r="C60" s="70"/>
      <c r="D60" s="70"/>
      <c r="E60" s="70"/>
      <c r="F60" s="70"/>
      <c r="G60" s="70"/>
      <c r="I60" s="73"/>
    </row>
    <row r="61" spans="1:12" s="65" customFormat="1" ht="12.75" customHeight="1">
      <c r="C61" s="70"/>
      <c r="D61" s="70"/>
      <c r="E61" s="70"/>
      <c r="F61" s="70"/>
      <c r="G61" s="70"/>
      <c r="I61" s="73"/>
    </row>
    <row r="62" spans="1:12" s="65" customFormat="1" ht="12.75" customHeight="1">
      <c r="C62" s="70"/>
      <c r="D62" s="70"/>
      <c r="E62" s="70"/>
      <c r="F62" s="70"/>
      <c r="G62" s="70"/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  <row r="139" spans="3:9" s="65" customFormat="1" ht="12.75" customHeight="1">
      <c r="C139" s="70"/>
      <c r="D139" s="70"/>
      <c r="E139" s="70"/>
      <c r="F139" s="70"/>
      <c r="G139" s="70"/>
      <c r="I139" s="73"/>
    </row>
    <row r="140" spans="3:9" s="65" customFormat="1" ht="12.75" customHeight="1">
      <c r="C140" s="70"/>
      <c r="D140" s="70"/>
      <c r="E140" s="70"/>
      <c r="F140" s="70"/>
      <c r="G140" s="70"/>
      <c r="I140" s="73"/>
    </row>
    <row r="141" spans="3:9" s="65" customFormat="1" ht="12.75" customHeight="1">
      <c r="C141" s="70"/>
      <c r="D141" s="70"/>
      <c r="E141" s="70"/>
      <c r="F141" s="70"/>
      <c r="G141" s="70"/>
      <c r="I141" s="73"/>
    </row>
  </sheetData>
  <mergeCells count="2">
    <mergeCell ref="A8:I8"/>
    <mergeCell ref="G5:I5"/>
  </mergeCells>
  <phoneticPr fontId="0" type="noConversion"/>
  <conditionalFormatting sqref="G43">
    <cfRule type="cellIs" dxfId="29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L137"/>
  <sheetViews>
    <sheetView topLeftCell="A17"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9.140625" style="23"/>
    <col min="11" max="11" width="13.5703125" style="23" bestFit="1" customWidth="1"/>
    <col min="12" max="12" width="11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132</v>
      </c>
      <c r="G5" s="505" t="str">
        <f>VLOOKUP($F5,District,2,FALSE)</f>
        <v>Big Bend Community College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1667</v>
      </c>
      <c r="D10" s="48"/>
      <c r="E10" s="48">
        <f>IF(ISNA(VLOOKUP($F$5,Student,14,FALSE)),0,VLOOKUP($F$5,Student,14,FALSE))</f>
        <v>42</v>
      </c>
      <c r="F10" s="48"/>
      <c r="G10" s="48">
        <f>$E$10+$C$10+$A$10</f>
        <v>1709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>IF(ISNA(VLOOKUP($F$5 &amp;A16, AllocSched,12,FALSE)),"-",VLOOKUP($F$5 &amp;A16, AllocSched,12,FALSE))</f>
        <v>7064504</v>
      </c>
      <c r="D16" s="112" t="s">
        <v>51</v>
      </c>
      <c r="E16" s="16">
        <f>IF(ISNA(VLOOKUP($F$5 &amp; A16, AllocSched,13,FALSE)),"-",VLOOKUP($F$5 &amp; A16, AllocSched,13,FALSE))</f>
        <v>-6579</v>
      </c>
      <c r="F16" s="16" t="s">
        <v>51</v>
      </c>
      <c r="G16" s="16">
        <f>IF(C16="-",E16,C16+E16)</f>
        <v>7057925</v>
      </c>
      <c r="H16" s="55" t="str">
        <f t="shared" ref="H16:H35" si="0">IF(ISNA(VLOOKUP($F$5 &amp; A16, AllocSched,9,FALSE))," ",VLOOKUP($F$5 &amp; A16, AllocSched,9,FALSE))</f>
        <v>001-011</v>
      </c>
      <c r="I16" s="56">
        <f t="shared" ref="I16:I35" si="1">IF(ISNA(VLOOKUP($F$5 &amp; A16, AllocSched,14,FALSE))," ",VLOOKUP($F$5 &amp; A16, AllocSched,14,FALSE))</f>
        <v>101</v>
      </c>
    </row>
    <row r="17" spans="1:12" ht="12.75" customHeight="1">
      <c r="A17" s="115" t="s">
        <v>171</v>
      </c>
      <c r="B17" s="54"/>
      <c r="C17" s="16">
        <f t="shared" ref="C17:C21" si="2">IF(ISNA(VLOOKUP($F$5 &amp;A17, AllocSched,12,FALSE)),"-",VLOOKUP($F$5 &amp;A17, AllocSched,12,FALSE))</f>
        <v>814529</v>
      </c>
      <c r="D17" s="112"/>
      <c r="E17" s="16">
        <f t="shared" ref="E17:E22" si="3">IF(ISNA(VLOOKUP($F$5 &amp; A17, AllocSched,13,FALSE)),"-",VLOOKUP($F$5 &amp; A17, AllocSched,13,FALSE))</f>
        <v>6579</v>
      </c>
      <c r="F17" s="16"/>
      <c r="G17" s="16">
        <f t="shared" ref="G17:G21" si="4">IF(C17="-",E17,C17+E17)</f>
        <v>821108</v>
      </c>
      <c r="H17" s="55" t="str">
        <f t="shared" si="0"/>
        <v>08A-3E0</v>
      </c>
      <c r="I17" s="56" t="str">
        <f t="shared" si="1"/>
        <v>3E0</v>
      </c>
      <c r="K17" s="25"/>
      <c r="L17" s="25"/>
    </row>
    <row r="18" spans="1:12" s="272" customFormat="1" ht="12.75" customHeight="1">
      <c r="A18" s="38" t="s">
        <v>781</v>
      </c>
      <c r="B18" s="54"/>
      <c r="C18" s="16">
        <f>IF(ISNA(VLOOKUP($F$5 &amp;A18, AllocSched,12,FALSE)),"-",VLOOKUP($F$5 &amp;A18, AllocSched,12,FALSE))</f>
        <v>0</v>
      </c>
      <c r="D18" s="112"/>
      <c r="E18" s="16">
        <f>IF(ISNA(VLOOKUP($F$5 &amp; A18, AllocSched,13,FALSE)),"-",VLOOKUP($F$5 &amp; A18, AllocSched,13,FALSE))</f>
        <v>45725</v>
      </c>
      <c r="F18" s="16"/>
      <c r="G18" s="16">
        <f>IF(C18="-",E18,C18+E18)</f>
        <v>45725</v>
      </c>
      <c r="H18" s="55" t="str">
        <f>IF(ISNA(VLOOKUP($F$5 &amp; A18, AllocSched,9,FALSE))," ",VLOOKUP($F$5 &amp; A18, AllocSched,9,FALSE))</f>
        <v>001-011</v>
      </c>
      <c r="I18" s="56">
        <f t="shared" si="1"/>
        <v>101</v>
      </c>
      <c r="K18" s="25"/>
      <c r="L18" s="25"/>
    </row>
    <row r="19" spans="1:12" s="272" customFormat="1" ht="12.75" customHeight="1">
      <c r="A19" s="115" t="s">
        <v>448</v>
      </c>
      <c r="B19" s="54"/>
      <c r="C19" s="16">
        <f>IF(ISNA(VLOOKUP($F$5 &amp;A19, AllocSched,12,FALSE)),"-",VLOOKUP($F$5 &amp;A19, AllocSched,12,FALSE))</f>
        <v>0</v>
      </c>
      <c r="D19" s="112"/>
      <c r="E19" s="16">
        <f>IF(ISNA(VLOOKUP($F$5 &amp; A19, AllocSched,13,FALSE)),"-",VLOOKUP($F$5 &amp; A19, AllocSched,13,FALSE))</f>
        <v>187772</v>
      </c>
      <c r="F19" s="16"/>
      <c r="G19" s="16">
        <f>IF(C19="-",E19,C19+E19)</f>
        <v>187772</v>
      </c>
      <c r="H19" s="55" t="str">
        <f>IF(ISNA(VLOOKUP($F$5 &amp; A19, AllocSched,9,FALSE))," ",VLOOKUP($F$5 &amp; A19, AllocSched,9,FALSE))</f>
        <v>001-011</v>
      </c>
      <c r="I19" s="56">
        <f t="shared" si="1"/>
        <v>101</v>
      </c>
      <c r="K19" s="25"/>
      <c r="L19" s="25"/>
    </row>
    <row r="20" spans="1:12" s="269" customFormat="1" ht="12.75" customHeight="1">
      <c r="A20" s="115" t="s">
        <v>340</v>
      </c>
      <c r="B20" s="54"/>
      <c r="C20" s="16">
        <f>IF(ISNA(VLOOKUP($F$5 &amp;A20, AllocSched,12,FALSE)),"-",VLOOKUP($F$5 &amp;A20, AllocSched,12,FALSE))</f>
        <v>0</v>
      </c>
      <c r="D20" s="112"/>
      <c r="E20" s="16">
        <f t="shared" si="3"/>
        <v>350586</v>
      </c>
      <c r="F20" s="16"/>
      <c r="G20" s="16">
        <f>IF(C20="-",E20,C20+E20)</f>
        <v>350586</v>
      </c>
      <c r="H20" s="55" t="str">
        <f>IF(ISNA(VLOOKUP($F$5 &amp; A20, AllocSched,9,FALSE))," ",VLOOKUP($F$5 &amp; A20, AllocSched,9,FALSE))</f>
        <v>001-011</v>
      </c>
      <c r="I20" s="56">
        <f t="shared" si="1"/>
        <v>101</v>
      </c>
      <c r="K20" s="25"/>
      <c r="L20" s="25"/>
    </row>
    <row r="21" spans="1:12" ht="12.75" customHeight="1">
      <c r="A21" s="115" t="s">
        <v>207</v>
      </c>
      <c r="B21" s="54"/>
      <c r="C21" s="16">
        <f t="shared" si="2"/>
        <v>0</v>
      </c>
      <c r="D21" s="112"/>
      <c r="E21" s="16">
        <f t="shared" si="3"/>
        <v>35776</v>
      </c>
      <c r="F21" s="16"/>
      <c r="G21" s="16">
        <f t="shared" si="4"/>
        <v>35776</v>
      </c>
      <c r="H21" s="55" t="str">
        <f t="shared" si="0"/>
        <v>001-011</v>
      </c>
      <c r="I21" s="56">
        <f t="shared" si="1"/>
        <v>101</v>
      </c>
    </row>
    <row r="22" spans="1:12" s="272" customFormat="1" ht="12.75" customHeight="1">
      <c r="A22" s="115" t="s">
        <v>203</v>
      </c>
      <c r="B22" s="54"/>
      <c r="C22" s="16">
        <f>IF(ISNA(VLOOKUP($F$5 &amp;A22, AllocSched,12,FALSE)),"-",VLOOKUP($F$5 &amp;A22, AllocSched,12,FALSE))</f>
        <v>0</v>
      </c>
      <c r="D22" s="112"/>
      <c r="E22" s="16">
        <f t="shared" si="3"/>
        <v>-2203</v>
      </c>
      <c r="F22" s="16"/>
      <c r="G22" s="16">
        <f>IF(C22="-",E22,C22+E22)</f>
        <v>-2203</v>
      </c>
      <c r="H22" s="55" t="str">
        <f>IF(ISNA(VLOOKUP($F$5 &amp; A22, AllocSched,9,FALSE))," ",VLOOKUP($F$5 &amp; A22, AllocSched,9,FALSE))</f>
        <v>001-011</v>
      </c>
      <c r="I22" s="56">
        <f t="shared" si="1"/>
        <v>101</v>
      </c>
    </row>
    <row r="23" spans="1:12" s="272" customFormat="1" ht="12.75" customHeight="1">
      <c r="A23" s="115" t="s">
        <v>454</v>
      </c>
      <c r="B23" s="54"/>
      <c r="C23" s="16">
        <f>IF(ISNA(VLOOKUP($F$5 &amp;A23, AllocSched,12,FALSE)),"-",VLOOKUP($F$5 &amp;A23, AllocSched,12,FALSE))</f>
        <v>0</v>
      </c>
      <c r="D23" s="112"/>
      <c r="E23" s="16">
        <f>IF(ISNA(VLOOKUP($F$5 &amp; A23, AllocSched,13,FALSE)),"-",VLOOKUP($F$5 &amp; A23, AllocSched,13,FALSE))</f>
        <v>-2702</v>
      </c>
      <c r="F23" s="16"/>
      <c r="G23" s="16">
        <f>IF(C23="-",E23,C23+E23)</f>
        <v>-2702</v>
      </c>
      <c r="H23" s="55" t="str">
        <f>IF(ISNA(VLOOKUP($F$5 &amp; A23, AllocSched,9,FALSE))," ",VLOOKUP($F$5 &amp; A23, AllocSched,9,FALSE))</f>
        <v>001-011</v>
      </c>
      <c r="I23" s="56">
        <f t="shared" si="1"/>
        <v>101</v>
      </c>
    </row>
    <row r="24" spans="1:12" ht="12.75" customHeight="1">
      <c r="A24" s="115"/>
      <c r="B24" s="54"/>
      <c r="C24" s="16"/>
      <c r="D24" s="112"/>
      <c r="E24" s="16"/>
      <c r="F24" s="16"/>
      <c r="G24" s="16"/>
      <c r="H24" s="55" t="str">
        <f t="shared" si="0"/>
        <v xml:space="preserve"> </v>
      </c>
      <c r="I24" s="56" t="str">
        <f t="shared" si="1"/>
        <v xml:space="preserve"> </v>
      </c>
    </row>
    <row r="25" spans="1:12" s="83" customFormat="1">
      <c r="A25" s="114" t="s">
        <v>168</v>
      </c>
      <c r="B25" s="84"/>
      <c r="C25" s="16"/>
      <c r="D25" s="112"/>
      <c r="E25" s="16"/>
      <c r="F25" s="16"/>
      <c r="G25" s="16"/>
      <c r="H25" s="55" t="str">
        <f t="shared" si="0"/>
        <v xml:space="preserve"> </v>
      </c>
      <c r="I25" s="56" t="str">
        <f t="shared" si="1"/>
        <v xml:space="preserve"> </v>
      </c>
    </row>
    <row r="26" spans="1:12" s="83" customFormat="1">
      <c r="A26" s="38" t="s">
        <v>345</v>
      </c>
      <c r="B26" s="272"/>
      <c r="C26" s="16">
        <f>IF(ISNA(VLOOKUP($F$5 &amp;A26, AllocSched,12,FALSE)),"-",VLOOKUP($F$5 &amp;A26, AllocSched,12,FALSE))</f>
        <v>162026</v>
      </c>
      <c r="D26" s="112"/>
      <c r="E26" s="16">
        <f>IF(ISNA(VLOOKUP($F$5 &amp; A26, AllocSched,13,FALSE)),"-",VLOOKUP($F$5 &amp; A26, AllocSched,13,FALSE))</f>
        <v>0</v>
      </c>
      <c r="F26" s="16"/>
      <c r="G26" s="16">
        <f>IF(C26="-",E26,C26+E26)</f>
        <v>162026</v>
      </c>
      <c r="H26" s="55" t="str">
        <f>IF(ISNA(VLOOKUP($F$5 &amp; A26, AllocSched,9,FALSE))," ",VLOOKUP($F$5 &amp; A26, AllocSched,9,FALSE))</f>
        <v>001-011</v>
      </c>
      <c r="I26" s="56">
        <f t="shared" si="1"/>
        <v>101</v>
      </c>
    </row>
    <row r="27" spans="1:12" ht="12.75" customHeight="1">
      <c r="A27" s="38" t="s">
        <v>222</v>
      </c>
      <c r="C27" s="16">
        <f>IF(ISNA(VLOOKUP($F$5 &amp;A27, AllocSched,12,FALSE)),"-",VLOOKUP($F$5 &amp;A27, AllocSched,12,FALSE))</f>
        <v>26671</v>
      </c>
      <c r="D27" s="112"/>
      <c r="E27" s="16">
        <f>IF(ISNA(VLOOKUP($F$5 &amp; A27, AllocSched,13,FALSE)),"-",VLOOKUP($F$5 &amp; A27, AllocSched,13,FALSE))</f>
        <v>-26671</v>
      </c>
      <c r="F27" s="16"/>
      <c r="G27" s="16">
        <f>IF(C27="-",E27,C27+E27)</f>
        <v>0</v>
      </c>
      <c r="H27" s="55" t="str">
        <f>IF(ISNA(VLOOKUP($F$5 &amp; A27, AllocSched,9,FALSE))," ",VLOOKUP($F$5 &amp; A27, AllocSched,9,FALSE))</f>
        <v>08A-3E0</v>
      </c>
      <c r="I27" s="56" t="str">
        <f t="shared" si="1"/>
        <v>3E0</v>
      </c>
    </row>
    <row r="28" spans="1:12" ht="12.75" customHeight="1">
      <c r="A28" s="38" t="s">
        <v>170</v>
      </c>
      <c r="C28" s="16">
        <f t="shared" ref="C28:C35" si="5">IF(ISNA(VLOOKUP($F$5 &amp;A28, AllocSched,12,FALSE)),"-",VLOOKUP($F$5 &amp;A28, AllocSched,12,FALSE))</f>
        <v>27745</v>
      </c>
      <c r="D28" s="112"/>
      <c r="E28" s="16">
        <f t="shared" ref="E28:E35" si="6">IF(ISNA(VLOOKUP($F$5 &amp; A28, AllocSched,13,FALSE)),"-",VLOOKUP($F$5 &amp; A28, AllocSched,13,FALSE))</f>
        <v>-5087</v>
      </c>
      <c r="F28" s="16"/>
      <c r="G28" s="16">
        <f t="shared" ref="G28:G35" si="7">IF(C28="-",E28,C28+E28)</f>
        <v>22658</v>
      </c>
      <c r="H28" s="55" t="str">
        <f t="shared" si="0"/>
        <v>001-011</v>
      </c>
      <c r="I28" s="56">
        <f t="shared" si="1"/>
        <v>101</v>
      </c>
    </row>
    <row r="29" spans="1:12" ht="12.75" customHeight="1">
      <c r="A29" s="115" t="s">
        <v>150</v>
      </c>
      <c r="B29" s="54"/>
      <c r="C29" s="16">
        <f t="shared" si="5"/>
        <v>428412</v>
      </c>
      <c r="D29" s="112"/>
      <c r="E29" s="16">
        <f t="shared" si="6"/>
        <v>0</v>
      </c>
      <c r="F29" s="16"/>
      <c r="G29" s="16">
        <f t="shared" si="7"/>
        <v>428412</v>
      </c>
      <c r="H29" s="55" t="str">
        <f t="shared" si="0"/>
        <v>001-011</v>
      </c>
      <c r="I29" s="56">
        <f t="shared" si="1"/>
        <v>101</v>
      </c>
    </row>
    <row r="30" spans="1:12" s="272" customFormat="1" ht="12.75" customHeight="1">
      <c r="A30" s="115" t="s">
        <v>455</v>
      </c>
      <c r="B30" s="54"/>
      <c r="C30" s="16">
        <f>IF(ISNA(VLOOKUP($F$5 &amp;A30, AllocSched,12,FALSE)),"-",VLOOKUP($F$5 &amp;A30, AllocSched,12,FALSE))</f>
        <v>0</v>
      </c>
      <c r="D30" s="112"/>
      <c r="E30" s="16">
        <f>IF(ISNA(VLOOKUP($F$5 &amp; A30, AllocSched,13,FALSE)),"-",VLOOKUP($F$5 &amp; A30, AllocSched,13,FALSE))</f>
        <v>2327</v>
      </c>
      <c r="F30" s="16"/>
      <c r="G30" s="16">
        <f>IF(C30="-",E30,C30+E30)</f>
        <v>2327</v>
      </c>
      <c r="H30" s="55" t="str">
        <f>IF(ISNA(VLOOKUP($F$5 &amp; A30, AllocSched,9,FALSE))," ",VLOOKUP($F$5 &amp; A30, AllocSched,9,FALSE))</f>
        <v>001-011</v>
      </c>
      <c r="I30" s="56">
        <f t="shared" si="1"/>
        <v>101</v>
      </c>
    </row>
    <row r="31" spans="1:12" ht="12.75" customHeight="1">
      <c r="A31" s="115" t="s">
        <v>273</v>
      </c>
      <c r="B31" s="54"/>
      <c r="C31" s="16">
        <f>IF(ISNA(VLOOKUP($F$5 &amp;A31, AllocSched,12,FALSE)),"-",VLOOKUP($F$5 &amp;A31, AllocSched,12,FALSE))</f>
        <v>116339</v>
      </c>
      <c r="D31" s="112"/>
      <c r="E31" s="16">
        <f>IF(ISNA(VLOOKUP($F$5 &amp; A31, AllocSched,13,FALSE)),"-",VLOOKUP($F$5 &amp; A31, AllocSched,13,FALSE))</f>
        <v>-116339</v>
      </c>
      <c r="F31" s="16"/>
      <c r="G31" s="16">
        <f>IF(C31="-",E31,C31+E31)</f>
        <v>0</v>
      </c>
      <c r="H31" s="55" t="str">
        <f>IF(ISNA(VLOOKUP($F$5 &amp; A31, AllocSched,9,FALSE))," ",VLOOKUP($F$5 &amp; A31, AllocSched,9,FALSE))</f>
        <v>001-BD1</v>
      </c>
      <c r="I31" s="56" t="str">
        <f t="shared" si="1"/>
        <v>BD1</v>
      </c>
    </row>
    <row r="32" spans="1:12" ht="12.75" customHeight="1">
      <c r="A32" s="115" t="s">
        <v>6</v>
      </c>
      <c r="B32" s="54"/>
      <c r="C32" s="16">
        <f t="shared" si="5"/>
        <v>18344</v>
      </c>
      <c r="D32" s="112"/>
      <c r="E32" s="16">
        <f t="shared" si="6"/>
        <v>-3704</v>
      </c>
      <c r="F32" s="16"/>
      <c r="G32" s="16">
        <f t="shared" si="7"/>
        <v>14640</v>
      </c>
      <c r="H32" s="55" t="str">
        <f t="shared" si="0"/>
        <v>001-011</v>
      </c>
      <c r="I32" s="56">
        <f t="shared" si="1"/>
        <v>101</v>
      </c>
    </row>
    <row r="33" spans="1:12" ht="12.75" customHeight="1">
      <c r="A33" s="115" t="s">
        <v>333</v>
      </c>
      <c r="B33" s="54"/>
      <c r="C33" s="16">
        <f t="shared" si="5"/>
        <v>46709</v>
      </c>
      <c r="D33" s="112"/>
      <c r="E33" s="16">
        <f t="shared" si="6"/>
        <v>0</v>
      </c>
      <c r="F33" s="16"/>
      <c r="G33" s="16">
        <f t="shared" si="7"/>
        <v>46709</v>
      </c>
      <c r="H33" s="55" t="str">
        <f t="shared" si="0"/>
        <v>001-011</v>
      </c>
      <c r="I33" s="56">
        <f t="shared" si="1"/>
        <v>101</v>
      </c>
    </row>
    <row r="34" spans="1:12" ht="12.75" customHeight="1">
      <c r="A34" s="115" t="s">
        <v>332</v>
      </c>
      <c r="B34" s="54"/>
      <c r="C34" s="16">
        <f t="shared" si="5"/>
        <v>223114</v>
      </c>
      <c r="D34" s="112"/>
      <c r="E34" s="16">
        <f t="shared" si="6"/>
        <v>0</v>
      </c>
      <c r="F34" s="16"/>
      <c r="G34" s="16">
        <f t="shared" si="7"/>
        <v>223114</v>
      </c>
      <c r="H34" s="55" t="str">
        <f t="shared" si="0"/>
        <v>001-AC1</v>
      </c>
      <c r="I34" s="56">
        <f t="shared" si="1"/>
        <v>123</v>
      </c>
    </row>
    <row r="35" spans="1:12" ht="12.75" customHeight="1">
      <c r="A35" s="115" t="s">
        <v>215</v>
      </c>
      <c r="B35" s="54"/>
      <c r="C35" s="16">
        <f t="shared" si="5"/>
        <v>92250</v>
      </c>
      <c r="D35" s="112"/>
      <c r="E35" s="16">
        <f t="shared" si="6"/>
        <v>-92250</v>
      </c>
      <c r="F35" s="16"/>
      <c r="G35" s="16">
        <f t="shared" si="7"/>
        <v>0</v>
      </c>
      <c r="H35" s="55" t="str">
        <f t="shared" si="0"/>
        <v>001-AC1</v>
      </c>
      <c r="I35" s="56">
        <f t="shared" si="1"/>
        <v>123</v>
      </c>
    </row>
    <row r="36" spans="1:12" ht="12.75" customHeight="1">
      <c r="A36" s="54"/>
      <c r="B36" s="54"/>
      <c r="C36" s="16"/>
      <c r="D36" s="112"/>
      <c r="E36" s="16"/>
      <c r="F36" s="16"/>
      <c r="G36" s="16"/>
      <c r="H36" s="55"/>
      <c r="I36" s="56"/>
    </row>
    <row r="37" spans="1:12" ht="13.5" thickBot="1">
      <c r="A37" s="89" t="s">
        <v>174</v>
      </c>
      <c r="B37" s="57" t="s">
        <v>51</v>
      </c>
      <c r="C37" s="111">
        <f>SUM(C16:C35)</f>
        <v>9020643</v>
      </c>
      <c r="D37" s="113" t="s">
        <v>51</v>
      </c>
      <c r="E37" s="111">
        <f>SUM(E16:E35)</f>
        <v>373230</v>
      </c>
      <c r="F37" s="113" t="s">
        <v>51</v>
      </c>
      <c r="G37" s="111">
        <f>SUM(G16:G35)</f>
        <v>9393873</v>
      </c>
      <c r="K37" s="25"/>
      <c r="L37" s="30"/>
    </row>
    <row r="38" spans="1:12" ht="12.75" customHeight="1" thickTop="1">
      <c r="A38" s="84"/>
      <c r="B38" s="84"/>
      <c r="C38" s="58">
        <v>0</v>
      </c>
      <c r="D38" s="58"/>
      <c r="E38" s="90"/>
      <c r="F38" s="90"/>
      <c r="G38" s="90"/>
      <c r="K38" s="164"/>
    </row>
    <row r="39" spans="1:12" s="65" customFormat="1" ht="25.5">
      <c r="A39" s="59" t="s">
        <v>156</v>
      </c>
      <c r="B39" s="60"/>
      <c r="C39" s="61"/>
      <c r="D39" s="62"/>
      <c r="E39" s="63" t="s">
        <v>67</v>
      </c>
      <c r="F39" s="62"/>
      <c r="G39" s="64" t="s">
        <v>163</v>
      </c>
      <c r="H39" s="64" t="s">
        <v>164</v>
      </c>
      <c r="I39" s="98" t="s">
        <v>70</v>
      </c>
    </row>
    <row r="40" spans="1:12" s="65" customFormat="1" ht="12.75" customHeight="1">
      <c r="A40" s="66" t="s">
        <v>240</v>
      </c>
      <c r="B40" s="67"/>
      <c r="C40" s="68"/>
      <c r="E40" s="66" t="s">
        <v>351</v>
      </c>
      <c r="G40" s="150">
        <f t="shared" ref="G40:G48" si="8">VLOOKUP($F$5 &amp; $A40 &amp; $E40,AddRes,7,FALSE)</f>
        <v>0</v>
      </c>
      <c r="H40" s="150">
        <f t="shared" ref="H40:H48" si="9">VLOOKUP($F$5 &amp; $A40 &amp; $E40,AddRes,8,FALSE)</f>
        <v>0</v>
      </c>
      <c r="I40" s="69">
        <f t="shared" ref="I40:I45" si="10">VLOOKUP($F$5 &amp; $A40 &amp; $E40,AddRes,10,FALSE)</f>
        <v>42277</v>
      </c>
    </row>
    <row r="41" spans="1:12" s="65" customFormat="1" ht="12.75" customHeight="1">
      <c r="A41" s="66" t="s">
        <v>497</v>
      </c>
      <c r="B41" s="67"/>
      <c r="C41" s="68"/>
      <c r="E41" s="66" t="s">
        <v>522</v>
      </c>
      <c r="G41" s="150">
        <f t="shared" si="8"/>
        <v>0</v>
      </c>
      <c r="H41" s="150">
        <f>VLOOKUP($F$5 &amp; $A41 &amp; $E41,AddRes,8,FALSE)</f>
        <v>0</v>
      </c>
      <c r="I41" s="69">
        <f>VLOOKUP($F$5 &amp; $A41 &amp; $E41,AddRes,10,FALSE)</f>
        <v>42551</v>
      </c>
    </row>
    <row r="42" spans="1:12" s="65" customFormat="1" ht="12.75" customHeight="1">
      <c r="A42" s="66" t="s">
        <v>498</v>
      </c>
      <c r="B42" s="67"/>
      <c r="C42" s="68"/>
      <c r="E42" s="66" t="s">
        <v>523</v>
      </c>
      <c r="G42" s="150">
        <f t="shared" si="8"/>
        <v>0</v>
      </c>
      <c r="H42" s="150">
        <f>VLOOKUP($F$5 &amp; $A42 &amp; $E42,AddRes,8,FALSE)</f>
        <v>0</v>
      </c>
      <c r="I42" s="69">
        <f>VLOOKUP($F$5 &amp; $A42 &amp; $E42,AddRes,10,FALSE)</f>
        <v>42551</v>
      </c>
    </row>
    <row r="43" spans="1:12" s="65" customFormat="1" ht="12.75" customHeight="1">
      <c r="A43" s="66" t="s">
        <v>505</v>
      </c>
      <c r="B43" s="67"/>
      <c r="C43" s="68"/>
      <c r="E43" s="66" t="s">
        <v>524</v>
      </c>
      <c r="G43" s="150">
        <f t="shared" si="8"/>
        <v>0</v>
      </c>
      <c r="H43" s="150">
        <f>VLOOKUP($F$5 &amp; $A43 &amp; $E43,AddRes,8,FALSE)</f>
        <v>0</v>
      </c>
      <c r="I43" s="69">
        <f>VLOOKUP($F$5 &amp; $A43 &amp; $E43,AddRes,10,FALSE)</f>
        <v>42551</v>
      </c>
    </row>
    <row r="44" spans="1:12" s="65" customFormat="1" ht="12.75" customHeight="1">
      <c r="A44" s="66" t="s">
        <v>412</v>
      </c>
      <c r="B44" s="67"/>
      <c r="C44" s="68"/>
      <c r="E44" s="66" t="s">
        <v>414</v>
      </c>
      <c r="G44" s="150">
        <f t="shared" si="8"/>
        <v>0</v>
      </c>
      <c r="H44" s="150">
        <f t="shared" si="9"/>
        <v>0</v>
      </c>
      <c r="I44" s="69">
        <f>VLOOKUP($F$5 &amp; $A44 &amp; $E44,AddRes,10,FALSE)</f>
        <v>42551</v>
      </c>
    </row>
    <row r="45" spans="1:12" s="65" customFormat="1" ht="12.75" customHeight="1">
      <c r="A45" s="66" t="s">
        <v>242</v>
      </c>
      <c r="B45" s="67"/>
      <c r="C45" s="68"/>
      <c r="E45" s="66" t="s">
        <v>243</v>
      </c>
      <c r="G45" s="150">
        <f t="shared" si="8"/>
        <v>0</v>
      </c>
      <c r="H45" s="150">
        <f t="shared" si="9"/>
        <v>0</v>
      </c>
      <c r="I45" s="69">
        <f t="shared" si="10"/>
        <v>42551</v>
      </c>
    </row>
    <row r="46" spans="1:12" s="65" customFormat="1" ht="12.75" customHeight="1">
      <c r="A46" s="66" t="s">
        <v>269</v>
      </c>
      <c r="B46" s="67"/>
      <c r="C46" s="68"/>
      <c r="E46" s="66" t="s">
        <v>525</v>
      </c>
      <c r="G46" s="150">
        <f>VLOOKUP($F$5 &amp; $A46 &amp; $E46,AddRes,7,FALSE)</f>
        <v>0</v>
      </c>
      <c r="H46" s="150">
        <f>VLOOKUP($F$5 &amp; $A46 &amp; $E46,AddRes,8,FALSE)</f>
        <v>0</v>
      </c>
      <c r="I46" s="69">
        <f>VLOOKUP($F$5 &amp; $A46 &amp; $E46,AddRes,10,FALSE)</f>
        <v>42916</v>
      </c>
      <c r="J46" s="198"/>
    </row>
    <row r="47" spans="1:12" s="65" customFormat="1" ht="12.75" customHeight="1">
      <c r="A47" s="66" t="s">
        <v>231</v>
      </c>
      <c r="B47" s="67"/>
      <c r="C47" s="68"/>
      <c r="E47" s="66" t="s">
        <v>526</v>
      </c>
      <c r="G47" s="150">
        <f>VLOOKUP($F$5 &amp; $A47 &amp; $E47,AddRes,7,FALSE)</f>
        <v>0</v>
      </c>
      <c r="H47" s="150">
        <f>VLOOKUP($F$5 &amp; $A47 &amp; $E47,AddRes,8,FALSE)</f>
        <v>0</v>
      </c>
      <c r="I47" s="69">
        <f>VLOOKUP($F$5 &amp; $A47 &amp; $E47,AddRes,10,FALSE)</f>
        <v>42551</v>
      </c>
    </row>
    <row r="48" spans="1:12" s="65" customFormat="1" ht="12.75" customHeight="1">
      <c r="A48" s="66" t="s">
        <v>429</v>
      </c>
      <c r="B48" s="67"/>
      <c r="C48" s="68"/>
      <c r="E48" s="66" t="s">
        <v>430</v>
      </c>
      <c r="G48" s="150">
        <f t="shared" si="8"/>
        <v>0</v>
      </c>
      <c r="H48" s="150">
        <f t="shared" si="9"/>
        <v>0</v>
      </c>
      <c r="I48" s="69">
        <v>42247</v>
      </c>
    </row>
    <row r="49" spans="1:12" s="65" customFormat="1" ht="12.75" customHeight="1">
      <c r="A49" s="66" t="s">
        <v>232</v>
      </c>
      <c r="B49" s="67"/>
      <c r="C49" s="68"/>
      <c r="E49" s="66" t="s">
        <v>527</v>
      </c>
      <c r="G49" s="150">
        <f>VLOOKUP($F$5 &amp; $A49 &amp; $E49,AddRes,7,FALSE)</f>
        <v>0</v>
      </c>
      <c r="H49" s="150">
        <f>VLOOKUP($F$5 &amp; $A49 &amp; $E49,AddRes,8,FALSE)</f>
        <v>0</v>
      </c>
      <c r="I49" s="69">
        <f>VLOOKUP($F$5 &amp; $A49 &amp; $E49,AddRes,10,FALSE)</f>
        <v>42551</v>
      </c>
    </row>
    <row r="50" spans="1:12" s="65" customFormat="1" ht="12.75" customHeight="1">
      <c r="A50" s="66"/>
      <c r="C50" s="70"/>
      <c r="D50" s="70"/>
      <c r="E50" s="70"/>
      <c r="F50" s="70"/>
      <c r="G50" s="71"/>
      <c r="H50" s="72"/>
      <c r="I50" s="73"/>
    </row>
    <row r="51" spans="1:12" s="65" customFormat="1" ht="12.75" customHeight="1">
      <c r="A51" s="66"/>
      <c r="C51" s="74" t="s">
        <v>71</v>
      </c>
      <c r="D51" s="70"/>
      <c r="E51" s="70"/>
      <c r="F51" s="70"/>
      <c r="G51" s="75">
        <f>SUM(G40:G49)</f>
        <v>0</v>
      </c>
      <c r="H51" s="75">
        <f>SUM(H40:H49)</f>
        <v>0</v>
      </c>
      <c r="I51" s="73"/>
    </row>
    <row r="52" spans="1:12" s="65" customFormat="1" ht="12.75" customHeight="1">
      <c r="A52" s="66"/>
      <c r="C52" s="70"/>
      <c r="D52" s="70"/>
      <c r="E52" s="70"/>
      <c r="F52" s="70"/>
      <c r="G52" s="70"/>
      <c r="I52" s="73"/>
      <c r="K52" s="75"/>
      <c r="L52" s="75"/>
    </row>
    <row r="53" spans="1:12" s="65" customFormat="1" ht="12.75" customHeight="1">
      <c r="C53" s="70"/>
      <c r="D53" s="70"/>
      <c r="E53" s="70"/>
      <c r="F53" s="70"/>
      <c r="G53" s="70"/>
      <c r="I53" s="73"/>
    </row>
    <row r="54" spans="1:12" s="65" customFormat="1" ht="12.75" customHeight="1">
      <c r="C54" s="70"/>
      <c r="D54" s="70"/>
      <c r="E54" s="70"/>
      <c r="F54" s="70"/>
      <c r="G54" s="70"/>
      <c r="I54" s="73"/>
    </row>
    <row r="55" spans="1:12" s="65" customFormat="1" ht="12.75" customHeight="1">
      <c r="C55" s="70"/>
      <c r="D55" s="70"/>
      <c r="E55" s="70"/>
      <c r="F55" s="70"/>
      <c r="G55" s="70"/>
      <c r="I55" s="73"/>
    </row>
    <row r="56" spans="1:12" s="65" customFormat="1" ht="12.75" customHeight="1">
      <c r="C56" s="70"/>
      <c r="D56" s="70"/>
      <c r="E56" s="70"/>
      <c r="F56" s="70"/>
      <c r="G56" s="70"/>
      <c r="I56" s="73"/>
    </row>
    <row r="57" spans="1:12" s="65" customFormat="1" ht="12.75" customHeight="1">
      <c r="C57" s="70"/>
      <c r="D57" s="70"/>
      <c r="E57" s="70"/>
      <c r="F57" s="70"/>
      <c r="G57" s="70"/>
      <c r="I57" s="73"/>
    </row>
    <row r="58" spans="1:12" s="65" customFormat="1" ht="12.75" customHeight="1">
      <c r="C58" s="70"/>
      <c r="D58" s="70"/>
      <c r="E58" s="70"/>
      <c r="F58" s="70"/>
      <c r="G58" s="70"/>
      <c r="I58" s="73"/>
    </row>
    <row r="59" spans="1:12" s="65" customFormat="1" ht="12.75" customHeight="1">
      <c r="C59" s="70"/>
      <c r="D59" s="70"/>
      <c r="E59" s="70"/>
      <c r="F59" s="70"/>
      <c r="G59" s="70"/>
      <c r="I59" s="73"/>
    </row>
    <row r="60" spans="1:12" s="65" customFormat="1" ht="12.75" customHeight="1">
      <c r="C60" s="70"/>
      <c r="D60" s="70"/>
      <c r="E60" s="70"/>
      <c r="F60" s="70"/>
      <c r="G60" s="70"/>
      <c r="I60" s="73"/>
    </row>
    <row r="61" spans="1:12" s="65" customFormat="1" ht="12.75" customHeight="1">
      <c r="C61" s="70"/>
      <c r="D61" s="70"/>
      <c r="E61" s="70"/>
      <c r="F61" s="70"/>
      <c r="G61" s="70"/>
      <c r="I61" s="73"/>
    </row>
    <row r="62" spans="1:12" s="65" customFormat="1" ht="12.75" customHeight="1">
      <c r="C62" s="70"/>
      <c r="D62" s="70"/>
      <c r="E62" s="70"/>
      <c r="F62" s="70"/>
      <c r="G62" s="70"/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</sheetData>
  <mergeCells count="2">
    <mergeCell ref="A8:I8"/>
    <mergeCell ref="G5:I5"/>
  </mergeCells>
  <phoneticPr fontId="0" type="noConversion"/>
  <conditionalFormatting sqref="G37">
    <cfRule type="cellIs" dxfId="28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376"/>
  <sheetViews>
    <sheetView workbookViewId="0">
      <pane ySplit="4" topLeftCell="A365" activePane="bottomLeft" state="frozen"/>
      <selection activeCell="F45" sqref="F45"/>
      <selection pane="bottomLeft" activeCell="G374" sqref="G374"/>
    </sheetView>
  </sheetViews>
  <sheetFormatPr defaultRowHeight="12.75"/>
  <cols>
    <col min="1" max="1" width="32.42578125" customWidth="1"/>
    <col min="2" max="2" width="46.5703125" bestFit="1" customWidth="1"/>
    <col min="3" max="3" width="15.85546875" customWidth="1"/>
    <col min="4" max="4" width="17.140625" bestFit="1" customWidth="1"/>
    <col min="5" max="5" width="13.5703125" customWidth="1"/>
    <col min="6" max="6" width="15.85546875" style="294" bestFit="1" customWidth="1"/>
    <col min="7" max="7" width="10.85546875" bestFit="1" customWidth="1"/>
    <col min="8" max="8" width="12.42578125" bestFit="1" customWidth="1"/>
    <col min="9" max="9" width="32.42578125" customWidth="1"/>
    <col min="10" max="10" width="46.5703125" bestFit="1" customWidth="1"/>
    <col min="11" max="11" width="15.85546875" customWidth="1"/>
    <col min="12" max="12" width="17.140625" customWidth="1"/>
    <col min="13" max="13" width="15.140625" bestFit="1" customWidth="1"/>
    <col min="14" max="15" width="12.140625" bestFit="1" customWidth="1"/>
  </cols>
  <sheetData>
    <row r="1" spans="1:15">
      <c r="A1" s="389" t="s">
        <v>411</v>
      </c>
      <c r="I1" s="389" t="s">
        <v>765</v>
      </c>
    </row>
    <row r="2" spans="1:15">
      <c r="I2" s="209"/>
      <c r="J2" s="210"/>
      <c r="K2" s="210"/>
      <c r="L2" s="213" t="s">
        <v>314</v>
      </c>
      <c r="M2" s="211"/>
      <c r="N2" s="478" t="s">
        <v>401</v>
      </c>
      <c r="O2" s="479"/>
    </row>
    <row r="3" spans="1:15">
      <c r="A3" s="209"/>
      <c r="B3" s="210"/>
      <c r="C3" s="210"/>
      <c r="D3" s="213" t="s">
        <v>314</v>
      </c>
      <c r="E3" s="211"/>
      <c r="F3" s="339" t="s">
        <v>411</v>
      </c>
      <c r="I3" s="213" t="s">
        <v>72</v>
      </c>
      <c r="J3" s="213" t="s">
        <v>73</v>
      </c>
      <c r="K3" s="213" t="s">
        <v>74</v>
      </c>
      <c r="L3" s="209" t="s">
        <v>313</v>
      </c>
      <c r="M3" s="217" t="s">
        <v>315</v>
      </c>
      <c r="N3" s="291" t="s">
        <v>402</v>
      </c>
      <c r="O3" s="398" t="s">
        <v>766</v>
      </c>
    </row>
    <row r="4" spans="1:15">
      <c r="A4" s="213" t="s">
        <v>72</v>
      </c>
      <c r="B4" s="213" t="s">
        <v>73</v>
      </c>
      <c r="C4" s="213" t="s">
        <v>74</v>
      </c>
      <c r="D4" s="209" t="s">
        <v>313</v>
      </c>
      <c r="E4" s="217" t="s">
        <v>315</v>
      </c>
      <c r="F4" s="293" t="s">
        <v>69</v>
      </c>
      <c r="G4" s="397" t="s">
        <v>764</v>
      </c>
      <c r="H4" s="397" t="s">
        <v>400</v>
      </c>
      <c r="I4" s="209" t="s">
        <v>403</v>
      </c>
      <c r="J4" s="209" t="s">
        <v>240</v>
      </c>
      <c r="K4" s="209" t="s">
        <v>347</v>
      </c>
      <c r="L4" s="230">
        <v>0</v>
      </c>
      <c r="M4" s="231">
        <v>250480</v>
      </c>
    </row>
    <row r="5" spans="1:15">
      <c r="A5" s="209" t="s">
        <v>86</v>
      </c>
      <c r="B5" s="209" t="s">
        <v>240</v>
      </c>
      <c r="C5" s="209" t="s">
        <v>347</v>
      </c>
      <c r="D5" s="218">
        <v>250480</v>
      </c>
      <c r="E5" s="219">
        <v>250480</v>
      </c>
      <c r="F5" s="292">
        <f t="shared" ref="F5:F68" si="0">E5-M4</f>
        <v>0</v>
      </c>
      <c r="G5" s="288" t="b">
        <f>IF(B5=J4,TRUE)</f>
        <v>1</v>
      </c>
      <c r="H5" s="288" t="b">
        <f>IF(C5=K4,TRUE)</f>
        <v>1</v>
      </c>
      <c r="I5" s="209" t="s">
        <v>763</v>
      </c>
      <c r="J5" s="210"/>
      <c r="K5" s="210"/>
      <c r="L5" s="230">
        <v>0</v>
      </c>
      <c r="M5" s="231">
        <v>250480</v>
      </c>
    </row>
    <row r="6" spans="1:15">
      <c r="A6" s="212"/>
      <c r="B6" s="209" t="s">
        <v>497</v>
      </c>
      <c r="C6" s="209" t="s">
        <v>499</v>
      </c>
      <c r="D6" s="218">
        <v>5563</v>
      </c>
      <c r="E6" s="219">
        <v>5563</v>
      </c>
      <c r="F6" s="292">
        <f t="shared" si="0"/>
        <v>-244917</v>
      </c>
      <c r="G6" s="288" t="b">
        <f>IF(B5=J4,TRUE)</f>
        <v>1</v>
      </c>
      <c r="H6" s="288" t="b">
        <f>IF(C5=K4,TRUE)</f>
        <v>1</v>
      </c>
      <c r="I6" s="209" t="s">
        <v>86</v>
      </c>
      <c r="J6" s="209" t="s">
        <v>497</v>
      </c>
      <c r="K6" s="209" t="s">
        <v>499</v>
      </c>
      <c r="L6" s="230">
        <v>0</v>
      </c>
      <c r="M6" s="231">
        <v>5563</v>
      </c>
    </row>
    <row r="7" spans="1:15">
      <c r="A7" s="212"/>
      <c r="B7" s="209" t="s">
        <v>498</v>
      </c>
      <c r="C7" s="209" t="s">
        <v>500</v>
      </c>
      <c r="D7" s="218">
        <v>151570</v>
      </c>
      <c r="E7" s="219">
        <v>151570</v>
      </c>
      <c r="F7" s="292">
        <f t="shared" si="0"/>
        <v>146007</v>
      </c>
      <c r="G7" s="288" t="b">
        <f>IF(B6=J6,TRUE)</f>
        <v>1</v>
      </c>
      <c r="H7" s="288" t="b">
        <f>IF(C6=K6,TRUE)</f>
        <v>1</v>
      </c>
      <c r="I7" s="212"/>
      <c r="J7" s="209" t="s">
        <v>498</v>
      </c>
      <c r="K7" s="209" t="s">
        <v>500</v>
      </c>
      <c r="L7" s="230">
        <v>0</v>
      </c>
      <c r="M7" s="231">
        <v>151570</v>
      </c>
    </row>
    <row r="8" spans="1:15">
      <c r="A8" s="212"/>
      <c r="B8" s="209" t="s">
        <v>412</v>
      </c>
      <c r="C8" s="209" t="s">
        <v>413</v>
      </c>
      <c r="D8" s="218">
        <v>60000</v>
      </c>
      <c r="E8" s="219">
        <v>60000</v>
      </c>
      <c r="F8" s="292">
        <f t="shared" si="0"/>
        <v>-91570</v>
      </c>
      <c r="G8" s="288" t="b">
        <f t="shared" ref="G8:G71" si="1">IF(B7=J7,TRUE)</f>
        <v>1</v>
      </c>
      <c r="H8" s="288" t="b">
        <f t="shared" ref="H8:H71" si="2">IF(C7=K7,TRUE)</f>
        <v>1</v>
      </c>
      <c r="I8" s="212"/>
      <c r="J8" s="209" t="s">
        <v>412</v>
      </c>
      <c r="K8" s="209" t="s">
        <v>413</v>
      </c>
      <c r="L8" s="230">
        <v>0</v>
      </c>
      <c r="M8" s="231">
        <v>60000</v>
      </c>
    </row>
    <row r="9" spans="1:15">
      <c r="A9" s="212"/>
      <c r="B9" s="209" t="s">
        <v>241</v>
      </c>
      <c r="C9" s="209" t="s">
        <v>501</v>
      </c>
      <c r="D9" s="218">
        <v>98150</v>
      </c>
      <c r="E9" s="219">
        <v>98150</v>
      </c>
      <c r="F9" s="292">
        <f t="shared" si="0"/>
        <v>38150</v>
      </c>
      <c r="G9" s="288" t="b">
        <f t="shared" si="1"/>
        <v>1</v>
      </c>
      <c r="H9" s="288" t="b">
        <f t="shared" si="2"/>
        <v>1</v>
      </c>
      <c r="I9" s="212"/>
      <c r="J9" s="209" t="s">
        <v>241</v>
      </c>
      <c r="K9" s="209" t="s">
        <v>501</v>
      </c>
      <c r="L9" s="230">
        <v>0</v>
      </c>
      <c r="M9" s="231">
        <v>98150</v>
      </c>
    </row>
    <row r="10" spans="1:15">
      <c r="A10" s="212"/>
      <c r="B10" s="209" t="s">
        <v>233</v>
      </c>
      <c r="C10" s="209" t="s">
        <v>502</v>
      </c>
      <c r="D10" s="218">
        <v>16000</v>
      </c>
      <c r="E10" s="219">
        <v>16000</v>
      </c>
      <c r="F10" s="292">
        <f t="shared" si="0"/>
        <v>-82150</v>
      </c>
      <c r="G10" s="288" t="b">
        <f t="shared" si="1"/>
        <v>1</v>
      </c>
      <c r="H10" s="288" t="b">
        <f t="shared" si="2"/>
        <v>1</v>
      </c>
      <c r="I10" s="212"/>
      <c r="J10" s="209" t="s">
        <v>233</v>
      </c>
      <c r="K10" s="209" t="s">
        <v>502</v>
      </c>
      <c r="L10" s="230">
        <v>0</v>
      </c>
      <c r="M10" s="231">
        <v>16000</v>
      </c>
    </row>
    <row r="11" spans="1:15">
      <c r="A11" s="212"/>
      <c r="B11" s="209" t="s">
        <v>231</v>
      </c>
      <c r="C11" s="209" t="s">
        <v>503</v>
      </c>
      <c r="D11" s="218">
        <v>248893</v>
      </c>
      <c r="E11" s="219">
        <v>248893</v>
      </c>
      <c r="F11" s="292">
        <f t="shared" si="0"/>
        <v>232893</v>
      </c>
      <c r="G11" s="288" t="b">
        <f t="shared" si="1"/>
        <v>1</v>
      </c>
      <c r="H11" s="288" t="b">
        <f t="shared" si="2"/>
        <v>1</v>
      </c>
      <c r="I11" s="212"/>
      <c r="J11" s="209" t="s">
        <v>231</v>
      </c>
      <c r="K11" s="209" t="s">
        <v>503</v>
      </c>
      <c r="L11" s="230">
        <v>0</v>
      </c>
      <c r="M11" s="231">
        <v>248893</v>
      </c>
    </row>
    <row r="12" spans="1:15">
      <c r="A12" s="212"/>
      <c r="B12" s="209" t="s">
        <v>232</v>
      </c>
      <c r="C12" s="209" t="s">
        <v>504</v>
      </c>
      <c r="D12" s="218">
        <v>550778</v>
      </c>
      <c r="E12" s="219">
        <v>550778</v>
      </c>
      <c r="F12" s="292">
        <f t="shared" si="0"/>
        <v>301885</v>
      </c>
      <c r="G12" s="288" t="b">
        <f t="shared" si="1"/>
        <v>1</v>
      </c>
      <c r="H12" s="288" t="b">
        <f t="shared" si="2"/>
        <v>1</v>
      </c>
      <c r="I12" s="212"/>
      <c r="J12" s="209" t="s">
        <v>232</v>
      </c>
      <c r="K12" s="209" t="s">
        <v>504</v>
      </c>
      <c r="L12" s="230">
        <v>0</v>
      </c>
      <c r="M12" s="231">
        <v>550778</v>
      </c>
    </row>
    <row r="13" spans="1:15">
      <c r="A13" s="209" t="s">
        <v>278</v>
      </c>
      <c r="B13" s="210"/>
      <c r="C13" s="210"/>
      <c r="D13" s="218">
        <v>1381434</v>
      </c>
      <c r="E13" s="219">
        <v>1381434</v>
      </c>
      <c r="F13" s="292">
        <f t="shared" si="0"/>
        <v>830656</v>
      </c>
      <c r="G13" s="288" t="b">
        <f t="shared" si="1"/>
        <v>1</v>
      </c>
      <c r="H13" s="288" t="b">
        <f t="shared" si="2"/>
        <v>1</v>
      </c>
      <c r="I13" s="209" t="s">
        <v>278</v>
      </c>
      <c r="J13" s="210"/>
      <c r="K13" s="210"/>
      <c r="L13" s="230">
        <v>0</v>
      </c>
      <c r="M13" s="231">
        <v>1130954</v>
      </c>
      <c r="N13" s="295">
        <f>Bates!H54</f>
        <v>0</v>
      </c>
      <c r="O13" s="295">
        <f>GETPIVOTDATA("Sum of Amount",$I$2,"OrgName","Bates Technical College")+GETPIVOTDATA("Sum of Amount",$I$2,"OrgName"," ")-N13</f>
        <v>1381434</v>
      </c>
    </row>
    <row r="14" spans="1:15">
      <c r="A14" s="209" t="s">
        <v>165</v>
      </c>
      <c r="B14" s="209" t="s">
        <v>240</v>
      </c>
      <c r="C14" s="209" t="s">
        <v>348</v>
      </c>
      <c r="D14" s="218">
        <v>1676699</v>
      </c>
      <c r="E14" s="219">
        <v>1676699</v>
      </c>
      <c r="F14" s="292">
        <f t="shared" si="0"/>
        <v>545745</v>
      </c>
      <c r="G14" s="288" t="b">
        <f t="shared" si="1"/>
        <v>1</v>
      </c>
      <c r="H14" s="288" t="b">
        <f t="shared" si="2"/>
        <v>1</v>
      </c>
      <c r="I14" s="209" t="s">
        <v>165</v>
      </c>
      <c r="J14" s="209" t="s">
        <v>240</v>
      </c>
      <c r="K14" s="209" t="s">
        <v>348</v>
      </c>
      <c r="L14" s="230">
        <v>0</v>
      </c>
      <c r="M14" s="231">
        <v>1676699</v>
      </c>
    </row>
    <row r="15" spans="1:15">
      <c r="A15" s="212"/>
      <c r="B15" s="209" t="s">
        <v>497</v>
      </c>
      <c r="C15" s="209" t="s">
        <v>507</v>
      </c>
      <c r="D15" s="218">
        <v>5563</v>
      </c>
      <c r="E15" s="219">
        <v>5563</v>
      </c>
      <c r="F15" s="292">
        <f t="shared" si="0"/>
        <v>-1671136</v>
      </c>
      <c r="G15" s="288" t="b">
        <f t="shared" si="1"/>
        <v>1</v>
      </c>
      <c r="H15" s="288" t="b">
        <f t="shared" si="2"/>
        <v>1</v>
      </c>
      <c r="I15" s="212"/>
      <c r="J15" s="209" t="s">
        <v>497</v>
      </c>
      <c r="K15" s="209" t="s">
        <v>507</v>
      </c>
      <c r="L15" s="230">
        <v>0</v>
      </c>
      <c r="M15" s="231">
        <v>5563</v>
      </c>
    </row>
    <row r="16" spans="1:15">
      <c r="A16" s="212"/>
      <c r="B16" s="209" t="s">
        <v>498</v>
      </c>
      <c r="C16" s="209" t="s">
        <v>508</v>
      </c>
      <c r="D16" s="218">
        <v>181995</v>
      </c>
      <c r="E16" s="219">
        <v>181995</v>
      </c>
      <c r="F16" s="292">
        <f t="shared" si="0"/>
        <v>176432</v>
      </c>
      <c r="G16" s="288" t="b">
        <f t="shared" si="1"/>
        <v>1</v>
      </c>
      <c r="H16" s="288" t="b">
        <f t="shared" si="2"/>
        <v>1</v>
      </c>
      <c r="I16" s="212"/>
      <c r="J16" s="209" t="s">
        <v>498</v>
      </c>
      <c r="K16" s="209" t="s">
        <v>508</v>
      </c>
      <c r="L16" s="230">
        <v>0</v>
      </c>
      <c r="M16" s="231">
        <v>181995</v>
      </c>
    </row>
    <row r="17" spans="1:15">
      <c r="A17" s="212"/>
      <c r="B17" s="209" t="s">
        <v>505</v>
      </c>
      <c r="C17" s="209" t="s">
        <v>509</v>
      </c>
      <c r="D17" s="218">
        <v>45819</v>
      </c>
      <c r="E17" s="219">
        <v>45819</v>
      </c>
      <c r="F17" s="292">
        <f t="shared" si="0"/>
        <v>-136176</v>
      </c>
      <c r="G17" s="288" t="b">
        <f t="shared" si="1"/>
        <v>1</v>
      </c>
      <c r="H17" s="288" t="b">
        <f t="shared" si="2"/>
        <v>1</v>
      </c>
      <c r="I17" s="212"/>
      <c r="J17" s="209" t="s">
        <v>505</v>
      </c>
      <c r="K17" s="209" t="s">
        <v>509</v>
      </c>
      <c r="L17" s="230">
        <v>0</v>
      </c>
      <c r="M17" s="231">
        <v>45819</v>
      </c>
    </row>
    <row r="18" spans="1:15">
      <c r="A18" s="212"/>
      <c r="B18" s="209" t="s">
        <v>241</v>
      </c>
      <c r="C18" s="209" t="s">
        <v>510</v>
      </c>
      <c r="D18" s="218">
        <v>45300</v>
      </c>
      <c r="E18" s="219">
        <v>45300</v>
      </c>
      <c r="F18" s="292">
        <f t="shared" si="0"/>
        <v>-519</v>
      </c>
      <c r="G18" s="288" t="b">
        <f t="shared" si="1"/>
        <v>1</v>
      </c>
      <c r="H18" s="288" t="b">
        <f t="shared" si="2"/>
        <v>1</v>
      </c>
      <c r="I18" s="212"/>
      <c r="J18" s="209" t="s">
        <v>241</v>
      </c>
      <c r="K18" s="209" t="s">
        <v>510</v>
      </c>
      <c r="L18" s="230">
        <v>0</v>
      </c>
      <c r="M18" s="231">
        <v>45300</v>
      </c>
    </row>
    <row r="19" spans="1:15">
      <c r="A19" s="212"/>
      <c r="B19" s="209" t="s">
        <v>233</v>
      </c>
      <c r="C19" s="209" t="s">
        <v>511</v>
      </c>
      <c r="D19" s="218">
        <v>16000</v>
      </c>
      <c r="E19" s="219">
        <v>16000</v>
      </c>
      <c r="F19" s="292">
        <f t="shared" si="0"/>
        <v>-29300</v>
      </c>
      <c r="G19" s="288" t="b">
        <f t="shared" si="1"/>
        <v>1</v>
      </c>
      <c r="H19" s="288" t="b">
        <f t="shared" si="2"/>
        <v>1</v>
      </c>
      <c r="I19" s="212"/>
      <c r="J19" s="209" t="s">
        <v>233</v>
      </c>
      <c r="K19" s="209" t="s">
        <v>511</v>
      </c>
      <c r="L19" s="230">
        <v>0</v>
      </c>
      <c r="M19" s="231">
        <v>16000</v>
      </c>
    </row>
    <row r="20" spans="1:15">
      <c r="A20" s="212"/>
      <c r="B20" s="209" t="s">
        <v>231</v>
      </c>
      <c r="C20" s="209" t="s">
        <v>512</v>
      </c>
      <c r="D20" s="218">
        <v>292741</v>
      </c>
      <c r="E20" s="219">
        <v>292741</v>
      </c>
      <c r="F20" s="292">
        <f t="shared" si="0"/>
        <v>276741</v>
      </c>
      <c r="G20" s="288" t="b">
        <f t="shared" si="1"/>
        <v>1</v>
      </c>
      <c r="H20" s="288" t="b">
        <f t="shared" si="2"/>
        <v>1</v>
      </c>
      <c r="I20" s="212"/>
      <c r="J20" s="209" t="s">
        <v>231</v>
      </c>
      <c r="K20" s="209" t="s">
        <v>512</v>
      </c>
      <c r="L20" s="230">
        <v>0</v>
      </c>
      <c r="M20" s="231">
        <v>292741</v>
      </c>
    </row>
    <row r="21" spans="1:15">
      <c r="A21" s="212"/>
      <c r="B21" s="209" t="s">
        <v>506</v>
      </c>
      <c r="C21" s="209" t="s">
        <v>513</v>
      </c>
      <c r="D21" s="218">
        <v>51235</v>
      </c>
      <c r="E21" s="219">
        <v>51235</v>
      </c>
      <c r="F21" s="292">
        <f t="shared" si="0"/>
        <v>-241506</v>
      </c>
      <c r="G21" s="288" t="b">
        <f t="shared" si="1"/>
        <v>1</v>
      </c>
      <c r="H21" s="288" t="b">
        <f t="shared" si="2"/>
        <v>1</v>
      </c>
      <c r="I21" s="212"/>
      <c r="J21" s="209" t="s">
        <v>506</v>
      </c>
      <c r="K21" s="209" t="s">
        <v>513</v>
      </c>
      <c r="L21" s="230">
        <v>0</v>
      </c>
      <c r="M21" s="231">
        <v>51235</v>
      </c>
    </row>
    <row r="22" spans="1:15">
      <c r="A22" s="212"/>
      <c r="B22" s="209" t="s">
        <v>429</v>
      </c>
      <c r="C22" s="209" t="s">
        <v>514</v>
      </c>
      <c r="D22" s="218">
        <v>29000</v>
      </c>
      <c r="E22" s="219">
        <v>29000</v>
      </c>
      <c r="F22" s="292">
        <f t="shared" si="0"/>
        <v>-22235</v>
      </c>
      <c r="G22" s="288" t="b">
        <f t="shared" si="1"/>
        <v>1</v>
      </c>
      <c r="H22" s="288" t="b">
        <f t="shared" si="2"/>
        <v>1</v>
      </c>
      <c r="I22" s="212"/>
      <c r="J22" s="209" t="s">
        <v>429</v>
      </c>
      <c r="K22" s="209" t="s">
        <v>514</v>
      </c>
      <c r="L22" s="230">
        <v>0</v>
      </c>
      <c r="M22" s="231">
        <v>29000</v>
      </c>
    </row>
    <row r="23" spans="1:15">
      <c r="A23" s="212"/>
      <c r="B23" s="209" t="s">
        <v>232</v>
      </c>
      <c r="C23" s="209" t="s">
        <v>515</v>
      </c>
      <c r="D23" s="218">
        <v>280505</v>
      </c>
      <c r="E23" s="219">
        <v>280505</v>
      </c>
      <c r="F23" s="292">
        <f t="shared" si="0"/>
        <v>251505</v>
      </c>
      <c r="G23" s="288" t="b">
        <f t="shared" si="1"/>
        <v>1</v>
      </c>
      <c r="H23" s="288" t="b">
        <f t="shared" si="2"/>
        <v>1</v>
      </c>
      <c r="I23" s="212"/>
      <c r="J23" s="209" t="s">
        <v>232</v>
      </c>
      <c r="K23" s="209" t="s">
        <v>515</v>
      </c>
      <c r="L23" s="230">
        <v>0</v>
      </c>
      <c r="M23" s="231">
        <v>280505</v>
      </c>
    </row>
    <row r="24" spans="1:15">
      <c r="A24" s="209" t="s">
        <v>279</v>
      </c>
      <c r="B24" s="210"/>
      <c r="C24" s="210"/>
      <c r="D24" s="218">
        <v>2624857</v>
      </c>
      <c r="E24" s="219">
        <v>2624857</v>
      </c>
      <c r="F24" s="292">
        <f t="shared" si="0"/>
        <v>2344352</v>
      </c>
      <c r="G24" s="288" t="b">
        <f t="shared" si="1"/>
        <v>1</v>
      </c>
      <c r="H24" s="288" t="b">
        <f t="shared" si="2"/>
        <v>1</v>
      </c>
      <c r="I24" s="209" t="s">
        <v>279</v>
      </c>
      <c r="J24" s="210"/>
      <c r="K24" s="210"/>
      <c r="L24" s="230">
        <v>0</v>
      </c>
      <c r="M24" s="231">
        <v>2624857</v>
      </c>
      <c r="N24" s="295">
        <f>Bellevue!H55</f>
        <v>0</v>
      </c>
      <c r="O24" s="295">
        <f>GETPIVOTDATA("Sum of Amount",$I$2,"OrgName","Bellevue College")-N24</f>
        <v>2624857</v>
      </c>
    </row>
    <row r="25" spans="1:15">
      <c r="A25" s="209" t="s">
        <v>87</v>
      </c>
      <c r="B25" s="209" t="s">
        <v>240</v>
      </c>
      <c r="C25" s="209" t="s">
        <v>349</v>
      </c>
      <c r="D25" s="218">
        <v>524200</v>
      </c>
      <c r="E25" s="219">
        <v>524200</v>
      </c>
      <c r="F25" s="292">
        <f t="shared" si="0"/>
        <v>-2100657</v>
      </c>
      <c r="G25" s="288" t="b">
        <f t="shared" si="1"/>
        <v>1</v>
      </c>
      <c r="H25" s="288" t="b">
        <f t="shared" si="2"/>
        <v>1</v>
      </c>
      <c r="I25" s="209" t="s">
        <v>87</v>
      </c>
      <c r="J25" s="209" t="s">
        <v>240</v>
      </c>
      <c r="K25" s="209" t="s">
        <v>349</v>
      </c>
      <c r="L25" s="230">
        <v>0</v>
      </c>
      <c r="M25" s="231">
        <v>524200</v>
      </c>
    </row>
    <row r="26" spans="1:15">
      <c r="A26" s="212"/>
      <c r="B26" s="209" t="s">
        <v>497</v>
      </c>
      <c r="C26" s="209" t="s">
        <v>516</v>
      </c>
      <c r="D26" s="218">
        <v>5563</v>
      </c>
      <c r="E26" s="219">
        <v>5563</v>
      </c>
      <c r="F26" s="292">
        <f t="shared" si="0"/>
        <v>-518637</v>
      </c>
      <c r="G26" s="288" t="b">
        <f t="shared" si="1"/>
        <v>1</v>
      </c>
      <c r="H26" s="288" t="b">
        <f t="shared" si="2"/>
        <v>1</v>
      </c>
      <c r="I26" s="212"/>
      <c r="J26" s="209" t="s">
        <v>497</v>
      </c>
      <c r="K26" s="209" t="s">
        <v>516</v>
      </c>
      <c r="L26" s="230">
        <v>0</v>
      </c>
      <c r="M26" s="231">
        <v>5563</v>
      </c>
      <c r="N26" s="295"/>
      <c r="O26" s="295"/>
    </row>
    <row r="27" spans="1:15">
      <c r="A27" s="212"/>
      <c r="B27" s="209" t="s">
        <v>498</v>
      </c>
      <c r="C27" s="209" t="s">
        <v>517</v>
      </c>
      <c r="D27" s="218">
        <v>95406</v>
      </c>
      <c r="E27" s="219">
        <v>95406</v>
      </c>
      <c r="F27" s="292">
        <f t="shared" si="0"/>
        <v>89843</v>
      </c>
      <c r="G27" s="288" t="b">
        <f t="shared" si="1"/>
        <v>1</v>
      </c>
      <c r="H27" s="288" t="b">
        <f t="shared" si="2"/>
        <v>1</v>
      </c>
      <c r="I27" s="212"/>
      <c r="J27" s="209" t="s">
        <v>498</v>
      </c>
      <c r="K27" s="209" t="s">
        <v>517</v>
      </c>
      <c r="L27" s="230">
        <v>0</v>
      </c>
      <c r="M27" s="231">
        <v>95406</v>
      </c>
    </row>
    <row r="28" spans="1:15">
      <c r="A28" s="212"/>
      <c r="B28" s="209" t="s">
        <v>505</v>
      </c>
      <c r="C28" s="209" t="s">
        <v>518</v>
      </c>
      <c r="D28" s="218">
        <v>18233</v>
      </c>
      <c r="E28" s="219">
        <v>18233</v>
      </c>
      <c r="F28" s="292">
        <f t="shared" si="0"/>
        <v>-77173</v>
      </c>
      <c r="G28" s="288" t="b">
        <f t="shared" si="1"/>
        <v>1</v>
      </c>
      <c r="H28" s="288" t="b">
        <f t="shared" si="2"/>
        <v>1</v>
      </c>
      <c r="I28" s="212"/>
      <c r="J28" s="209" t="s">
        <v>505</v>
      </c>
      <c r="K28" s="209" t="s">
        <v>518</v>
      </c>
      <c r="L28" s="230">
        <v>0</v>
      </c>
      <c r="M28" s="231">
        <v>18233</v>
      </c>
    </row>
    <row r="29" spans="1:15">
      <c r="A29" s="212"/>
      <c r="B29" s="209" t="s">
        <v>242</v>
      </c>
      <c r="C29" s="209" t="s">
        <v>350</v>
      </c>
      <c r="D29" s="218">
        <v>95435</v>
      </c>
      <c r="E29" s="219">
        <v>95435</v>
      </c>
      <c r="F29" s="292">
        <f t="shared" si="0"/>
        <v>77202</v>
      </c>
      <c r="G29" s="288" t="b">
        <f t="shared" si="1"/>
        <v>1</v>
      </c>
      <c r="H29" s="288" t="b">
        <f t="shared" si="2"/>
        <v>1</v>
      </c>
      <c r="I29" s="212"/>
      <c r="J29" s="209" t="s">
        <v>242</v>
      </c>
      <c r="K29" s="209" t="s">
        <v>350</v>
      </c>
      <c r="L29" s="230">
        <v>0</v>
      </c>
      <c r="M29" s="231">
        <v>95435</v>
      </c>
    </row>
    <row r="30" spans="1:15">
      <c r="A30" s="212"/>
      <c r="B30" s="209" t="s">
        <v>233</v>
      </c>
      <c r="C30" s="209" t="s">
        <v>519</v>
      </c>
      <c r="D30" s="218">
        <v>16000</v>
      </c>
      <c r="E30" s="219">
        <v>16000</v>
      </c>
      <c r="F30" s="292">
        <f t="shared" si="0"/>
        <v>-79435</v>
      </c>
      <c r="G30" s="288" t="b">
        <f t="shared" si="1"/>
        <v>1</v>
      </c>
      <c r="H30" s="288" t="b">
        <f t="shared" si="2"/>
        <v>1</v>
      </c>
      <c r="I30" s="212"/>
      <c r="J30" s="209" t="s">
        <v>233</v>
      </c>
      <c r="K30" s="209" t="s">
        <v>519</v>
      </c>
      <c r="L30" s="230">
        <v>0</v>
      </c>
      <c r="M30" s="231">
        <v>16000</v>
      </c>
    </row>
    <row r="31" spans="1:15">
      <c r="A31" s="212"/>
      <c r="B31" s="209" t="s">
        <v>231</v>
      </c>
      <c r="C31" s="209" t="s">
        <v>520</v>
      </c>
      <c r="D31" s="218">
        <v>386196</v>
      </c>
      <c r="E31" s="219">
        <v>386196</v>
      </c>
      <c r="F31" s="292">
        <f t="shared" si="0"/>
        <v>370196</v>
      </c>
      <c r="G31" s="288" t="b">
        <f t="shared" si="1"/>
        <v>1</v>
      </c>
      <c r="H31" s="288" t="b">
        <f t="shared" si="2"/>
        <v>1</v>
      </c>
      <c r="I31" s="212"/>
      <c r="J31" s="209" t="s">
        <v>231</v>
      </c>
      <c r="K31" s="209" t="s">
        <v>520</v>
      </c>
      <c r="L31" s="230">
        <v>0</v>
      </c>
      <c r="M31" s="231">
        <v>386196</v>
      </c>
    </row>
    <row r="32" spans="1:15">
      <c r="A32" s="212"/>
      <c r="B32" s="209" t="s">
        <v>232</v>
      </c>
      <c r="C32" s="209" t="s">
        <v>521</v>
      </c>
      <c r="D32" s="218">
        <v>165280</v>
      </c>
      <c r="E32" s="219">
        <v>165280</v>
      </c>
      <c r="F32" s="292">
        <f t="shared" si="0"/>
        <v>-220916</v>
      </c>
      <c r="G32" s="288" t="b">
        <f t="shared" si="1"/>
        <v>1</v>
      </c>
      <c r="H32" s="288" t="b">
        <f t="shared" si="2"/>
        <v>1</v>
      </c>
      <c r="I32" s="212"/>
      <c r="J32" s="209" t="s">
        <v>232</v>
      </c>
      <c r="K32" s="209" t="s">
        <v>521</v>
      </c>
      <c r="L32" s="230">
        <v>0</v>
      </c>
      <c r="M32" s="231">
        <v>165280</v>
      </c>
    </row>
    <row r="33" spans="1:15">
      <c r="A33" s="209" t="s">
        <v>280</v>
      </c>
      <c r="B33" s="210"/>
      <c r="C33" s="210"/>
      <c r="D33" s="218">
        <v>1306313</v>
      </c>
      <c r="E33" s="219">
        <v>1306313</v>
      </c>
      <c r="F33" s="292">
        <f t="shared" si="0"/>
        <v>1141033</v>
      </c>
      <c r="G33" s="288" t="b">
        <f t="shared" si="1"/>
        <v>1</v>
      </c>
      <c r="H33" s="288" t="b">
        <f t="shared" si="2"/>
        <v>1</v>
      </c>
      <c r="I33" s="209" t="s">
        <v>280</v>
      </c>
      <c r="J33" s="210"/>
      <c r="K33" s="210"/>
      <c r="L33" s="230">
        <v>0</v>
      </c>
      <c r="M33" s="231">
        <v>1306313</v>
      </c>
    </row>
    <row r="34" spans="1:15">
      <c r="A34" s="209" t="s">
        <v>77</v>
      </c>
      <c r="B34" s="209" t="s">
        <v>240</v>
      </c>
      <c r="C34" s="209" t="s">
        <v>351</v>
      </c>
      <c r="D34" s="218">
        <v>372755</v>
      </c>
      <c r="E34" s="219">
        <v>372755</v>
      </c>
      <c r="F34" s="292">
        <f t="shared" si="0"/>
        <v>-933558</v>
      </c>
      <c r="G34" s="288" t="b">
        <f t="shared" si="1"/>
        <v>1</v>
      </c>
      <c r="H34" s="288" t="b">
        <f t="shared" si="2"/>
        <v>1</v>
      </c>
      <c r="I34" s="209" t="s">
        <v>77</v>
      </c>
      <c r="J34" s="209" t="s">
        <v>240</v>
      </c>
      <c r="K34" s="209" t="s">
        <v>351</v>
      </c>
      <c r="L34" s="230">
        <v>0</v>
      </c>
      <c r="M34" s="231">
        <v>372755</v>
      </c>
    </row>
    <row r="35" spans="1:15">
      <c r="A35" s="212"/>
      <c r="B35" s="209" t="s">
        <v>497</v>
      </c>
      <c r="C35" s="209" t="s">
        <v>522</v>
      </c>
      <c r="D35" s="218">
        <v>5563</v>
      </c>
      <c r="E35" s="219">
        <v>5563</v>
      </c>
      <c r="F35" s="292">
        <f t="shared" si="0"/>
        <v>-367192</v>
      </c>
      <c r="G35" s="288" t="b">
        <f t="shared" si="1"/>
        <v>1</v>
      </c>
      <c r="H35" s="288" t="b">
        <f t="shared" si="2"/>
        <v>1</v>
      </c>
      <c r="I35" s="212"/>
      <c r="J35" s="209" t="s">
        <v>497</v>
      </c>
      <c r="K35" s="209" t="s">
        <v>522</v>
      </c>
      <c r="L35" s="230">
        <v>0</v>
      </c>
      <c r="M35" s="231">
        <v>5563</v>
      </c>
    </row>
    <row r="36" spans="1:15">
      <c r="A36" s="212"/>
      <c r="B36" s="209" t="s">
        <v>498</v>
      </c>
      <c r="C36" s="209" t="s">
        <v>523</v>
      </c>
      <c r="D36" s="218">
        <v>102978</v>
      </c>
      <c r="E36" s="219">
        <v>102978</v>
      </c>
      <c r="F36" s="292">
        <f t="shared" si="0"/>
        <v>97415</v>
      </c>
      <c r="G36" s="288" t="b">
        <f t="shared" si="1"/>
        <v>1</v>
      </c>
      <c r="H36" s="288" t="b">
        <f t="shared" si="2"/>
        <v>1</v>
      </c>
      <c r="I36" s="212"/>
      <c r="J36" s="209" t="s">
        <v>498</v>
      </c>
      <c r="K36" s="209" t="s">
        <v>523</v>
      </c>
      <c r="L36" s="230">
        <v>0</v>
      </c>
      <c r="M36" s="231">
        <v>102978</v>
      </c>
    </row>
    <row r="37" spans="1:15">
      <c r="A37" s="212"/>
      <c r="B37" s="209" t="s">
        <v>505</v>
      </c>
      <c r="C37" s="209" t="s">
        <v>524</v>
      </c>
      <c r="D37" s="218">
        <v>19395</v>
      </c>
      <c r="E37" s="219">
        <v>19395</v>
      </c>
      <c r="F37" s="292">
        <f t="shared" si="0"/>
        <v>-83583</v>
      </c>
      <c r="G37" s="288" t="b">
        <f t="shared" si="1"/>
        <v>1</v>
      </c>
      <c r="H37" s="288" t="b">
        <f t="shared" si="2"/>
        <v>1</v>
      </c>
      <c r="I37" s="212"/>
      <c r="J37" s="209" t="s">
        <v>505</v>
      </c>
      <c r="K37" s="209" t="s">
        <v>524</v>
      </c>
      <c r="L37" s="230">
        <v>0</v>
      </c>
      <c r="M37" s="231">
        <v>19395</v>
      </c>
    </row>
    <row r="38" spans="1:15">
      <c r="A38" s="212"/>
      <c r="B38" s="209" t="s">
        <v>412</v>
      </c>
      <c r="C38" s="209" t="s">
        <v>414</v>
      </c>
      <c r="D38" s="218">
        <v>60000</v>
      </c>
      <c r="E38" s="219">
        <v>60000</v>
      </c>
      <c r="F38" s="292">
        <f t="shared" si="0"/>
        <v>40605</v>
      </c>
      <c r="G38" s="288" t="b">
        <f t="shared" si="1"/>
        <v>1</v>
      </c>
      <c r="H38" s="288" t="b">
        <f t="shared" si="2"/>
        <v>1</v>
      </c>
      <c r="I38" s="212"/>
      <c r="J38" s="209" t="s">
        <v>412</v>
      </c>
      <c r="K38" s="209" t="s">
        <v>414</v>
      </c>
      <c r="L38" s="230">
        <v>0</v>
      </c>
      <c r="M38" s="231">
        <v>60000</v>
      </c>
    </row>
    <row r="39" spans="1:15">
      <c r="A39" s="212"/>
      <c r="B39" s="209" t="s">
        <v>242</v>
      </c>
      <c r="C39" s="209" t="s">
        <v>243</v>
      </c>
      <c r="D39" s="218">
        <v>154635</v>
      </c>
      <c r="E39" s="219">
        <v>154635</v>
      </c>
      <c r="F39" s="292">
        <f t="shared" si="0"/>
        <v>94635</v>
      </c>
      <c r="G39" s="288" t="b">
        <f t="shared" si="1"/>
        <v>1</v>
      </c>
      <c r="H39" s="288" t="b">
        <f t="shared" si="2"/>
        <v>1</v>
      </c>
      <c r="I39" s="212"/>
      <c r="J39" s="209" t="s">
        <v>242</v>
      </c>
      <c r="K39" s="209" t="s">
        <v>243</v>
      </c>
      <c r="L39" s="230">
        <v>0</v>
      </c>
      <c r="M39" s="231">
        <v>154635</v>
      </c>
      <c r="N39" s="295"/>
      <c r="O39" s="295"/>
    </row>
    <row r="40" spans="1:15">
      <c r="A40" s="212"/>
      <c r="B40" s="209" t="s">
        <v>269</v>
      </c>
      <c r="C40" s="209" t="s">
        <v>525</v>
      </c>
      <c r="D40" s="218">
        <v>140541</v>
      </c>
      <c r="E40" s="219">
        <v>140541</v>
      </c>
      <c r="F40" s="292">
        <f t="shared" si="0"/>
        <v>-14094</v>
      </c>
      <c r="G40" s="288" t="b">
        <f t="shared" si="1"/>
        <v>1</v>
      </c>
      <c r="H40" s="288" t="b">
        <f t="shared" si="2"/>
        <v>1</v>
      </c>
      <c r="I40" s="212"/>
      <c r="J40" s="209" t="s">
        <v>269</v>
      </c>
      <c r="K40" s="209" t="s">
        <v>525</v>
      </c>
      <c r="L40" s="230">
        <v>0</v>
      </c>
      <c r="M40" s="231">
        <v>140541</v>
      </c>
    </row>
    <row r="41" spans="1:15">
      <c r="A41" s="212"/>
      <c r="B41" s="209" t="s">
        <v>231</v>
      </c>
      <c r="C41" s="209" t="s">
        <v>526</v>
      </c>
      <c r="D41" s="218">
        <v>151106</v>
      </c>
      <c r="E41" s="219">
        <v>151106</v>
      </c>
      <c r="F41" s="292">
        <f t="shared" si="0"/>
        <v>10565</v>
      </c>
      <c r="G41" s="288" t="b">
        <f t="shared" si="1"/>
        <v>1</v>
      </c>
      <c r="H41" s="288" t="b">
        <f t="shared" si="2"/>
        <v>1</v>
      </c>
      <c r="I41" s="212"/>
      <c r="J41" s="209" t="s">
        <v>231</v>
      </c>
      <c r="K41" s="209" t="s">
        <v>526</v>
      </c>
      <c r="L41" s="230">
        <v>0</v>
      </c>
      <c r="M41" s="231">
        <v>151106</v>
      </c>
    </row>
    <row r="42" spans="1:15">
      <c r="A42" s="212"/>
      <c r="B42" s="209" t="s">
        <v>429</v>
      </c>
      <c r="C42" s="209" t="s">
        <v>430</v>
      </c>
      <c r="D42" s="218">
        <v>26200</v>
      </c>
      <c r="E42" s="219">
        <v>26200</v>
      </c>
      <c r="F42" s="292">
        <f t="shared" si="0"/>
        <v>-124906</v>
      </c>
      <c r="G42" s="288" t="b">
        <f t="shared" si="1"/>
        <v>1</v>
      </c>
      <c r="H42" s="288" t="b">
        <f t="shared" si="2"/>
        <v>1</v>
      </c>
      <c r="I42" s="212"/>
      <c r="J42" s="209" t="s">
        <v>429</v>
      </c>
      <c r="K42" s="209" t="s">
        <v>430</v>
      </c>
      <c r="L42" s="230">
        <v>0</v>
      </c>
      <c r="M42" s="231">
        <v>26200</v>
      </c>
    </row>
    <row r="43" spans="1:15">
      <c r="A43" s="212"/>
      <c r="B43" s="209" t="s">
        <v>232</v>
      </c>
      <c r="C43" s="209" t="s">
        <v>527</v>
      </c>
      <c r="D43" s="218">
        <v>179763</v>
      </c>
      <c r="E43" s="219">
        <v>179763</v>
      </c>
      <c r="F43" s="292">
        <f t="shared" si="0"/>
        <v>153563</v>
      </c>
      <c r="G43" s="288" t="b">
        <f t="shared" si="1"/>
        <v>1</v>
      </c>
      <c r="H43" s="288" t="b">
        <f t="shared" si="2"/>
        <v>1</v>
      </c>
      <c r="I43" s="212"/>
      <c r="J43" s="209" t="s">
        <v>232</v>
      </c>
      <c r="K43" s="209" t="s">
        <v>527</v>
      </c>
      <c r="L43" s="230">
        <v>0</v>
      </c>
      <c r="M43" s="231">
        <v>179763</v>
      </c>
    </row>
    <row r="44" spans="1:15">
      <c r="A44" s="209" t="s">
        <v>281</v>
      </c>
      <c r="B44" s="210"/>
      <c r="C44" s="210"/>
      <c r="D44" s="218">
        <v>1212936</v>
      </c>
      <c r="E44" s="219">
        <v>1212936</v>
      </c>
      <c r="F44" s="292">
        <f t="shared" si="0"/>
        <v>1033173</v>
      </c>
      <c r="G44" s="288" t="b">
        <f t="shared" si="1"/>
        <v>1</v>
      </c>
      <c r="H44" s="288" t="b">
        <f t="shared" si="2"/>
        <v>1</v>
      </c>
      <c r="I44" s="209" t="s">
        <v>281</v>
      </c>
      <c r="J44" s="210"/>
      <c r="K44" s="210"/>
      <c r="L44" s="230">
        <v>0</v>
      </c>
      <c r="M44" s="231">
        <v>1212936</v>
      </c>
      <c r="N44" s="295">
        <f>'Big Bend'!H51</f>
        <v>0</v>
      </c>
      <c r="O44" s="295">
        <f>GETPIVOTDATA("Sum of Amount",$I$2,"OrgName","Big Bend Community College")-N44</f>
        <v>1212936</v>
      </c>
    </row>
    <row r="45" spans="1:15">
      <c r="A45" s="209" t="s">
        <v>88</v>
      </c>
      <c r="B45" s="209" t="s">
        <v>240</v>
      </c>
      <c r="C45" s="209" t="s">
        <v>352</v>
      </c>
      <c r="D45" s="218">
        <v>68515</v>
      </c>
      <c r="E45" s="219">
        <v>68515</v>
      </c>
      <c r="F45" s="292">
        <f t="shared" si="0"/>
        <v>-1144421</v>
      </c>
      <c r="G45" s="288" t="b">
        <f t="shared" si="1"/>
        <v>1</v>
      </c>
      <c r="H45" s="288" t="b">
        <f t="shared" si="2"/>
        <v>1</v>
      </c>
      <c r="I45" s="209" t="s">
        <v>398</v>
      </c>
      <c r="J45" s="209" t="s">
        <v>240</v>
      </c>
      <c r="K45" s="209" t="s">
        <v>352</v>
      </c>
      <c r="L45" s="230">
        <v>0</v>
      </c>
      <c r="M45" s="231">
        <v>68515</v>
      </c>
    </row>
    <row r="46" spans="1:15">
      <c r="A46" s="212"/>
      <c r="B46" s="209" t="s">
        <v>497</v>
      </c>
      <c r="C46" s="209" t="s">
        <v>528</v>
      </c>
      <c r="D46" s="218">
        <v>6076</v>
      </c>
      <c r="E46" s="219">
        <v>6076</v>
      </c>
      <c r="F46" s="292">
        <f t="shared" si="0"/>
        <v>-62439</v>
      </c>
      <c r="G46" s="288" t="b">
        <f t="shared" si="1"/>
        <v>1</v>
      </c>
      <c r="H46" s="288" t="b">
        <f t="shared" si="2"/>
        <v>1</v>
      </c>
      <c r="I46" s="212"/>
      <c r="J46" s="209" t="s">
        <v>497</v>
      </c>
      <c r="K46" s="209" t="s">
        <v>528</v>
      </c>
      <c r="L46" s="230">
        <v>0</v>
      </c>
      <c r="M46" s="231">
        <v>6076</v>
      </c>
    </row>
    <row r="47" spans="1:15">
      <c r="A47" s="212"/>
      <c r="B47" s="209" t="s">
        <v>498</v>
      </c>
      <c r="C47" s="209" t="s">
        <v>529</v>
      </c>
      <c r="D47" s="218">
        <v>74463</v>
      </c>
      <c r="E47" s="219">
        <v>74463</v>
      </c>
      <c r="F47" s="292">
        <f t="shared" si="0"/>
        <v>68387</v>
      </c>
      <c r="G47" s="288" t="b">
        <f t="shared" si="1"/>
        <v>1</v>
      </c>
      <c r="H47" s="288" t="b">
        <f t="shared" si="2"/>
        <v>1</v>
      </c>
      <c r="I47" s="212"/>
      <c r="J47" s="209" t="s">
        <v>498</v>
      </c>
      <c r="K47" s="209" t="s">
        <v>529</v>
      </c>
      <c r="L47" s="230">
        <v>0</v>
      </c>
      <c r="M47" s="231">
        <v>74463</v>
      </c>
    </row>
    <row r="48" spans="1:15">
      <c r="A48" s="212"/>
      <c r="B48" s="209" t="s">
        <v>505</v>
      </c>
      <c r="C48" s="209" t="s">
        <v>530</v>
      </c>
      <c r="D48" s="218">
        <v>16591</v>
      </c>
      <c r="E48" s="219">
        <v>16591</v>
      </c>
      <c r="F48" s="292">
        <f t="shared" si="0"/>
        <v>-57872</v>
      </c>
      <c r="G48" s="288" t="b">
        <f t="shared" si="1"/>
        <v>1</v>
      </c>
      <c r="H48" s="288" t="b">
        <f t="shared" si="2"/>
        <v>1</v>
      </c>
      <c r="I48" s="212"/>
      <c r="J48" s="209" t="s">
        <v>505</v>
      </c>
      <c r="K48" s="209" t="s">
        <v>530</v>
      </c>
      <c r="L48" s="230">
        <v>0</v>
      </c>
      <c r="M48" s="231">
        <v>16591</v>
      </c>
    </row>
    <row r="49" spans="1:15">
      <c r="A49" s="212"/>
      <c r="B49" s="209" t="s">
        <v>235</v>
      </c>
      <c r="C49" s="209" t="s">
        <v>427</v>
      </c>
      <c r="D49" s="218">
        <v>39500</v>
      </c>
      <c r="E49" s="219">
        <v>39500</v>
      </c>
      <c r="F49" s="292">
        <f t="shared" si="0"/>
        <v>22909</v>
      </c>
      <c r="G49" s="288" t="b">
        <f t="shared" si="1"/>
        <v>1</v>
      </c>
      <c r="H49" s="288" t="b">
        <f t="shared" si="2"/>
        <v>1</v>
      </c>
      <c r="I49" s="212"/>
      <c r="J49" s="209" t="s">
        <v>235</v>
      </c>
      <c r="K49" s="209" t="s">
        <v>427</v>
      </c>
      <c r="L49" s="230">
        <v>0</v>
      </c>
      <c r="M49" s="231">
        <v>39500</v>
      </c>
    </row>
    <row r="50" spans="1:15">
      <c r="A50" s="212"/>
      <c r="B50" s="212"/>
      <c r="C50" s="214" t="s">
        <v>531</v>
      </c>
      <c r="D50" s="220">
        <v>2500</v>
      </c>
      <c r="E50" s="221">
        <v>2500</v>
      </c>
      <c r="F50" s="292">
        <f t="shared" si="0"/>
        <v>-37000</v>
      </c>
      <c r="G50" s="288" t="b">
        <f t="shared" si="1"/>
        <v>1</v>
      </c>
      <c r="H50" s="288" t="b">
        <f t="shared" si="2"/>
        <v>1</v>
      </c>
      <c r="I50" s="212"/>
      <c r="J50" s="212"/>
      <c r="K50" s="214" t="s">
        <v>531</v>
      </c>
      <c r="L50" s="232">
        <v>0</v>
      </c>
      <c r="M50" s="233">
        <v>2500</v>
      </c>
      <c r="N50" s="298"/>
    </row>
    <row r="51" spans="1:15">
      <c r="A51" s="212"/>
      <c r="B51" s="209" t="s">
        <v>233</v>
      </c>
      <c r="C51" s="209" t="s">
        <v>532</v>
      </c>
      <c r="D51" s="218">
        <v>16000</v>
      </c>
      <c r="E51" s="219">
        <v>16000</v>
      </c>
      <c r="F51" s="292">
        <f t="shared" si="0"/>
        <v>13500</v>
      </c>
      <c r="G51" s="288" t="b">
        <f t="shared" si="1"/>
        <v>1</v>
      </c>
      <c r="H51" s="288" t="b">
        <f t="shared" si="2"/>
        <v>1</v>
      </c>
      <c r="I51" s="212"/>
      <c r="J51" s="209" t="s">
        <v>233</v>
      </c>
      <c r="K51" s="209" t="s">
        <v>532</v>
      </c>
      <c r="L51" s="230">
        <v>0</v>
      </c>
      <c r="M51" s="231">
        <v>16000</v>
      </c>
    </row>
    <row r="52" spans="1:15">
      <c r="A52" s="212"/>
      <c r="B52" s="209" t="s">
        <v>506</v>
      </c>
      <c r="C52" s="209" t="s">
        <v>533</v>
      </c>
      <c r="D52" s="218">
        <v>51235</v>
      </c>
      <c r="E52" s="219">
        <v>51235</v>
      </c>
      <c r="F52" s="292">
        <f t="shared" si="0"/>
        <v>35235</v>
      </c>
      <c r="G52" s="288" t="b">
        <f t="shared" si="1"/>
        <v>1</v>
      </c>
      <c r="H52" s="288" t="b">
        <f t="shared" si="2"/>
        <v>1</v>
      </c>
      <c r="I52" s="212"/>
      <c r="J52" s="209" t="s">
        <v>506</v>
      </c>
      <c r="K52" s="209" t="s">
        <v>533</v>
      </c>
      <c r="L52" s="230">
        <v>0</v>
      </c>
      <c r="M52" s="231">
        <v>51235</v>
      </c>
    </row>
    <row r="53" spans="1:15">
      <c r="A53" s="209" t="s">
        <v>282</v>
      </c>
      <c r="B53" s="210"/>
      <c r="C53" s="210"/>
      <c r="D53" s="218">
        <v>274880</v>
      </c>
      <c r="E53" s="219">
        <v>274880</v>
      </c>
      <c r="F53" s="292">
        <f t="shared" si="0"/>
        <v>223645</v>
      </c>
      <c r="G53" s="288" t="b">
        <f t="shared" si="1"/>
        <v>1</v>
      </c>
      <c r="H53" s="288" t="b">
        <f t="shared" si="2"/>
        <v>1</v>
      </c>
      <c r="I53" s="209" t="s">
        <v>399</v>
      </c>
      <c r="J53" s="210"/>
      <c r="K53" s="210"/>
      <c r="L53" s="230">
        <v>0</v>
      </c>
      <c r="M53" s="231">
        <v>274880</v>
      </c>
      <c r="N53" s="295">
        <f>Cascadia!H50</f>
        <v>0</v>
      </c>
      <c r="O53" s="295">
        <f>GETPIVOTDATA("Sum of Amount",$I$2,"OrgName","Cascadia  College")-N53</f>
        <v>274880</v>
      </c>
    </row>
    <row r="54" spans="1:15">
      <c r="A54" s="209" t="s">
        <v>89</v>
      </c>
      <c r="B54" s="209" t="s">
        <v>240</v>
      </c>
      <c r="C54" s="209" t="s">
        <v>353</v>
      </c>
      <c r="D54" s="218">
        <v>375006</v>
      </c>
      <c r="E54" s="219">
        <v>375006</v>
      </c>
      <c r="F54" s="292">
        <f t="shared" si="0"/>
        <v>100126</v>
      </c>
      <c r="G54" s="288" t="b">
        <f t="shared" si="1"/>
        <v>1</v>
      </c>
      <c r="H54" s="288" t="b">
        <f t="shared" si="2"/>
        <v>1</v>
      </c>
      <c r="I54" s="209" t="s">
        <v>89</v>
      </c>
      <c r="J54" s="209" t="s">
        <v>240</v>
      </c>
      <c r="K54" s="209" t="s">
        <v>353</v>
      </c>
      <c r="L54" s="230">
        <v>0</v>
      </c>
      <c r="M54" s="231">
        <v>375006</v>
      </c>
    </row>
    <row r="55" spans="1:15">
      <c r="A55" s="212"/>
      <c r="B55" s="209" t="s">
        <v>497</v>
      </c>
      <c r="C55" s="209" t="s">
        <v>534</v>
      </c>
      <c r="D55" s="218">
        <v>6588</v>
      </c>
      <c r="E55" s="219">
        <v>6588</v>
      </c>
      <c r="F55" s="292">
        <f t="shared" si="0"/>
        <v>-368418</v>
      </c>
      <c r="G55" s="288" t="b">
        <f t="shared" si="1"/>
        <v>1</v>
      </c>
      <c r="H55" s="288" t="b">
        <f t="shared" si="2"/>
        <v>1</v>
      </c>
      <c r="I55" s="212"/>
      <c r="J55" s="209" t="s">
        <v>497</v>
      </c>
      <c r="K55" s="209" t="s">
        <v>534</v>
      </c>
      <c r="L55" s="230">
        <v>0</v>
      </c>
      <c r="M55" s="231">
        <v>6588</v>
      </c>
      <c r="N55" s="340"/>
      <c r="O55" s="295"/>
    </row>
    <row r="56" spans="1:15">
      <c r="A56" s="212"/>
      <c r="B56" s="209" t="s">
        <v>498</v>
      </c>
      <c r="C56" s="209" t="s">
        <v>535</v>
      </c>
      <c r="D56" s="218">
        <v>126492</v>
      </c>
      <c r="E56" s="219">
        <v>126492</v>
      </c>
      <c r="F56" s="292">
        <f t="shared" si="0"/>
        <v>119904</v>
      </c>
      <c r="G56" s="288" t="b">
        <f t="shared" si="1"/>
        <v>1</v>
      </c>
      <c r="H56" s="288" t="b">
        <f t="shared" si="2"/>
        <v>1</v>
      </c>
      <c r="I56" s="212"/>
      <c r="J56" s="209" t="s">
        <v>498</v>
      </c>
      <c r="K56" s="209" t="s">
        <v>535</v>
      </c>
      <c r="L56" s="230">
        <v>0</v>
      </c>
      <c r="M56" s="231">
        <v>126492</v>
      </c>
    </row>
    <row r="57" spans="1:15">
      <c r="A57" s="212"/>
      <c r="B57" s="209" t="s">
        <v>505</v>
      </c>
      <c r="C57" s="209" t="s">
        <v>536</v>
      </c>
      <c r="D57" s="218">
        <v>25744</v>
      </c>
      <c r="E57" s="219">
        <v>25744</v>
      </c>
      <c r="F57" s="292">
        <f t="shared" si="0"/>
        <v>-100748</v>
      </c>
      <c r="G57" s="288" t="b">
        <f t="shared" si="1"/>
        <v>1</v>
      </c>
      <c r="H57" s="288" t="b">
        <f t="shared" si="2"/>
        <v>1</v>
      </c>
      <c r="I57" s="212"/>
      <c r="J57" s="209" t="s">
        <v>505</v>
      </c>
      <c r="K57" s="209" t="s">
        <v>536</v>
      </c>
      <c r="L57" s="230">
        <v>0</v>
      </c>
      <c r="M57" s="231">
        <v>25744</v>
      </c>
    </row>
    <row r="58" spans="1:15">
      <c r="A58" s="212"/>
      <c r="B58" s="209" t="s">
        <v>267</v>
      </c>
      <c r="C58" s="209" t="s">
        <v>537</v>
      </c>
      <c r="D58" s="218">
        <v>1620874</v>
      </c>
      <c r="E58" s="219">
        <v>1620874</v>
      </c>
      <c r="F58" s="292">
        <f t="shared" si="0"/>
        <v>1595130</v>
      </c>
      <c r="G58" s="288" t="b">
        <f t="shared" si="1"/>
        <v>1</v>
      </c>
      <c r="H58" s="288" t="b">
        <f t="shared" si="2"/>
        <v>1</v>
      </c>
      <c r="I58" s="212"/>
      <c r="J58" s="209" t="s">
        <v>267</v>
      </c>
      <c r="K58" s="209" t="s">
        <v>537</v>
      </c>
      <c r="L58" s="230">
        <v>0</v>
      </c>
      <c r="M58" s="231">
        <v>1620874</v>
      </c>
    </row>
    <row r="59" spans="1:15">
      <c r="A59" s="212"/>
      <c r="B59" s="209" t="s">
        <v>241</v>
      </c>
      <c r="C59" s="209" t="s">
        <v>538</v>
      </c>
      <c r="D59" s="218">
        <v>15100</v>
      </c>
      <c r="E59" s="219">
        <v>15100</v>
      </c>
      <c r="F59" s="292">
        <f t="shared" si="0"/>
        <v>-1605774</v>
      </c>
      <c r="G59" s="288" t="b">
        <f t="shared" si="1"/>
        <v>1</v>
      </c>
      <c r="H59" s="288" t="b">
        <f t="shared" si="2"/>
        <v>1</v>
      </c>
      <c r="I59" s="212"/>
      <c r="J59" s="209" t="s">
        <v>241</v>
      </c>
      <c r="K59" s="209" t="s">
        <v>538</v>
      </c>
      <c r="L59" s="230">
        <v>0</v>
      </c>
      <c r="M59" s="231">
        <v>15100</v>
      </c>
    </row>
    <row r="60" spans="1:15">
      <c r="A60" s="212"/>
      <c r="B60" s="209" t="s">
        <v>234</v>
      </c>
      <c r="C60" s="209" t="s">
        <v>539</v>
      </c>
      <c r="D60" s="218">
        <v>15000</v>
      </c>
      <c r="E60" s="219">
        <v>15000</v>
      </c>
      <c r="F60" s="292">
        <f t="shared" si="0"/>
        <v>-100</v>
      </c>
      <c r="G60" s="288" t="b">
        <f t="shared" si="1"/>
        <v>1</v>
      </c>
      <c r="H60" s="288" t="b">
        <f t="shared" si="2"/>
        <v>1</v>
      </c>
      <c r="I60" s="212"/>
      <c r="J60" s="209" t="s">
        <v>234</v>
      </c>
      <c r="K60" s="209" t="s">
        <v>539</v>
      </c>
      <c r="L60" s="230">
        <v>0</v>
      </c>
      <c r="M60" s="231">
        <v>15000</v>
      </c>
    </row>
    <row r="61" spans="1:15">
      <c r="A61" s="212"/>
      <c r="B61" s="209" t="s">
        <v>233</v>
      </c>
      <c r="C61" s="209" t="s">
        <v>540</v>
      </c>
      <c r="D61" s="218">
        <v>16000</v>
      </c>
      <c r="E61" s="219">
        <v>16000</v>
      </c>
      <c r="F61" s="292">
        <f t="shared" si="0"/>
        <v>1000</v>
      </c>
      <c r="G61" s="288" t="b">
        <f t="shared" si="1"/>
        <v>1</v>
      </c>
      <c r="H61" s="288" t="b">
        <f t="shared" si="2"/>
        <v>1</v>
      </c>
      <c r="I61" s="212"/>
      <c r="J61" s="209" t="s">
        <v>233</v>
      </c>
      <c r="K61" s="209" t="s">
        <v>540</v>
      </c>
      <c r="L61" s="230">
        <v>0</v>
      </c>
      <c r="M61" s="231">
        <v>16000</v>
      </c>
    </row>
    <row r="62" spans="1:15">
      <c r="A62" s="212"/>
      <c r="B62" s="209" t="s">
        <v>231</v>
      </c>
      <c r="C62" s="209" t="s">
        <v>541</v>
      </c>
      <c r="D62" s="218">
        <v>204803</v>
      </c>
      <c r="E62" s="219">
        <v>204803</v>
      </c>
      <c r="F62" s="292">
        <f t="shared" si="0"/>
        <v>188803</v>
      </c>
      <c r="G62" s="288" t="b">
        <f t="shared" si="1"/>
        <v>1</v>
      </c>
      <c r="H62" s="288" t="b">
        <f t="shared" si="2"/>
        <v>1</v>
      </c>
      <c r="I62" s="212"/>
      <c r="J62" s="209" t="s">
        <v>231</v>
      </c>
      <c r="K62" s="209" t="s">
        <v>541</v>
      </c>
      <c r="L62" s="230">
        <v>0</v>
      </c>
      <c r="M62" s="231">
        <v>204803</v>
      </c>
    </row>
    <row r="63" spans="1:15">
      <c r="A63" s="212"/>
      <c r="B63" s="209" t="s">
        <v>506</v>
      </c>
      <c r="C63" s="209" t="s">
        <v>542</v>
      </c>
      <c r="D63" s="218">
        <v>51235</v>
      </c>
      <c r="E63" s="219">
        <v>51235</v>
      </c>
      <c r="F63" s="292">
        <f t="shared" si="0"/>
        <v>-153568</v>
      </c>
      <c r="G63" s="288" t="b">
        <f t="shared" si="1"/>
        <v>1</v>
      </c>
      <c r="H63" s="288" t="b">
        <f t="shared" si="2"/>
        <v>1</v>
      </c>
      <c r="I63" s="212"/>
      <c r="J63" s="209" t="s">
        <v>506</v>
      </c>
      <c r="K63" s="209" t="s">
        <v>542</v>
      </c>
      <c r="L63" s="230">
        <v>0</v>
      </c>
      <c r="M63" s="231">
        <v>51235</v>
      </c>
      <c r="N63" s="295"/>
      <c r="O63" s="295"/>
    </row>
    <row r="64" spans="1:15">
      <c r="A64" s="212"/>
      <c r="B64" s="209" t="s">
        <v>232</v>
      </c>
      <c r="C64" s="209" t="s">
        <v>543</v>
      </c>
      <c r="D64" s="218">
        <v>500299</v>
      </c>
      <c r="E64" s="219">
        <v>500299</v>
      </c>
      <c r="F64" s="292">
        <f t="shared" si="0"/>
        <v>449064</v>
      </c>
      <c r="G64" s="288" t="b">
        <f t="shared" si="1"/>
        <v>1</v>
      </c>
      <c r="H64" s="288" t="b">
        <f t="shared" si="2"/>
        <v>1</v>
      </c>
      <c r="I64" s="212"/>
      <c r="J64" s="209" t="s">
        <v>232</v>
      </c>
      <c r="K64" s="209" t="s">
        <v>543</v>
      </c>
      <c r="L64" s="230">
        <v>0</v>
      </c>
      <c r="M64" s="231">
        <v>500299</v>
      </c>
    </row>
    <row r="65" spans="1:15">
      <c r="A65" s="209" t="s">
        <v>283</v>
      </c>
      <c r="B65" s="210"/>
      <c r="C65" s="210"/>
      <c r="D65" s="218">
        <v>2957141</v>
      </c>
      <c r="E65" s="219">
        <v>2957141</v>
      </c>
      <c r="F65" s="292">
        <f t="shared" si="0"/>
        <v>2456842</v>
      </c>
      <c r="G65" s="288" t="b">
        <f t="shared" si="1"/>
        <v>1</v>
      </c>
      <c r="H65" s="288" t="b">
        <f t="shared" si="2"/>
        <v>1</v>
      </c>
      <c r="I65" s="209" t="s">
        <v>283</v>
      </c>
      <c r="J65" s="210"/>
      <c r="K65" s="210"/>
      <c r="L65" s="230">
        <v>0</v>
      </c>
      <c r="M65" s="231">
        <v>2957141</v>
      </c>
      <c r="N65" s="295">
        <f>Centralia!H55</f>
        <v>0</v>
      </c>
      <c r="O65" s="295">
        <f>GETPIVOTDATA("Sum of Amount",$I$2,"OrgName","Centralia College")-N65</f>
        <v>2957141</v>
      </c>
    </row>
    <row r="66" spans="1:15">
      <c r="A66" s="209" t="s">
        <v>90</v>
      </c>
      <c r="B66" s="209" t="s">
        <v>240</v>
      </c>
      <c r="C66" s="209" t="s">
        <v>355</v>
      </c>
      <c r="D66" s="218">
        <v>318517</v>
      </c>
      <c r="E66" s="219">
        <v>318517</v>
      </c>
      <c r="F66" s="292">
        <f t="shared" si="0"/>
        <v>-2638624</v>
      </c>
      <c r="G66" s="288" t="b">
        <f t="shared" si="1"/>
        <v>1</v>
      </c>
      <c r="H66" s="288" t="b">
        <f t="shared" si="2"/>
        <v>1</v>
      </c>
      <c r="I66" s="209" t="s">
        <v>90</v>
      </c>
      <c r="J66" s="209" t="s">
        <v>240</v>
      </c>
      <c r="K66" s="341" t="s">
        <v>355</v>
      </c>
      <c r="L66" s="342">
        <v>0</v>
      </c>
      <c r="M66" s="343">
        <v>318517</v>
      </c>
    </row>
    <row r="67" spans="1:15">
      <c r="A67" s="212"/>
      <c r="B67" s="209" t="s">
        <v>497</v>
      </c>
      <c r="C67" s="209" t="s">
        <v>544</v>
      </c>
      <c r="D67" s="218">
        <v>6588</v>
      </c>
      <c r="E67" s="219">
        <v>6588</v>
      </c>
      <c r="F67" s="292">
        <f t="shared" si="0"/>
        <v>-311929</v>
      </c>
      <c r="G67" s="288" t="b">
        <f t="shared" si="1"/>
        <v>1</v>
      </c>
      <c r="H67" s="288" t="b">
        <f t="shared" si="2"/>
        <v>1</v>
      </c>
      <c r="I67" s="212"/>
      <c r="J67" s="209" t="s">
        <v>497</v>
      </c>
      <c r="K67" s="209" t="s">
        <v>544</v>
      </c>
      <c r="L67" s="230">
        <v>0</v>
      </c>
      <c r="M67" s="231">
        <v>6588</v>
      </c>
    </row>
    <row r="68" spans="1:15">
      <c r="A68" s="212"/>
      <c r="B68" s="209" t="s">
        <v>498</v>
      </c>
      <c r="C68" s="209" t="s">
        <v>545</v>
      </c>
      <c r="D68" s="218">
        <v>248433</v>
      </c>
      <c r="E68" s="219">
        <v>248433</v>
      </c>
      <c r="F68" s="292">
        <f t="shared" si="0"/>
        <v>241845</v>
      </c>
      <c r="G68" s="288" t="b">
        <f t="shared" si="1"/>
        <v>1</v>
      </c>
      <c r="H68" s="288" t="b">
        <f t="shared" si="2"/>
        <v>1</v>
      </c>
      <c r="I68" s="212"/>
      <c r="J68" s="209" t="s">
        <v>498</v>
      </c>
      <c r="K68" s="209" t="s">
        <v>545</v>
      </c>
      <c r="L68" s="230">
        <v>0</v>
      </c>
      <c r="M68" s="231">
        <v>248433</v>
      </c>
    </row>
    <row r="69" spans="1:15">
      <c r="A69" s="212"/>
      <c r="B69" s="209" t="s">
        <v>505</v>
      </c>
      <c r="C69" s="209" t="s">
        <v>546</v>
      </c>
      <c r="D69" s="218">
        <v>52865</v>
      </c>
      <c r="E69" s="219">
        <v>52865</v>
      </c>
      <c r="F69" s="292">
        <f t="shared" ref="F69:F132" si="3">E69-M68</f>
        <v>-195568</v>
      </c>
      <c r="G69" s="288" t="b">
        <f t="shared" si="1"/>
        <v>1</v>
      </c>
      <c r="H69" s="288" t="b">
        <f t="shared" si="2"/>
        <v>1</v>
      </c>
      <c r="I69" s="212"/>
      <c r="J69" s="209" t="s">
        <v>505</v>
      </c>
      <c r="K69" s="209" t="s">
        <v>546</v>
      </c>
      <c r="L69" s="230">
        <v>0</v>
      </c>
      <c r="M69" s="231">
        <v>52865</v>
      </c>
    </row>
    <row r="70" spans="1:15">
      <c r="A70" s="212"/>
      <c r="B70" s="209" t="s">
        <v>267</v>
      </c>
      <c r="C70" s="209" t="s">
        <v>547</v>
      </c>
      <c r="D70" s="218">
        <v>288117</v>
      </c>
      <c r="E70" s="219">
        <v>288117</v>
      </c>
      <c r="F70" s="292">
        <f t="shared" si="3"/>
        <v>235252</v>
      </c>
      <c r="G70" s="288" t="b">
        <f t="shared" si="1"/>
        <v>1</v>
      </c>
      <c r="H70" s="288" t="b">
        <f t="shared" si="2"/>
        <v>1</v>
      </c>
      <c r="I70" s="212"/>
      <c r="J70" s="209" t="s">
        <v>267</v>
      </c>
      <c r="K70" s="209" t="s">
        <v>547</v>
      </c>
      <c r="L70" s="230">
        <v>0</v>
      </c>
      <c r="M70" s="231">
        <v>288117</v>
      </c>
    </row>
    <row r="71" spans="1:15">
      <c r="A71" s="212"/>
      <c r="B71" s="209" t="s">
        <v>241</v>
      </c>
      <c r="C71" s="209" t="s">
        <v>548</v>
      </c>
      <c r="D71" s="218">
        <v>22650</v>
      </c>
      <c r="E71" s="219">
        <v>22650</v>
      </c>
      <c r="F71" s="292">
        <f t="shared" si="3"/>
        <v>-265467</v>
      </c>
      <c r="G71" s="288" t="b">
        <f t="shared" si="1"/>
        <v>1</v>
      </c>
      <c r="H71" s="288" t="b">
        <f t="shared" si="2"/>
        <v>1</v>
      </c>
      <c r="I71" s="212"/>
      <c r="J71" s="209" t="s">
        <v>241</v>
      </c>
      <c r="K71" s="209" t="s">
        <v>548</v>
      </c>
      <c r="L71" s="230">
        <v>0</v>
      </c>
      <c r="M71" s="231">
        <v>22650</v>
      </c>
    </row>
    <row r="72" spans="1:15">
      <c r="A72" s="212"/>
      <c r="B72" s="209" t="s">
        <v>274</v>
      </c>
      <c r="C72" s="209" t="s">
        <v>549</v>
      </c>
      <c r="D72" s="218">
        <v>5000</v>
      </c>
      <c r="E72" s="219">
        <v>5000</v>
      </c>
      <c r="F72" s="292">
        <f t="shared" si="3"/>
        <v>-17650</v>
      </c>
      <c r="G72" s="288" t="b">
        <f t="shared" ref="G72:G135" si="4">IF(B71=J71,TRUE)</f>
        <v>1</v>
      </c>
      <c r="H72" s="288" t="b">
        <f t="shared" ref="H72:H135" si="5">IF(C71=K71,TRUE)</f>
        <v>1</v>
      </c>
      <c r="I72" s="212"/>
      <c r="J72" s="209" t="s">
        <v>274</v>
      </c>
      <c r="K72" s="209" t="s">
        <v>549</v>
      </c>
      <c r="L72" s="230">
        <v>0</v>
      </c>
      <c r="M72" s="231">
        <v>5000</v>
      </c>
    </row>
    <row r="73" spans="1:15">
      <c r="A73" s="212"/>
      <c r="B73" s="209" t="s">
        <v>242</v>
      </c>
      <c r="C73" s="209" t="s">
        <v>356</v>
      </c>
      <c r="D73" s="218">
        <v>95435</v>
      </c>
      <c r="E73" s="219">
        <v>95435</v>
      </c>
      <c r="F73" s="292">
        <f t="shared" si="3"/>
        <v>90435</v>
      </c>
      <c r="G73" s="288" t="b">
        <f t="shared" si="4"/>
        <v>1</v>
      </c>
      <c r="H73" s="288" t="b">
        <f t="shared" si="5"/>
        <v>1</v>
      </c>
      <c r="I73" s="212"/>
      <c r="J73" s="209" t="s">
        <v>242</v>
      </c>
      <c r="K73" s="341" t="s">
        <v>356</v>
      </c>
      <c r="L73" s="342">
        <v>0</v>
      </c>
      <c r="M73" s="343">
        <v>95435</v>
      </c>
    </row>
    <row r="74" spans="1:15">
      <c r="A74" s="212"/>
      <c r="B74" s="209" t="s">
        <v>233</v>
      </c>
      <c r="C74" s="209" t="s">
        <v>550</v>
      </c>
      <c r="D74" s="218">
        <v>16000</v>
      </c>
      <c r="E74" s="219">
        <v>16000</v>
      </c>
      <c r="F74" s="292">
        <f t="shared" si="3"/>
        <v>-79435</v>
      </c>
      <c r="G74" s="288" t="b">
        <f t="shared" si="4"/>
        <v>1</v>
      </c>
      <c r="H74" s="288" t="b">
        <f t="shared" si="5"/>
        <v>1</v>
      </c>
      <c r="I74" s="212"/>
      <c r="J74" s="209" t="s">
        <v>233</v>
      </c>
      <c r="K74" s="209" t="s">
        <v>550</v>
      </c>
      <c r="L74" s="230">
        <v>0</v>
      </c>
      <c r="M74" s="231">
        <v>16000</v>
      </c>
    </row>
    <row r="75" spans="1:15">
      <c r="A75" s="212"/>
      <c r="B75" s="209" t="s">
        <v>231</v>
      </c>
      <c r="C75" s="209" t="s">
        <v>551</v>
      </c>
      <c r="D75" s="218">
        <v>607288</v>
      </c>
      <c r="E75" s="219">
        <v>607288</v>
      </c>
      <c r="F75" s="292">
        <f t="shared" si="3"/>
        <v>591288</v>
      </c>
      <c r="G75" s="288" t="b">
        <f t="shared" si="4"/>
        <v>1</v>
      </c>
      <c r="H75" s="288" t="b">
        <f t="shared" si="5"/>
        <v>1</v>
      </c>
      <c r="I75" s="212"/>
      <c r="J75" s="209" t="s">
        <v>231</v>
      </c>
      <c r="K75" s="209" t="s">
        <v>551</v>
      </c>
      <c r="L75" s="230">
        <v>0</v>
      </c>
      <c r="M75" s="231">
        <v>607288</v>
      </c>
    </row>
    <row r="76" spans="1:15">
      <c r="A76" s="212"/>
      <c r="B76" s="209" t="s">
        <v>232</v>
      </c>
      <c r="C76" s="209" t="s">
        <v>552</v>
      </c>
      <c r="D76" s="218">
        <v>636473</v>
      </c>
      <c r="E76" s="219">
        <v>636473</v>
      </c>
      <c r="F76" s="292">
        <f t="shared" si="3"/>
        <v>29185</v>
      </c>
      <c r="G76" s="288" t="b">
        <f t="shared" si="4"/>
        <v>1</v>
      </c>
      <c r="H76" s="288" t="b">
        <f t="shared" si="5"/>
        <v>1</v>
      </c>
      <c r="I76" s="212"/>
      <c r="J76" s="209" t="s">
        <v>232</v>
      </c>
      <c r="K76" s="209" t="s">
        <v>552</v>
      </c>
      <c r="L76" s="230">
        <v>0</v>
      </c>
      <c r="M76" s="231">
        <v>636473</v>
      </c>
    </row>
    <row r="77" spans="1:15">
      <c r="A77" s="209" t="s">
        <v>284</v>
      </c>
      <c r="B77" s="210"/>
      <c r="C77" s="210"/>
      <c r="D77" s="218">
        <v>2297366</v>
      </c>
      <c r="E77" s="219">
        <v>2297366</v>
      </c>
      <c r="F77" s="292">
        <f t="shared" si="3"/>
        <v>1660893</v>
      </c>
      <c r="G77" s="288" t="b">
        <f t="shared" si="4"/>
        <v>1</v>
      </c>
      <c r="H77" s="288" t="b">
        <f t="shared" si="5"/>
        <v>1</v>
      </c>
      <c r="I77" s="209" t="s">
        <v>284</v>
      </c>
      <c r="J77" s="210"/>
      <c r="K77" s="210"/>
      <c r="L77" s="230">
        <v>0</v>
      </c>
      <c r="M77" s="231">
        <v>2297366</v>
      </c>
      <c r="N77" s="295">
        <f>Clark!H58</f>
        <v>0</v>
      </c>
      <c r="O77" s="295">
        <f>GETPIVOTDATA("Sum of Amount",$I$2,"OrgName","Clark College")-N77</f>
        <v>2297366</v>
      </c>
    </row>
    <row r="78" spans="1:15">
      <c r="A78" s="209" t="s">
        <v>91</v>
      </c>
      <c r="B78" s="209" t="s">
        <v>240</v>
      </c>
      <c r="C78" s="209" t="s">
        <v>357</v>
      </c>
      <c r="D78" s="218">
        <v>405234</v>
      </c>
      <c r="E78" s="219">
        <v>405234</v>
      </c>
      <c r="F78" s="292">
        <f t="shared" si="3"/>
        <v>-1892132</v>
      </c>
      <c r="G78" s="288" t="b">
        <f t="shared" si="4"/>
        <v>1</v>
      </c>
      <c r="H78" s="288" t="b">
        <f t="shared" si="5"/>
        <v>1</v>
      </c>
      <c r="I78" s="209" t="s">
        <v>91</v>
      </c>
      <c r="J78" s="209" t="s">
        <v>240</v>
      </c>
      <c r="K78" s="209" t="s">
        <v>357</v>
      </c>
      <c r="L78" s="230">
        <v>0</v>
      </c>
      <c r="M78" s="231">
        <v>405234</v>
      </c>
    </row>
    <row r="79" spans="1:15">
      <c r="A79" s="212"/>
      <c r="B79" s="209" t="s">
        <v>497</v>
      </c>
      <c r="C79" s="209" t="s">
        <v>553</v>
      </c>
      <c r="D79" s="218">
        <v>6076</v>
      </c>
      <c r="E79" s="219">
        <v>6076</v>
      </c>
      <c r="F79" s="292">
        <f t="shared" si="3"/>
        <v>-399158</v>
      </c>
      <c r="G79" s="288" t="b">
        <f t="shared" si="4"/>
        <v>1</v>
      </c>
      <c r="H79" s="288" t="b">
        <f t="shared" si="5"/>
        <v>1</v>
      </c>
      <c r="I79" s="212"/>
      <c r="J79" s="209" t="s">
        <v>497</v>
      </c>
      <c r="K79" s="209" t="s">
        <v>553</v>
      </c>
      <c r="L79" s="230">
        <v>0</v>
      </c>
      <c r="M79" s="231">
        <v>6076</v>
      </c>
    </row>
    <row r="80" spans="1:15">
      <c r="A80" s="212"/>
      <c r="B80" s="209" t="s">
        <v>498</v>
      </c>
      <c r="C80" s="209" t="s">
        <v>554</v>
      </c>
      <c r="D80" s="218">
        <v>124417</v>
      </c>
      <c r="E80" s="219">
        <v>124417</v>
      </c>
      <c r="F80" s="292">
        <f t="shared" si="3"/>
        <v>118341</v>
      </c>
      <c r="G80" s="288" t="b">
        <f t="shared" si="4"/>
        <v>1</v>
      </c>
      <c r="H80" s="288" t="b">
        <f t="shared" si="5"/>
        <v>1</v>
      </c>
      <c r="I80" s="212"/>
      <c r="J80" s="209" t="s">
        <v>498</v>
      </c>
      <c r="K80" s="209" t="s">
        <v>554</v>
      </c>
      <c r="L80" s="230">
        <v>0</v>
      </c>
      <c r="M80" s="231">
        <v>124417</v>
      </c>
    </row>
    <row r="81" spans="1:15">
      <c r="A81" s="212"/>
      <c r="B81" s="209" t="s">
        <v>505</v>
      </c>
      <c r="C81" s="209" t="s">
        <v>555</v>
      </c>
      <c r="D81" s="218">
        <v>26151</v>
      </c>
      <c r="E81" s="219">
        <v>26151</v>
      </c>
      <c r="F81" s="292">
        <f t="shared" si="3"/>
        <v>-98266</v>
      </c>
      <c r="G81" s="288" t="b">
        <f t="shared" si="4"/>
        <v>1</v>
      </c>
      <c r="H81" s="288" t="b">
        <f t="shared" si="5"/>
        <v>1</v>
      </c>
      <c r="I81" s="212"/>
      <c r="J81" s="209" t="s">
        <v>505</v>
      </c>
      <c r="K81" s="209" t="s">
        <v>555</v>
      </c>
      <c r="L81" s="230">
        <v>0</v>
      </c>
      <c r="M81" s="231">
        <v>26151</v>
      </c>
    </row>
    <row r="82" spans="1:15">
      <c r="A82" s="212"/>
      <c r="B82" s="209" t="s">
        <v>412</v>
      </c>
      <c r="C82" s="209" t="s">
        <v>415</v>
      </c>
      <c r="D82" s="218">
        <v>58984</v>
      </c>
      <c r="E82" s="219">
        <v>58984</v>
      </c>
      <c r="F82" s="292">
        <f t="shared" si="3"/>
        <v>32833</v>
      </c>
      <c r="G82" s="288" t="b">
        <f t="shared" si="4"/>
        <v>1</v>
      </c>
      <c r="H82" s="288" t="b">
        <f t="shared" si="5"/>
        <v>1</v>
      </c>
      <c r="I82" s="212"/>
      <c r="J82" s="209" t="s">
        <v>412</v>
      </c>
      <c r="K82" s="209" t="s">
        <v>415</v>
      </c>
      <c r="L82" s="230">
        <v>0</v>
      </c>
      <c r="M82" s="231">
        <v>58984</v>
      </c>
      <c r="N82" s="295"/>
      <c r="O82" s="295"/>
    </row>
    <row r="83" spans="1:15">
      <c r="A83" s="212"/>
      <c r="B83" s="209" t="s">
        <v>231</v>
      </c>
      <c r="C83" s="209" t="s">
        <v>556</v>
      </c>
      <c r="D83" s="218">
        <v>438781</v>
      </c>
      <c r="E83" s="219">
        <v>438781</v>
      </c>
      <c r="F83" s="292">
        <f t="shared" si="3"/>
        <v>379797</v>
      </c>
      <c r="G83" s="288" t="b">
        <f t="shared" si="4"/>
        <v>1</v>
      </c>
      <c r="H83" s="288" t="b">
        <f t="shared" si="5"/>
        <v>1</v>
      </c>
      <c r="I83" s="212"/>
      <c r="J83" s="209" t="s">
        <v>231</v>
      </c>
      <c r="K83" s="209" t="s">
        <v>556</v>
      </c>
      <c r="L83" s="230">
        <v>0</v>
      </c>
      <c r="M83" s="231">
        <v>438781</v>
      </c>
    </row>
    <row r="84" spans="1:15">
      <c r="A84" s="212"/>
      <c r="B84" s="209" t="s">
        <v>506</v>
      </c>
      <c r="C84" s="209" t="s">
        <v>557</v>
      </c>
      <c r="D84" s="218">
        <v>51235</v>
      </c>
      <c r="E84" s="219">
        <v>51235</v>
      </c>
      <c r="F84" s="292">
        <f t="shared" si="3"/>
        <v>-387546</v>
      </c>
      <c r="G84" s="288" t="b">
        <f t="shared" si="4"/>
        <v>1</v>
      </c>
      <c r="H84" s="288" t="b">
        <f t="shared" si="5"/>
        <v>1</v>
      </c>
      <c r="I84" s="212"/>
      <c r="J84" s="209" t="s">
        <v>506</v>
      </c>
      <c r="K84" s="209" t="s">
        <v>557</v>
      </c>
      <c r="L84" s="230">
        <v>0</v>
      </c>
      <c r="M84" s="231">
        <v>51235</v>
      </c>
    </row>
    <row r="85" spans="1:15">
      <c r="A85" s="212"/>
      <c r="B85" s="209" t="s">
        <v>232</v>
      </c>
      <c r="C85" s="209" t="s">
        <v>558</v>
      </c>
      <c r="D85" s="218">
        <v>642964</v>
      </c>
      <c r="E85" s="219">
        <v>642964</v>
      </c>
      <c r="F85" s="292">
        <f t="shared" si="3"/>
        <v>591729</v>
      </c>
      <c r="G85" s="288" t="b">
        <f t="shared" si="4"/>
        <v>1</v>
      </c>
      <c r="H85" s="288" t="b">
        <f t="shared" si="5"/>
        <v>1</v>
      </c>
      <c r="I85" s="212"/>
      <c r="J85" s="209" t="s">
        <v>232</v>
      </c>
      <c r="K85" s="209" t="s">
        <v>558</v>
      </c>
      <c r="L85" s="230">
        <v>0</v>
      </c>
      <c r="M85" s="231">
        <v>642964</v>
      </c>
    </row>
    <row r="86" spans="1:15">
      <c r="A86" s="209" t="s">
        <v>285</v>
      </c>
      <c r="B86" s="210"/>
      <c r="C86" s="210"/>
      <c r="D86" s="218">
        <v>1753842</v>
      </c>
      <c r="E86" s="219">
        <v>1753842</v>
      </c>
      <c r="F86" s="292">
        <f t="shared" si="3"/>
        <v>1110878</v>
      </c>
      <c r="G86" s="288" t="b">
        <f t="shared" si="4"/>
        <v>1</v>
      </c>
      <c r="H86" s="288" t="b">
        <f t="shared" si="5"/>
        <v>1</v>
      </c>
      <c r="I86" s="209" t="s">
        <v>285</v>
      </c>
      <c r="J86" s="210"/>
      <c r="K86" s="210"/>
      <c r="L86" s="230">
        <v>0</v>
      </c>
      <c r="M86" s="231">
        <v>1753842</v>
      </c>
      <c r="N86" s="295">
        <f>'Clover Park'!H53</f>
        <v>0</v>
      </c>
      <c r="O86" s="295">
        <f>GETPIVOTDATA("Sum of Amount",$I$2,"OrgName","Clover Park Technical College")-N86</f>
        <v>1753842</v>
      </c>
    </row>
    <row r="87" spans="1:15">
      <c r="A87" s="209" t="s">
        <v>78</v>
      </c>
      <c r="B87" s="209" t="s">
        <v>240</v>
      </c>
      <c r="C87" s="209" t="s">
        <v>358</v>
      </c>
      <c r="D87" s="218">
        <v>226736</v>
      </c>
      <c r="E87" s="219">
        <v>226736</v>
      </c>
      <c r="F87" s="292">
        <f t="shared" si="3"/>
        <v>-1527106</v>
      </c>
      <c r="G87" s="288" t="b">
        <f t="shared" si="4"/>
        <v>1</v>
      </c>
      <c r="H87" s="288" t="b">
        <f t="shared" si="5"/>
        <v>1</v>
      </c>
      <c r="I87" s="209" t="s">
        <v>78</v>
      </c>
      <c r="J87" s="209" t="s">
        <v>240</v>
      </c>
      <c r="K87" s="209" t="s">
        <v>358</v>
      </c>
      <c r="L87" s="230">
        <v>0</v>
      </c>
      <c r="M87" s="231">
        <v>226736</v>
      </c>
    </row>
    <row r="88" spans="1:15">
      <c r="A88" s="212"/>
      <c r="B88" s="209" t="s">
        <v>497</v>
      </c>
      <c r="C88" s="209" t="s">
        <v>559</v>
      </c>
      <c r="D88" s="218">
        <v>5563</v>
      </c>
      <c r="E88" s="219">
        <v>5563</v>
      </c>
      <c r="F88" s="292">
        <f t="shared" si="3"/>
        <v>-221173</v>
      </c>
      <c r="G88" s="288" t="b">
        <f t="shared" si="4"/>
        <v>1</v>
      </c>
      <c r="H88" s="288" t="b">
        <f t="shared" si="5"/>
        <v>1</v>
      </c>
      <c r="I88" s="212"/>
      <c r="J88" s="209" t="s">
        <v>497</v>
      </c>
      <c r="K88" s="209" t="s">
        <v>559</v>
      </c>
      <c r="L88" s="230">
        <v>0</v>
      </c>
      <c r="M88" s="231">
        <v>5563</v>
      </c>
      <c r="N88" s="298"/>
    </row>
    <row r="89" spans="1:15">
      <c r="A89" s="212"/>
      <c r="B89" s="209" t="s">
        <v>498</v>
      </c>
      <c r="C89" s="209" t="s">
        <v>560</v>
      </c>
      <c r="D89" s="218">
        <v>168727</v>
      </c>
      <c r="E89" s="219">
        <v>168727</v>
      </c>
      <c r="F89" s="292">
        <f t="shared" si="3"/>
        <v>163164</v>
      </c>
      <c r="G89" s="288" t="b">
        <f t="shared" si="4"/>
        <v>1</v>
      </c>
      <c r="H89" s="288" t="b">
        <f t="shared" si="5"/>
        <v>1</v>
      </c>
      <c r="I89" s="212"/>
      <c r="J89" s="209" t="s">
        <v>498</v>
      </c>
      <c r="K89" s="209" t="s">
        <v>560</v>
      </c>
      <c r="L89" s="230">
        <v>0</v>
      </c>
      <c r="M89" s="231">
        <v>168727</v>
      </c>
      <c r="N89" s="298"/>
    </row>
    <row r="90" spans="1:15">
      <c r="A90" s="212"/>
      <c r="B90" s="209" t="s">
        <v>505</v>
      </c>
      <c r="C90" s="209" t="s">
        <v>561</v>
      </c>
      <c r="D90" s="218">
        <v>37982</v>
      </c>
      <c r="E90" s="219">
        <v>37982</v>
      </c>
      <c r="F90" s="292">
        <f t="shared" si="3"/>
        <v>-130745</v>
      </c>
      <c r="G90" s="288" t="b">
        <f t="shared" si="4"/>
        <v>1</v>
      </c>
      <c r="H90" s="288" t="b">
        <f t="shared" si="5"/>
        <v>1</v>
      </c>
      <c r="I90" s="212"/>
      <c r="J90" s="209" t="s">
        <v>505</v>
      </c>
      <c r="K90" s="209" t="s">
        <v>561</v>
      </c>
      <c r="L90" s="230">
        <v>0</v>
      </c>
      <c r="M90" s="231">
        <v>37982</v>
      </c>
      <c r="N90" s="298"/>
    </row>
    <row r="91" spans="1:15">
      <c r="A91" s="212"/>
      <c r="B91" s="209" t="s">
        <v>231</v>
      </c>
      <c r="C91" s="209" t="s">
        <v>562</v>
      </c>
      <c r="D91" s="218">
        <v>281246</v>
      </c>
      <c r="E91" s="219">
        <v>281246</v>
      </c>
      <c r="F91" s="292">
        <f t="shared" si="3"/>
        <v>243264</v>
      </c>
      <c r="G91" s="288" t="b">
        <f t="shared" si="4"/>
        <v>1</v>
      </c>
      <c r="H91" s="288" t="b">
        <f t="shared" si="5"/>
        <v>1</v>
      </c>
      <c r="I91" s="212"/>
      <c r="J91" s="209" t="s">
        <v>231</v>
      </c>
      <c r="K91" s="209" t="s">
        <v>562</v>
      </c>
      <c r="L91" s="230">
        <v>0</v>
      </c>
      <c r="M91" s="231">
        <v>281246</v>
      </c>
      <c r="N91" s="298"/>
    </row>
    <row r="92" spans="1:15">
      <c r="A92" s="212"/>
      <c r="B92" s="209" t="s">
        <v>506</v>
      </c>
      <c r="C92" s="209" t="s">
        <v>563</v>
      </c>
      <c r="D92" s="218">
        <v>51235</v>
      </c>
      <c r="E92" s="219">
        <v>51235</v>
      </c>
      <c r="F92" s="292">
        <f t="shared" si="3"/>
        <v>-230011</v>
      </c>
      <c r="G92" s="288" t="b">
        <f t="shared" si="4"/>
        <v>1</v>
      </c>
      <c r="H92" s="288" t="b">
        <f t="shared" si="5"/>
        <v>1</v>
      </c>
      <c r="I92" s="212"/>
      <c r="J92" s="209" t="s">
        <v>506</v>
      </c>
      <c r="K92" s="209" t="s">
        <v>563</v>
      </c>
      <c r="L92" s="230">
        <v>0</v>
      </c>
      <c r="M92" s="231">
        <v>51235</v>
      </c>
      <c r="N92" s="298"/>
    </row>
    <row r="93" spans="1:15">
      <c r="A93" s="212"/>
      <c r="B93" s="209" t="s">
        <v>232</v>
      </c>
      <c r="C93" s="209" t="s">
        <v>564</v>
      </c>
      <c r="D93" s="218">
        <v>224913</v>
      </c>
      <c r="E93" s="219">
        <v>224913</v>
      </c>
      <c r="F93" s="292">
        <f t="shared" si="3"/>
        <v>173678</v>
      </c>
      <c r="G93" s="288" t="b">
        <f t="shared" si="4"/>
        <v>1</v>
      </c>
      <c r="H93" s="288" t="b">
        <f t="shared" si="5"/>
        <v>1</v>
      </c>
      <c r="I93" s="212"/>
      <c r="J93" s="209" t="s">
        <v>232</v>
      </c>
      <c r="K93" s="209" t="s">
        <v>564</v>
      </c>
      <c r="L93" s="230">
        <v>0</v>
      </c>
      <c r="M93" s="231">
        <v>224913</v>
      </c>
      <c r="N93" s="298"/>
    </row>
    <row r="94" spans="1:15">
      <c r="A94" s="209" t="s">
        <v>286</v>
      </c>
      <c r="B94" s="210"/>
      <c r="C94" s="210"/>
      <c r="D94" s="218">
        <v>996402</v>
      </c>
      <c r="E94" s="219">
        <v>996402</v>
      </c>
      <c r="F94" s="292">
        <f t="shared" si="3"/>
        <v>771489</v>
      </c>
      <c r="G94" s="288" t="b">
        <f t="shared" si="4"/>
        <v>1</v>
      </c>
      <c r="H94" s="288" t="b">
        <f t="shared" si="5"/>
        <v>1</v>
      </c>
      <c r="I94" s="209" t="s">
        <v>286</v>
      </c>
      <c r="J94" s="210"/>
      <c r="K94" s="210"/>
      <c r="L94" s="230">
        <v>0</v>
      </c>
      <c r="M94" s="231">
        <v>996402</v>
      </c>
      <c r="N94" s="298"/>
    </row>
    <row r="95" spans="1:15">
      <c r="A95" s="209" t="s">
        <v>79</v>
      </c>
      <c r="B95" s="209" t="s">
        <v>240</v>
      </c>
      <c r="C95" s="209" t="s">
        <v>360</v>
      </c>
      <c r="D95" s="218">
        <v>540105</v>
      </c>
      <c r="E95" s="219">
        <v>540105</v>
      </c>
      <c r="F95" s="292">
        <f t="shared" si="3"/>
        <v>-456297</v>
      </c>
      <c r="G95" s="288" t="b">
        <f t="shared" si="4"/>
        <v>1</v>
      </c>
      <c r="H95" s="288" t="b">
        <f t="shared" si="5"/>
        <v>1</v>
      </c>
      <c r="I95" s="209" t="s">
        <v>79</v>
      </c>
      <c r="J95" s="209" t="s">
        <v>240</v>
      </c>
      <c r="K95" s="209" t="s">
        <v>360</v>
      </c>
      <c r="L95" s="230">
        <v>0</v>
      </c>
      <c r="M95" s="231">
        <v>540105</v>
      </c>
      <c r="N95" s="298"/>
    </row>
    <row r="96" spans="1:15">
      <c r="A96" s="212"/>
      <c r="B96" s="209" t="s">
        <v>497</v>
      </c>
      <c r="C96" s="209" t="s">
        <v>565</v>
      </c>
      <c r="D96" s="218">
        <v>6588</v>
      </c>
      <c r="E96" s="219">
        <v>6588</v>
      </c>
      <c r="F96" s="292">
        <f t="shared" si="3"/>
        <v>-533517</v>
      </c>
      <c r="G96" s="288" t="b">
        <f t="shared" si="4"/>
        <v>1</v>
      </c>
      <c r="H96" s="288" t="b">
        <f t="shared" si="5"/>
        <v>1</v>
      </c>
      <c r="I96" s="212"/>
      <c r="J96" s="209" t="s">
        <v>497</v>
      </c>
      <c r="K96" s="209" t="s">
        <v>565</v>
      </c>
      <c r="L96" s="230">
        <v>0</v>
      </c>
      <c r="M96" s="231">
        <v>6588</v>
      </c>
      <c r="N96" s="298"/>
    </row>
    <row r="97" spans="1:15">
      <c r="A97" s="212"/>
      <c r="B97" s="209" t="s">
        <v>498</v>
      </c>
      <c r="C97" s="209" t="s">
        <v>566</v>
      </c>
      <c r="D97" s="218">
        <v>247247</v>
      </c>
      <c r="E97" s="219">
        <v>247247</v>
      </c>
      <c r="F97" s="292">
        <f t="shared" si="3"/>
        <v>240659</v>
      </c>
      <c r="G97" s="288" t="b">
        <f t="shared" si="4"/>
        <v>1</v>
      </c>
      <c r="H97" s="288" t="b">
        <f t="shared" si="5"/>
        <v>1</v>
      </c>
      <c r="I97" s="212"/>
      <c r="J97" s="209" t="s">
        <v>498</v>
      </c>
      <c r="K97" s="209" t="s">
        <v>566</v>
      </c>
      <c r="L97" s="230">
        <v>0</v>
      </c>
      <c r="M97" s="231">
        <v>247247</v>
      </c>
      <c r="N97" s="298"/>
    </row>
    <row r="98" spans="1:15">
      <c r="A98" s="212"/>
      <c r="B98" s="209" t="s">
        <v>505</v>
      </c>
      <c r="C98" s="209" t="s">
        <v>567</v>
      </c>
      <c r="D98" s="218">
        <v>60555</v>
      </c>
      <c r="E98" s="219">
        <v>60555</v>
      </c>
      <c r="F98" s="292">
        <f t="shared" si="3"/>
        <v>-186692</v>
      </c>
      <c r="G98" s="288" t="b">
        <f t="shared" si="4"/>
        <v>1</v>
      </c>
      <c r="H98" s="288" t="b">
        <f t="shared" si="5"/>
        <v>1</v>
      </c>
      <c r="I98" s="212"/>
      <c r="J98" s="209" t="s">
        <v>505</v>
      </c>
      <c r="K98" s="209" t="s">
        <v>567</v>
      </c>
      <c r="L98" s="230">
        <v>0</v>
      </c>
      <c r="M98" s="231">
        <v>60555</v>
      </c>
      <c r="N98" s="299"/>
      <c r="O98" s="295"/>
    </row>
    <row r="99" spans="1:15">
      <c r="A99" s="212"/>
      <c r="B99" s="209" t="s">
        <v>267</v>
      </c>
      <c r="C99" s="209" t="s">
        <v>568</v>
      </c>
      <c r="D99" s="218">
        <v>1485308</v>
      </c>
      <c r="E99" s="219">
        <v>1485308</v>
      </c>
      <c r="F99" s="292">
        <f t="shared" si="3"/>
        <v>1424753</v>
      </c>
      <c r="G99" s="288" t="b">
        <f t="shared" si="4"/>
        <v>1</v>
      </c>
      <c r="H99" s="288" t="b">
        <f t="shared" si="5"/>
        <v>1</v>
      </c>
      <c r="I99" s="212"/>
      <c r="J99" s="209" t="s">
        <v>267</v>
      </c>
      <c r="K99" s="209" t="s">
        <v>568</v>
      </c>
      <c r="L99" s="230">
        <v>0</v>
      </c>
      <c r="M99" s="231">
        <v>1485308</v>
      </c>
      <c r="N99" s="298"/>
    </row>
    <row r="100" spans="1:15">
      <c r="A100" s="212"/>
      <c r="B100" s="209" t="s">
        <v>241</v>
      </c>
      <c r="C100" s="209" t="s">
        <v>569</v>
      </c>
      <c r="D100" s="218">
        <v>45300</v>
      </c>
      <c r="E100" s="219">
        <v>45300</v>
      </c>
      <c r="F100" s="292">
        <f t="shared" si="3"/>
        <v>-1440008</v>
      </c>
      <c r="G100" s="288" t="b">
        <f t="shared" si="4"/>
        <v>1</v>
      </c>
      <c r="H100" s="288" t="b">
        <f t="shared" si="5"/>
        <v>1</v>
      </c>
      <c r="I100" s="212"/>
      <c r="J100" s="209" t="s">
        <v>241</v>
      </c>
      <c r="K100" s="209" t="s">
        <v>569</v>
      </c>
      <c r="L100" s="230">
        <v>0</v>
      </c>
      <c r="M100" s="231">
        <v>45300</v>
      </c>
      <c r="N100" s="298"/>
    </row>
    <row r="101" spans="1:15">
      <c r="A101" s="212"/>
      <c r="B101" s="209" t="s">
        <v>242</v>
      </c>
      <c r="C101" s="209" t="s">
        <v>361</v>
      </c>
      <c r="D101" s="218">
        <v>95435</v>
      </c>
      <c r="E101" s="219">
        <v>95435</v>
      </c>
      <c r="F101" s="292">
        <f t="shared" si="3"/>
        <v>50135</v>
      </c>
      <c r="G101" s="288" t="b">
        <f t="shared" si="4"/>
        <v>1</v>
      </c>
      <c r="H101" s="288" t="b">
        <f t="shared" si="5"/>
        <v>1</v>
      </c>
      <c r="I101" s="212"/>
      <c r="J101" s="209" t="s">
        <v>242</v>
      </c>
      <c r="K101" s="209" t="s">
        <v>361</v>
      </c>
      <c r="L101" s="230">
        <v>0</v>
      </c>
      <c r="M101" s="231">
        <v>95435</v>
      </c>
      <c r="N101" s="298"/>
    </row>
    <row r="102" spans="1:15">
      <c r="A102" s="212"/>
      <c r="B102" s="209" t="s">
        <v>244</v>
      </c>
      <c r="C102" s="209" t="s">
        <v>570</v>
      </c>
      <c r="D102" s="218">
        <v>191333</v>
      </c>
      <c r="E102" s="219">
        <v>191333</v>
      </c>
      <c r="F102" s="292">
        <f t="shared" si="3"/>
        <v>95898</v>
      </c>
      <c r="G102" s="288" t="b">
        <f t="shared" si="4"/>
        <v>1</v>
      </c>
      <c r="H102" s="288" t="b">
        <f t="shared" si="5"/>
        <v>1</v>
      </c>
      <c r="I102" s="212"/>
      <c r="J102" s="209" t="s">
        <v>244</v>
      </c>
      <c r="K102" s="209" t="s">
        <v>570</v>
      </c>
      <c r="L102" s="230">
        <v>0</v>
      </c>
      <c r="M102" s="231">
        <v>191333</v>
      </c>
      <c r="N102" s="298"/>
    </row>
    <row r="103" spans="1:15">
      <c r="A103" s="212"/>
      <c r="B103" s="209" t="s">
        <v>233</v>
      </c>
      <c r="C103" s="209" t="s">
        <v>571</v>
      </c>
      <c r="D103" s="218">
        <v>16000</v>
      </c>
      <c r="E103" s="219">
        <v>16000</v>
      </c>
      <c r="F103" s="292">
        <f t="shared" si="3"/>
        <v>-175333</v>
      </c>
      <c r="G103" s="288" t="b">
        <f t="shared" si="4"/>
        <v>1</v>
      </c>
      <c r="H103" s="288" t="b">
        <f t="shared" si="5"/>
        <v>1</v>
      </c>
      <c r="I103" s="212"/>
      <c r="J103" s="209" t="s">
        <v>233</v>
      </c>
      <c r="K103" s="209" t="s">
        <v>571</v>
      </c>
      <c r="L103" s="230">
        <v>0</v>
      </c>
      <c r="M103" s="231">
        <v>16000</v>
      </c>
    </row>
    <row r="104" spans="1:15">
      <c r="A104" s="212"/>
      <c r="B104" s="209" t="s">
        <v>231</v>
      </c>
      <c r="C104" s="209" t="s">
        <v>572</v>
      </c>
      <c r="D104" s="218">
        <v>250030</v>
      </c>
      <c r="E104" s="219">
        <v>250030</v>
      </c>
      <c r="F104" s="292">
        <f t="shared" si="3"/>
        <v>234030</v>
      </c>
      <c r="G104" s="288" t="b">
        <f t="shared" si="4"/>
        <v>1</v>
      </c>
      <c r="H104" s="288" t="b">
        <f t="shared" si="5"/>
        <v>1</v>
      </c>
      <c r="I104" s="212"/>
      <c r="J104" s="209" t="s">
        <v>231</v>
      </c>
      <c r="K104" s="209" t="s">
        <v>572</v>
      </c>
      <c r="L104" s="230">
        <v>0</v>
      </c>
      <c r="M104" s="231">
        <v>250030</v>
      </c>
    </row>
    <row r="105" spans="1:15">
      <c r="A105" s="212"/>
      <c r="B105" s="209" t="s">
        <v>232</v>
      </c>
      <c r="C105" s="209" t="s">
        <v>573</v>
      </c>
      <c r="D105" s="218">
        <v>477982</v>
      </c>
      <c r="E105" s="219">
        <v>477982</v>
      </c>
      <c r="F105" s="292">
        <f t="shared" si="3"/>
        <v>227952</v>
      </c>
      <c r="G105" s="288" t="b">
        <f t="shared" si="4"/>
        <v>1</v>
      </c>
      <c r="H105" s="288" t="b">
        <f t="shared" si="5"/>
        <v>1</v>
      </c>
      <c r="I105" s="212"/>
      <c r="J105" s="209" t="s">
        <v>232</v>
      </c>
      <c r="K105" s="209" t="s">
        <v>573</v>
      </c>
      <c r="L105" s="230">
        <v>0</v>
      </c>
      <c r="M105" s="231">
        <v>477982</v>
      </c>
    </row>
    <row r="106" spans="1:15">
      <c r="A106" s="209" t="s">
        <v>287</v>
      </c>
      <c r="B106" s="210"/>
      <c r="C106" s="210"/>
      <c r="D106" s="218">
        <v>3415883</v>
      </c>
      <c r="E106" s="219">
        <v>3415883</v>
      </c>
      <c r="F106" s="292">
        <f t="shared" si="3"/>
        <v>2937901</v>
      </c>
      <c r="G106" s="288" t="b">
        <f t="shared" si="4"/>
        <v>1</v>
      </c>
      <c r="H106" s="288" t="b">
        <f t="shared" si="5"/>
        <v>1</v>
      </c>
      <c r="I106" s="209" t="s">
        <v>287</v>
      </c>
      <c r="J106" s="210"/>
      <c r="K106" s="210"/>
      <c r="L106" s="230">
        <v>0</v>
      </c>
      <c r="M106" s="231">
        <v>3415883</v>
      </c>
      <c r="N106" s="295">
        <f>Edmonds!H60</f>
        <v>0</v>
      </c>
      <c r="O106" s="295">
        <f>GETPIVOTDATA("Sum of Amount",$I$2,"OrgName","Edmonds Community College")-N106</f>
        <v>3415883</v>
      </c>
    </row>
    <row r="107" spans="1:15">
      <c r="A107" s="209" t="s">
        <v>92</v>
      </c>
      <c r="B107" s="209" t="s">
        <v>240</v>
      </c>
      <c r="C107" s="209" t="s">
        <v>362</v>
      </c>
      <c r="D107" s="218">
        <v>317865</v>
      </c>
      <c r="E107" s="219">
        <v>317865</v>
      </c>
      <c r="F107" s="292">
        <f t="shared" si="3"/>
        <v>-3098018</v>
      </c>
      <c r="G107" s="288" t="b">
        <f t="shared" si="4"/>
        <v>1</v>
      </c>
      <c r="H107" s="288" t="b">
        <f t="shared" si="5"/>
        <v>1</v>
      </c>
      <c r="I107" s="209" t="s">
        <v>92</v>
      </c>
      <c r="J107" s="209" t="s">
        <v>240</v>
      </c>
      <c r="K107" s="209" t="s">
        <v>362</v>
      </c>
      <c r="L107" s="230">
        <v>0</v>
      </c>
      <c r="M107" s="231">
        <v>317865</v>
      </c>
    </row>
    <row r="108" spans="1:15">
      <c r="A108" s="212"/>
      <c r="B108" s="209" t="s">
        <v>497</v>
      </c>
      <c r="C108" s="209" t="s">
        <v>574</v>
      </c>
      <c r="D108" s="218">
        <v>5563</v>
      </c>
      <c r="E108" s="219">
        <v>5563</v>
      </c>
      <c r="F108" s="292">
        <f t="shared" si="3"/>
        <v>-312302</v>
      </c>
      <c r="G108" s="288" t="b">
        <f t="shared" si="4"/>
        <v>1</v>
      </c>
      <c r="H108" s="288" t="b">
        <f t="shared" si="5"/>
        <v>1</v>
      </c>
      <c r="I108" s="212"/>
      <c r="J108" s="209" t="s">
        <v>497</v>
      </c>
      <c r="K108" s="209" t="s">
        <v>574</v>
      </c>
      <c r="L108" s="230">
        <v>0</v>
      </c>
      <c r="M108" s="231">
        <v>5563</v>
      </c>
      <c r="N108" s="295"/>
      <c r="O108" s="295"/>
    </row>
    <row r="109" spans="1:15">
      <c r="A109" s="212"/>
      <c r="B109" s="209" t="s">
        <v>498</v>
      </c>
      <c r="C109" s="209" t="s">
        <v>575</v>
      </c>
      <c r="D109" s="218">
        <v>199948</v>
      </c>
      <c r="E109" s="219">
        <v>199948</v>
      </c>
      <c r="F109" s="292">
        <f t="shared" si="3"/>
        <v>194385</v>
      </c>
      <c r="G109" s="288" t="b">
        <f t="shared" si="4"/>
        <v>1</v>
      </c>
      <c r="H109" s="288" t="b">
        <f t="shared" si="5"/>
        <v>1</v>
      </c>
      <c r="I109" s="212"/>
      <c r="J109" s="209" t="s">
        <v>498</v>
      </c>
      <c r="K109" s="209" t="s">
        <v>575</v>
      </c>
      <c r="L109" s="230">
        <v>0</v>
      </c>
      <c r="M109" s="231">
        <v>199948</v>
      </c>
    </row>
    <row r="110" spans="1:15">
      <c r="A110" s="212"/>
      <c r="B110" s="209" t="s">
        <v>505</v>
      </c>
      <c r="C110" s="209" t="s">
        <v>576</v>
      </c>
      <c r="D110" s="218">
        <v>46468</v>
      </c>
      <c r="E110" s="219">
        <v>46468</v>
      </c>
      <c r="F110" s="292">
        <f t="shared" si="3"/>
        <v>-153480</v>
      </c>
      <c r="G110" s="288" t="b">
        <f t="shared" si="4"/>
        <v>1</v>
      </c>
      <c r="H110" s="288" t="b">
        <f t="shared" si="5"/>
        <v>1</v>
      </c>
      <c r="I110" s="212"/>
      <c r="J110" s="209" t="s">
        <v>505</v>
      </c>
      <c r="K110" s="209" t="s">
        <v>576</v>
      </c>
      <c r="L110" s="230">
        <v>0</v>
      </c>
      <c r="M110" s="231">
        <v>46468</v>
      </c>
    </row>
    <row r="111" spans="1:15">
      <c r="A111" s="212"/>
      <c r="B111" s="209" t="s">
        <v>241</v>
      </c>
      <c r="C111" s="209" t="s">
        <v>577</v>
      </c>
      <c r="D111" s="218">
        <v>15100</v>
      </c>
      <c r="E111" s="219">
        <v>15100</v>
      </c>
      <c r="F111" s="292">
        <f t="shared" si="3"/>
        <v>-31368</v>
      </c>
      <c r="G111" s="288" t="b">
        <f t="shared" si="4"/>
        <v>1</v>
      </c>
      <c r="H111" s="288" t="b">
        <f t="shared" si="5"/>
        <v>1</v>
      </c>
      <c r="I111" s="212"/>
      <c r="J111" s="209" t="s">
        <v>241</v>
      </c>
      <c r="K111" s="209" t="s">
        <v>577</v>
      </c>
      <c r="L111" s="230">
        <v>0</v>
      </c>
      <c r="M111" s="231">
        <v>15100</v>
      </c>
    </row>
    <row r="112" spans="1:15">
      <c r="A112" s="212"/>
      <c r="B112" s="209" t="s">
        <v>235</v>
      </c>
      <c r="C112" s="209" t="s">
        <v>578</v>
      </c>
      <c r="D112" s="218">
        <v>5000</v>
      </c>
      <c r="E112" s="219">
        <v>5000</v>
      </c>
      <c r="F112" s="292">
        <f t="shared" si="3"/>
        <v>-10100</v>
      </c>
      <c r="G112" s="288" t="b">
        <f t="shared" si="4"/>
        <v>1</v>
      </c>
      <c r="H112" s="288" t="b">
        <f t="shared" si="5"/>
        <v>1</v>
      </c>
      <c r="I112" s="212"/>
      <c r="J112" s="209" t="s">
        <v>235</v>
      </c>
      <c r="K112" s="209" t="s">
        <v>578</v>
      </c>
      <c r="L112" s="230">
        <v>0</v>
      </c>
      <c r="M112" s="231">
        <v>5000</v>
      </c>
    </row>
    <row r="113" spans="1:15">
      <c r="A113" s="212"/>
      <c r="B113" s="212"/>
      <c r="C113" s="214" t="s">
        <v>579</v>
      </c>
      <c r="D113" s="220">
        <v>5000</v>
      </c>
      <c r="E113" s="221">
        <v>5000</v>
      </c>
      <c r="F113" s="292">
        <f t="shared" si="3"/>
        <v>0</v>
      </c>
      <c r="G113" s="288" t="b">
        <f t="shared" si="4"/>
        <v>1</v>
      </c>
      <c r="H113" s="288" t="b">
        <f t="shared" si="5"/>
        <v>1</v>
      </c>
      <c r="I113" s="212"/>
      <c r="J113" s="212"/>
      <c r="K113" s="214" t="s">
        <v>579</v>
      </c>
      <c r="L113" s="232">
        <v>0</v>
      </c>
      <c r="M113" s="233">
        <v>5000</v>
      </c>
    </row>
    <row r="114" spans="1:15">
      <c r="A114" s="212"/>
      <c r="B114" s="209" t="s">
        <v>233</v>
      </c>
      <c r="C114" s="209" t="s">
        <v>580</v>
      </c>
      <c r="D114" s="218">
        <v>16000</v>
      </c>
      <c r="E114" s="219">
        <v>16000</v>
      </c>
      <c r="F114" s="292">
        <f t="shared" si="3"/>
        <v>11000</v>
      </c>
      <c r="G114" s="288" t="b">
        <f t="shared" si="4"/>
        <v>1</v>
      </c>
      <c r="H114" s="288" t="b">
        <f t="shared" si="5"/>
        <v>1</v>
      </c>
      <c r="I114" s="212"/>
      <c r="J114" s="209" t="s">
        <v>233</v>
      </c>
      <c r="K114" s="209" t="s">
        <v>580</v>
      </c>
      <c r="L114" s="230">
        <v>0</v>
      </c>
      <c r="M114" s="231">
        <v>16000</v>
      </c>
    </row>
    <row r="115" spans="1:15">
      <c r="A115" s="212"/>
      <c r="B115" s="209" t="s">
        <v>359</v>
      </c>
      <c r="C115" s="209" t="s">
        <v>581</v>
      </c>
      <c r="D115" s="218">
        <v>5000</v>
      </c>
      <c r="E115" s="219">
        <v>5000</v>
      </c>
      <c r="F115" s="292">
        <f t="shared" si="3"/>
        <v>-11000</v>
      </c>
      <c r="G115" s="288" t="b">
        <f t="shared" si="4"/>
        <v>1</v>
      </c>
      <c r="H115" s="288" t="b">
        <f t="shared" si="5"/>
        <v>1</v>
      </c>
      <c r="I115" s="212"/>
      <c r="J115" s="209" t="s">
        <v>359</v>
      </c>
      <c r="K115" s="209" t="s">
        <v>581</v>
      </c>
      <c r="L115" s="230">
        <v>0</v>
      </c>
      <c r="M115" s="231">
        <v>5000</v>
      </c>
    </row>
    <row r="116" spans="1:15">
      <c r="A116" s="212"/>
      <c r="B116" s="209" t="s">
        <v>231</v>
      </c>
      <c r="C116" s="209" t="s">
        <v>582</v>
      </c>
      <c r="D116" s="218">
        <v>293541</v>
      </c>
      <c r="E116" s="219">
        <v>293541</v>
      </c>
      <c r="F116" s="292">
        <f t="shared" si="3"/>
        <v>288541</v>
      </c>
      <c r="G116" s="288" t="b">
        <f t="shared" si="4"/>
        <v>1</v>
      </c>
      <c r="H116" s="288" t="b">
        <f t="shared" si="5"/>
        <v>1</v>
      </c>
      <c r="I116" s="212"/>
      <c r="J116" s="209" t="s">
        <v>231</v>
      </c>
      <c r="K116" s="209" t="s">
        <v>582</v>
      </c>
      <c r="L116" s="230">
        <v>0</v>
      </c>
      <c r="M116" s="231">
        <v>293541</v>
      </c>
    </row>
    <row r="117" spans="1:15">
      <c r="A117" s="212"/>
      <c r="B117" s="209" t="s">
        <v>506</v>
      </c>
      <c r="C117" s="209" t="s">
        <v>583</v>
      </c>
      <c r="D117" s="218">
        <v>51235</v>
      </c>
      <c r="E117" s="219">
        <v>51235</v>
      </c>
      <c r="F117" s="292">
        <f t="shared" si="3"/>
        <v>-242306</v>
      </c>
      <c r="G117" s="288" t="b">
        <f t="shared" si="4"/>
        <v>1</v>
      </c>
      <c r="H117" s="288" t="b">
        <f t="shared" si="5"/>
        <v>1</v>
      </c>
      <c r="I117" s="212"/>
      <c r="J117" s="209" t="s">
        <v>506</v>
      </c>
      <c r="K117" s="209" t="s">
        <v>583</v>
      </c>
      <c r="L117" s="230">
        <v>0</v>
      </c>
      <c r="M117" s="231">
        <v>51235</v>
      </c>
    </row>
    <row r="118" spans="1:15">
      <c r="A118" s="212"/>
      <c r="B118" s="209" t="s">
        <v>232</v>
      </c>
      <c r="C118" s="209" t="s">
        <v>584</v>
      </c>
      <c r="D118" s="218">
        <v>501899</v>
      </c>
      <c r="E118" s="219">
        <v>501899</v>
      </c>
      <c r="F118" s="292">
        <f t="shared" si="3"/>
        <v>450664</v>
      </c>
      <c r="G118" s="288" t="b">
        <f t="shared" si="4"/>
        <v>1</v>
      </c>
      <c r="H118" s="288" t="b">
        <f t="shared" si="5"/>
        <v>1</v>
      </c>
      <c r="I118" s="212"/>
      <c r="J118" s="209" t="s">
        <v>232</v>
      </c>
      <c r="K118" s="209" t="s">
        <v>584</v>
      </c>
      <c r="L118" s="230">
        <v>0</v>
      </c>
      <c r="M118" s="231">
        <v>501899</v>
      </c>
    </row>
    <row r="119" spans="1:15">
      <c r="A119" s="209" t="s">
        <v>288</v>
      </c>
      <c r="B119" s="210"/>
      <c r="C119" s="210"/>
      <c r="D119" s="218">
        <v>1462619</v>
      </c>
      <c r="E119" s="219">
        <v>1462619</v>
      </c>
      <c r="F119" s="292">
        <f t="shared" si="3"/>
        <v>960720</v>
      </c>
      <c r="G119" s="288" t="b">
        <f t="shared" si="4"/>
        <v>1</v>
      </c>
      <c r="H119" s="288" t="b">
        <f t="shared" si="5"/>
        <v>1</v>
      </c>
      <c r="I119" s="209" t="s">
        <v>288</v>
      </c>
      <c r="J119" s="210"/>
      <c r="K119" s="210"/>
      <c r="L119" s="230">
        <v>0</v>
      </c>
      <c r="M119" s="231">
        <v>1462619</v>
      </c>
      <c r="N119" s="295">
        <f>Everett!H62</f>
        <v>0</v>
      </c>
      <c r="O119" s="295">
        <f>GETPIVOTDATA("Sum of Amount",$I$2,"OrgName","Everett Community College")-N119</f>
        <v>1462619</v>
      </c>
    </row>
    <row r="120" spans="1:15">
      <c r="A120" s="209" t="s">
        <v>93</v>
      </c>
      <c r="B120" s="209" t="s">
        <v>240</v>
      </c>
      <c r="C120" s="209" t="s">
        <v>363</v>
      </c>
      <c r="D120" s="218">
        <v>221442</v>
      </c>
      <c r="E120" s="219">
        <v>221442</v>
      </c>
      <c r="F120" s="292">
        <f t="shared" si="3"/>
        <v>-1241177</v>
      </c>
      <c r="G120" s="288" t="b">
        <f t="shared" si="4"/>
        <v>1</v>
      </c>
      <c r="H120" s="288" t="b">
        <f t="shared" si="5"/>
        <v>1</v>
      </c>
      <c r="I120" s="209" t="s">
        <v>93</v>
      </c>
      <c r="J120" s="209" t="s">
        <v>240</v>
      </c>
      <c r="K120" s="209" t="s">
        <v>363</v>
      </c>
      <c r="L120" s="230">
        <v>0</v>
      </c>
      <c r="M120" s="231">
        <v>221442</v>
      </c>
    </row>
    <row r="121" spans="1:15">
      <c r="A121" s="212"/>
      <c r="B121" s="209" t="s">
        <v>498</v>
      </c>
      <c r="C121" s="209" t="s">
        <v>585</v>
      </c>
      <c r="D121" s="218">
        <v>115011</v>
      </c>
      <c r="E121" s="219">
        <v>115011</v>
      </c>
      <c r="F121" s="292">
        <f t="shared" si="3"/>
        <v>-106431</v>
      </c>
      <c r="G121" s="288" t="b">
        <f t="shared" si="4"/>
        <v>1</v>
      </c>
      <c r="H121" s="288" t="b">
        <f t="shared" si="5"/>
        <v>1</v>
      </c>
      <c r="I121" s="212"/>
      <c r="J121" s="209" t="s">
        <v>498</v>
      </c>
      <c r="K121" s="209" t="s">
        <v>585</v>
      </c>
      <c r="L121" s="230">
        <v>0</v>
      </c>
      <c r="M121" s="231">
        <v>115011</v>
      </c>
      <c r="N121" s="340"/>
      <c r="O121" s="295"/>
    </row>
    <row r="122" spans="1:15">
      <c r="A122" s="212"/>
      <c r="B122" s="209" t="s">
        <v>505</v>
      </c>
      <c r="C122" s="209" t="s">
        <v>586</v>
      </c>
      <c r="D122" s="218">
        <v>22866</v>
      </c>
      <c r="E122" s="219">
        <v>22866</v>
      </c>
      <c r="F122" s="292">
        <f t="shared" si="3"/>
        <v>-92145</v>
      </c>
      <c r="G122" s="288" t="b">
        <f t="shared" si="4"/>
        <v>1</v>
      </c>
      <c r="H122" s="288" t="b">
        <f t="shared" si="5"/>
        <v>1</v>
      </c>
      <c r="I122" s="212"/>
      <c r="J122" s="209" t="s">
        <v>505</v>
      </c>
      <c r="K122" s="209" t="s">
        <v>586</v>
      </c>
      <c r="L122" s="230">
        <v>0</v>
      </c>
      <c r="M122" s="231">
        <v>22866</v>
      </c>
    </row>
    <row r="123" spans="1:15">
      <c r="A123" s="212"/>
      <c r="B123" s="209" t="s">
        <v>412</v>
      </c>
      <c r="C123" s="209" t="s">
        <v>416</v>
      </c>
      <c r="D123" s="218">
        <v>60000</v>
      </c>
      <c r="E123" s="219">
        <v>60000</v>
      </c>
      <c r="F123" s="292">
        <f t="shared" si="3"/>
        <v>37134</v>
      </c>
      <c r="G123" s="288" t="b">
        <f t="shared" si="4"/>
        <v>1</v>
      </c>
      <c r="H123" s="288" t="b">
        <f t="shared" si="5"/>
        <v>1</v>
      </c>
      <c r="I123" s="212"/>
      <c r="J123" s="209" t="s">
        <v>412</v>
      </c>
      <c r="K123" s="209" t="s">
        <v>416</v>
      </c>
      <c r="L123" s="230">
        <v>0</v>
      </c>
      <c r="M123" s="231">
        <v>60000</v>
      </c>
    </row>
    <row r="124" spans="1:15">
      <c r="A124" s="212"/>
      <c r="B124" s="209" t="s">
        <v>267</v>
      </c>
      <c r="C124" s="209" t="s">
        <v>587</v>
      </c>
      <c r="D124" s="218">
        <v>1729789</v>
      </c>
      <c r="E124" s="219">
        <v>1729789</v>
      </c>
      <c r="F124" s="292">
        <f t="shared" si="3"/>
        <v>1669789</v>
      </c>
      <c r="G124" s="288" t="b">
        <f t="shared" si="4"/>
        <v>1</v>
      </c>
      <c r="H124" s="288" t="b">
        <f t="shared" si="5"/>
        <v>1</v>
      </c>
      <c r="I124" s="212"/>
      <c r="J124" s="209" t="s">
        <v>267</v>
      </c>
      <c r="K124" s="209" t="s">
        <v>587</v>
      </c>
      <c r="L124" s="230">
        <v>0</v>
      </c>
      <c r="M124" s="231">
        <v>1729789</v>
      </c>
    </row>
    <row r="125" spans="1:15">
      <c r="A125" s="212"/>
      <c r="B125" s="209" t="s">
        <v>242</v>
      </c>
      <c r="C125" s="209" t="s">
        <v>364</v>
      </c>
      <c r="D125" s="218">
        <v>95435</v>
      </c>
      <c r="E125" s="219">
        <v>95435</v>
      </c>
      <c r="F125" s="292">
        <f t="shared" si="3"/>
        <v>-1634354</v>
      </c>
      <c r="G125" s="288" t="b">
        <f t="shared" si="4"/>
        <v>1</v>
      </c>
      <c r="H125" s="288" t="b">
        <f t="shared" si="5"/>
        <v>1</v>
      </c>
      <c r="I125" s="212"/>
      <c r="J125" s="209" t="s">
        <v>242</v>
      </c>
      <c r="K125" s="209" t="s">
        <v>364</v>
      </c>
      <c r="L125" s="230">
        <v>0</v>
      </c>
      <c r="M125" s="231">
        <v>95435</v>
      </c>
    </row>
    <row r="126" spans="1:15">
      <c r="A126" s="212"/>
      <c r="B126" s="209" t="s">
        <v>235</v>
      </c>
      <c r="C126" s="209" t="s">
        <v>588</v>
      </c>
      <c r="D126" s="218">
        <v>15600</v>
      </c>
      <c r="E126" s="219">
        <v>15600</v>
      </c>
      <c r="F126" s="292">
        <f t="shared" si="3"/>
        <v>-79835</v>
      </c>
      <c r="G126" s="288" t="b">
        <f t="shared" si="4"/>
        <v>1</v>
      </c>
      <c r="H126" s="288" t="b">
        <f t="shared" si="5"/>
        <v>1</v>
      </c>
      <c r="I126" s="212"/>
      <c r="J126" s="209" t="s">
        <v>235</v>
      </c>
      <c r="K126" s="209" t="s">
        <v>588</v>
      </c>
      <c r="L126" s="230">
        <v>0</v>
      </c>
      <c r="M126" s="231">
        <v>15600</v>
      </c>
    </row>
    <row r="127" spans="1:15">
      <c r="A127" s="212"/>
      <c r="B127" s="209" t="s">
        <v>233</v>
      </c>
      <c r="C127" s="209" t="s">
        <v>589</v>
      </c>
      <c r="D127" s="218">
        <v>14480</v>
      </c>
      <c r="E127" s="219">
        <v>14480</v>
      </c>
      <c r="F127" s="292">
        <f t="shared" si="3"/>
        <v>-1120</v>
      </c>
      <c r="G127" s="288" t="b">
        <f t="shared" si="4"/>
        <v>1</v>
      </c>
      <c r="H127" s="288" t="b">
        <f t="shared" si="5"/>
        <v>1</v>
      </c>
      <c r="I127" s="212"/>
      <c r="J127" s="209" t="s">
        <v>233</v>
      </c>
      <c r="K127" s="209" t="s">
        <v>589</v>
      </c>
      <c r="L127" s="230">
        <v>0</v>
      </c>
      <c r="M127" s="231">
        <v>14480</v>
      </c>
    </row>
    <row r="128" spans="1:15">
      <c r="A128" s="212"/>
      <c r="B128" s="209" t="s">
        <v>231</v>
      </c>
      <c r="C128" s="209" t="s">
        <v>590</v>
      </c>
      <c r="D128" s="218">
        <v>190438</v>
      </c>
      <c r="E128" s="219">
        <v>190438</v>
      </c>
      <c r="F128" s="292">
        <f t="shared" si="3"/>
        <v>175958</v>
      </c>
      <c r="G128" s="288" t="b">
        <f t="shared" si="4"/>
        <v>1</v>
      </c>
      <c r="H128" s="288" t="b">
        <f t="shared" si="5"/>
        <v>1</v>
      </c>
      <c r="I128" s="212"/>
      <c r="J128" s="209" t="s">
        <v>231</v>
      </c>
      <c r="K128" s="209" t="s">
        <v>590</v>
      </c>
      <c r="L128" s="230">
        <v>0</v>
      </c>
      <c r="M128" s="231">
        <v>190438</v>
      </c>
    </row>
    <row r="129" spans="1:15">
      <c r="A129" s="212"/>
      <c r="B129" s="209" t="s">
        <v>232</v>
      </c>
      <c r="C129" s="209" t="s">
        <v>591</v>
      </c>
      <c r="D129" s="218">
        <v>398657</v>
      </c>
      <c r="E129" s="219">
        <v>398657</v>
      </c>
      <c r="F129" s="292">
        <f t="shared" si="3"/>
        <v>208219</v>
      </c>
      <c r="G129" s="288" t="b">
        <f t="shared" si="4"/>
        <v>1</v>
      </c>
      <c r="H129" s="288" t="b">
        <f t="shared" si="5"/>
        <v>1</v>
      </c>
      <c r="I129" s="212"/>
      <c r="J129" s="209" t="s">
        <v>232</v>
      </c>
      <c r="K129" s="209" t="s">
        <v>591</v>
      </c>
      <c r="L129" s="230">
        <v>0</v>
      </c>
      <c r="M129" s="231">
        <v>398657</v>
      </c>
    </row>
    <row r="130" spans="1:15">
      <c r="A130" s="209" t="s">
        <v>289</v>
      </c>
      <c r="B130" s="210"/>
      <c r="C130" s="210"/>
      <c r="D130" s="218">
        <v>2863718</v>
      </c>
      <c r="E130" s="219">
        <v>2863718</v>
      </c>
      <c r="F130" s="292">
        <f t="shared" si="3"/>
        <v>2465061</v>
      </c>
      <c r="G130" s="288" t="b">
        <f t="shared" si="4"/>
        <v>1</v>
      </c>
      <c r="H130" s="288" t="b">
        <f t="shared" si="5"/>
        <v>1</v>
      </c>
      <c r="I130" s="209" t="s">
        <v>289</v>
      </c>
      <c r="J130" s="210"/>
      <c r="K130" s="210"/>
      <c r="L130" s="230">
        <v>0</v>
      </c>
      <c r="M130" s="231">
        <v>2863718</v>
      </c>
      <c r="N130" s="295">
        <f>'Grays Harbor'!H51</f>
        <v>0</v>
      </c>
      <c r="O130" s="295">
        <f>GETPIVOTDATA("Sum of Amount",$I$2,"OrgName","Grays Harbor College")-N130</f>
        <v>2863718</v>
      </c>
    </row>
    <row r="131" spans="1:15">
      <c r="A131" s="209" t="s">
        <v>94</v>
      </c>
      <c r="B131" s="209" t="s">
        <v>240</v>
      </c>
      <c r="C131" s="209" t="s">
        <v>365</v>
      </c>
      <c r="D131" s="218">
        <v>511692</v>
      </c>
      <c r="E131" s="219">
        <v>511692</v>
      </c>
      <c r="F131" s="292">
        <f t="shared" si="3"/>
        <v>-2352026</v>
      </c>
      <c r="G131" s="288" t="b">
        <f t="shared" si="4"/>
        <v>1</v>
      </c>
      <c r="H131" s="288" t="b">
        <f t="shared" si="5"/>
        <v>1</v>
      </c>
      <c r="I131" s="209" t="s">
        <v>435</v>
      </c>
      <c r="J131" s="209" t="s">
        <v>240</v>
      </c>
      <c r="K131" s="209" t="s">
        <v>365</v>
      </c>
      <c r="L131" s="230">
        <v>0</v>
      </c>
      <c r="M131" s="231">
        <v>511692</v>
      </c>
    </row>
    <row r="132" spans="1:15">
      <c r="A132" s="212"/>
      <c r="B132" s="209" t="s">
        <v>497</v>
      </c>
      <c r="C132" s="209" t="s">
        <v>592</v>
      </c>
      <c r="D132" s="218">
        <v>5563</v>
      </c>
      <c r="E132" s="219">
        <v>5563</v>
      </c>
      <c r="F132" s="292">
        <f t="shared" si="3"/>
        <v>-506129</v>
      </c>
      <c r="G132" s="288" t="b">
        <f t="shared" si="4"/>
        <v>1</v>
      </c>
      <c r="H132" s="288" t="b">
        <f t="shared" si="5"/>
        <v>1</v>
      </c>
      <c r="I132" s="212"/>
      <c r="J132" s="209" t="s">
        <v>497</v>
      </c>
      <c r="K132" s="209" t="s">
        <v>592</v>
      </c>
      <c r="L132" s="230">
        <v>0</v>
      </c>
      <c r="M132" s="231">
        <v>5563</v>
      </c>
    </row>
    <row r="133" spans="1:15">
      <c r="A133" s="212"/>
      <c r="B133" s="209" t="s">
        <v>498</v>
      </c>
      <c r="C133" s="209" t="s">
        <v>593</v>
      </c>
      <c r="D133" s="218">
        <v>249795</v>
      </c>
      <c r="E133" s="219">
        <v>249795</v>
      </c>
      <c r="F133" s="292">
        <f t="shared" ref="F133:F196" si="6">E133-M132</f>
        <v>244232</v>
      </c>
      <c r="G133" s="288" t="b">
        <f t="shared" si="4"/>
        <v>1</v>
      </c>
      <c r="H133" s="288" t="b">
        <f t="shared" si="5"/>
        <v>1</v>
      </c>
      <c r="I133" s="212"/>
      <c r="J133" s="209" t="s">
        <v>498</v>
      </c>
      <c r="K133" s="209" t="s">
        <v>593</v>
      </c>
      <c r="L133" s="230">
        <v>0</v>
      </c>
      <c r="M133" s="231">
        <v>249795</v>
      </c>
    </row>
    <row r="134" spans="1:15">
      <c r="A134" s="212"/>
      <c r="B134" s="209" t="s">
        <v>505</v>
      </c>
      <c r="C134" s="209" t="s">
        <v>594</v>
      </c>
      <c r="D134" s="218">
        <v>52548</v>
      </c>
      <c r="E134" s="219">
        <v>52548</v>
      </c>
      <c r="F134" s="292">
        <f t="shared" si="6"/>
        <v>-197247</v>
      </c>
      <c r="G134" s="288" t="b">
        <f t="shared" si="4"/>
        <v>1</v>
      </c>
      <c r="H134" s="288" t="b">
        <f t="shared" si="5"/>
        <v>1</v>
      </c>
      <c r="I134" s="212"/>
      <c r="J134" s="209" t="s">
        <v>505</v>
      </c>
      <c r="K134" s="209" t="s">
        <v>594</v>
      </c>
      <c r="L134" s="230">
        <v>0</v>
      </c>
      <c r="M134" s="231">
        <v>52548</v>
      </c>
    </row>
    <row r="135" spans="1:15">
      <c r="A135" s="212"/>
      <c r="B135" s="209" t="s">
        <v>412</v>
      </c>
      <c r="C135" s="209" t="s">
        <v>417</v>
      </c>
      <c r="D135" s="218">
        <v>35000</v>
      </c>
      <c r="E135" s="219">
        <v>35000</v>
      </c>
      <c r="F135" s="292">
        <f t="shared" si="6"/>
        <v>-17548</v>
      </c>
      <c r="G135" s="288" t="b">
        <f t="shared" si="4"/>
        <v>1</v>
      </c>
      <c r="H135" s="288" t="b">
        <f t="shared" si="5"/>
        <v>1</v>
      </c>
      <c r="I135" s="212"/>
      <c r="J135" s="209" t="s">
        <v>412</v>
      </c>
      <c r="K135" s="209" t="s">
        <v>417</v>
      </c>
      <c r="L135" s="230">
        <v>0</v>
      </c>
      <c r="M135" s="231">
        <v>35000</v>
      </c>
      <c r="N135" s="295"/>
      <c r="O135" s="295"/>
    </row>
    <row r="136" spans="1:15">
      <c r="A136" s="212"/>
      <c r="B136" s="209" t="s">
        <v>241</v>
      </c>
      <c r="C136" s="209" t="s">
        <v>595</v>
      </c>
      <c r="D136" s="218">
        <v>67950</v>
      </c>
      <c r="E136" s="219">
        <v>67950</v>
      </c>
      <c r="F136" s="292">
        <f t="shared" si="6"/>
        <v>32950</v>
      </c>
      <c r="G136" s="288" t="b">
        <f t="shared" ref="G136:G199" si="7">IF(B135=J135,TRUE)</f>
        <v>1</v>
      </c>
      <c r="H136" s="288" t="b">
        <f t="shared" ref="H136:H199" si="8">IF(C135=K135,TRUE)</f>
        <v>1</v>
      </c>
      <c r="I136" s="212"/>
      <c r="J136" s="209" t="s">
        <v>241</v>
      </c>
      <c r="K136" s="209" t="s">
        <v>595</v>
      </c>
      <c r="L136" s="230">
        <v>0</v>
      </c>
      <c r="M136" s="231">
        <v>67950</v>
      </c>
    </row>
    <row r="137" spans="1:15">
      <c r="A137" s="212"/>
      <c r="B137" s="209" t="s">
        <v>242</v>
      </c>
      <c r="C137" s="209" t="s">
        <v>366</v>
      </c>
      <c r="D137" s="218">
        <v>92235</v>
      </c>
      <c r="E137" s="219">
        <v>92235</v>
      </c>
      <c r="F137" s="292">
        <f t="shared" si="6"/>
        <v>24285</v>
      </c>
      <c r="G137" s="288" t="b">
        <f t="shared" si="7"/>
        <v>1</v>
      </c>
      <c r="H137" s="288" t="b">
        <f t="shared" si="8"/>
        <v>1</v>
      </c>
      <c r="I137" s="212"/>
      <c r="J137" s="209" t="s">
        <v>242</v>
      </c>
      <c r="K137" s="209" t="s">
        <v>366</v>
      </c>
      <c r="L137" s="230">
        <v>0</v>
      </c>
      <c r="M137" s="231">
        <v>92235</v>
      </c>
    </row>
    <row r="138" spans="1:15">
      <c r="A138" s="212"/>
      <c r="B138" s="209" t="s">
        <v>269</v>
      </c>
      <c r="C138" s="209" t="s">
        <v>596</v>
      </c>
      <c r="D138" s="218">
        <v>88700</v>
      </c>
      <c r="E138" s="219">
        <v>88700</v>
      </c>
      <c r="F138" s="292">
        <f t="shared" si="6"/>
        <v>-3535</v>
      </c>
      <c r="G138" s="288" t="b">
        <f t="shared" si="7"/>
        <v>1</v>
      </c>
      <c r="H138" s="288" t="b">
        <f t="shared" si="8"/>
        <v>1</v>
      </c>
      <c r="I138" s="212"/>
      <c r="J138" s="209" t="s">
        <v>269</v>
      </c>
      <c r="K138" s="209" t="s">
        <v>596</v>
      </c>
      <c r="L138" s="230">
        <v>0</v>
      </c>
      <c r="M138" s="231">
        <v>88700</v>
      </c>
    </row>
    <row r="139" spans="1:15">
      <c r="A139" s="212"/>
      <c r="B139" s="212"/>
      <c r="C139" s="214" t="s">
        <v>597</v>
      </c>
      <c r="D139" s="220">
        <v>63000</v>
      </c>
      <c r="E139" s="221">
        <v>63000</v>
      </c>
      <c r="F139" s="292">
        <f t="shared" si="6"/>
        <v>-25700</v>
      </c>
      <c r="G139" s="288" t="b">
        <f t="shared" si="7"/>
        <v>1</v>
      </c>
      <c r="H139" s="288" t="b">
        <f t="shared" si="8"/>
        <v>1</v>
      </c>
      <c r="I139" s="212"/>
      <c r="J139" s="212"/>
      <c r="K139" s="214" t="s">
        <v>597</v>
      </c>
      <c r="L139" s="232">
        <v>0</v>
      </c>
      <c r="M139" s="233">
        <v>63000</v>
      </c>
    </row>
    <row r="140" spans="1:15">
      <c r="A140" s="212"/>
      <c r="B140" s="212"/>
      <c r="C140" s="214" t="s">
        <v>598</v>
      </c>
      <c r="D140" s="220">
        <v>89700</v>
      </c>
      <c r="E140" s="221">
        <v>89700</v>
      </c>
      <c r="F140" s="292">
        <f t="shared" si="6"/>
        <v>26700</v>
      </c>
      <c r="G140" s="288" t="b">
        <f t="shared" si="7"/>
        <v>1</v>
      </c>
      <c r="H140" s="288" t="b">
        <f t="shared" si="8"/>
        <v>1</v>
      </c>
      <c r="I140" s="212"/>
      <c r="J140" s="212"/>
      <c r="K140" s="214" t="s">
        <v>598</v>
      </c>
      <c r="L140" s="232">
        <v>0</v>
      </c>
      <c r="M140" s="233">
        <v>89700</v>
      </c>
    </row>
    <row r="141" spans="1:15">
      <c r="A141" s="212"/>
      <c r="B141" s="212"/>
      <c r="C141" s="214" t="s">
        <v>599</v>
      </c>
      <c r="D141" s="220">
        <v>49500</v>
      </c>
      <c r="E141" s="221">
        <v>49500</v>
      </c>
      <c r="F141" s="292">
        <f t="shared" si="6"/>
        <v>-40200</v>
      </c>
      <c r="G141" s="288" t="b">
        <f t="shared" si="7"/>
        <v>1</v>
      </c>
      <c r="H141" s="288" t="b">
        <f t="shared" si="8"/>
        <v>1</v>
      </c>
      <c r="I141" s="212"/>
      <c r="J141" s="212"/>
      <c r="K141" s="214" t="s">
        <v>599</v>
      </c>
      <c r="L141" s="232">
        <v>0</v>
      </c>
      <c r="M141" s="233">
        <v>49500</v>
      </c>
    </row>
    <row r="142" spans="1:15">
      <c r="A142" s="212"/>
      <c r="B142" s="212"/>
      <c r="C142" s="214" t="s">
        <v>600</v>
      </c>
      <c r="D142" s="220">
        <v>84900</v>
      </c>
      <c r="E142" s="221">
        <v>84900</v>
      </c>
      <c r="F142" s="292">
        <f t="shared" si="6"/>
        <v>35400</v>
      </c>
      <c r="G142" s="288" t="b">
        <f t="shared" si="7"/>
        <v>1</v>
      </c>
      <c r="H142" s="288" t="b">
        <f t="shared" si="8"/>
        <v>1</v>
      </c>
      <c r="I142" s="212"/>
      <c r="J142" s="212"/>
      <c r="K142" s="214" t="s">
        <v>600</v>
      </c>
      <c r="L142" s="232">
        <v>0</v>
      </c>
      <c r="M142" s="233">
        <v>84900</v>
      </c>
    </row>
    <row r="143" spans="1:15">
      <c r="A143" s="212"/>
      <c r="B143" s="209" t="s">
        <v>231</v>
      </c>
      <c r="C143" s="209" t="s">
        <v>601</v>
      </c>
      <c r="D143" s="218">
        <v>308738</v>
      </c>
      <c r="E143" s="219">
        <v>308738</v>
      </c>
      <c r="F143" s="292">
        <f t="shared" si="6"/>
        <v>223838</v>
      </c>
      <c r="G143" s="288" t="b">
        <f t="shared" si="7"/>
        <v>1</v>
      </c>
      <c r="H143" s="288" t="b">
        <f t="shared" si="8"/>
        <v>1</v>
      </c>
      <c r="I143" s="212"/>
      <c r="J143" s="209" t="s">
        <v>231</v>
      </c>
      <c r="K143" s="209" t="s">
        <v>601</v>
      </c>
      <c r="L143" s="230">
        <v>0</v>
      </c>
      <c r="M143" s="231">
        <v>308738</v>
      </c>
    </row>
    <row r="144" spans="1:15">
      <c r="A144" s="212"/>
      <c r="B144" s="209" t="s">
        <v>354</v>
      </c>
      <c r="C144" s="209" t="s">
        <v>602</v>
      </c>
      <c r="D144" s="218">
        <v>17666</v>
      </c>
      <c r="E144" s="219">
        <v>17666</v>
      </c>
      <c r="F144" s="292">
        <f t="shared" si="6"/>
        <v>-291072</v>
      </c>
      <c r="G144" s="288" t="b">
        <f t="shared" si="7"/>
        <v>1</v>
      </c>
      <c r="H144" s="288" t="b">
        <f t="shared" si="8"/>
        <v>1</v>
      </c>
      <c r="I144" s="212"/>
      <c r="J144" s="209" t="s">
        <v>354</v>
      </c>
      <c r="K144" s="209" t="s">
        <v>602</v>
      </c>
      <c r="L144" s="230">
        <v>0</v>
      </c>
      <c r="M144" s="231">
        <v>17666</v>
      </c>
    </row>
    <row r="145" spans="1:15">
      <c r="A145" s="212"/>
      <c r="B145" s="209" t="s">
        <v>429</v>
      </c>
      <c r="C145" s="209" t="s">
        <v>431</v>
      </c>
      <c r="D145" s="218">
        <v>47214</v>
      </c>
      <c r="E145" s="219">
        <v>47214</v>
      </c>
      <c r="F145" s="292">
        <f t="shared" si="6"/>
        <v>29548</v>
      </c>
      <c r="G145" s="288" t="b">
        <f t="shared" si="7"/>
        <v>1</v>
      </c>
      <c r="H145" s="288" t="b">
        <f t="shared" si="8"/>
        <v>1</v>
      </c>
      <c r="I145" s="212"/>
      <c r="J145" s="209" t="s">
        <v>429</v>
      </c>
      <c r="K145" s="209" t="s">
        <v>431</v>
      </c>
      <c r="L145" s="230">
        <v>0</v>
      </c>
      <c r="M145" s="231">
        <v>47214</v>
      </c>
    </row>
    <row r="146" spans="1:15">
      <c r="A146" s="212"/>
      <c r="B146" s="209" t="s">
        <v>232</v>
      </c>
      <c r="C146" s="209" t="s">
        <v>603</v>
      </c>
      <c r="D146" s="218">
        <v>710876</v>
      </c>
      <c r="E146" s="219">
        <v>710876</v>
      </c>
      <c r="F146" s="292">
        <f t="shared" si="6"/>
        <v>663662</v>
      </c>
      <c r="G146" s="288" t="b">
        <f t="shared" si="7"/>
        <v>1</v>
      </c>
      <c r="H146" s="288" t="b">
        <f t="shared" si="8"/>
        <v>1</v>
      </c>
      <c r="I146" s="212"/>
      <c r="J146" s="209" t="s">
        <v>232</v>
      </c>
      <c r="K146" s="209" t="s">
        <v>603</v>
      </c>
      <c r="L146" s="230">
        <v>0</v>
      </c>
      <c r="M146" s="231">
        <v>710876</v>
      </c>
    </row>
    <row r="147" spans="1:15">
      <c r="A147" s="209" t="s">
        <v>290</v>
      </c>
      <c r="B147" s="210"/>
      <c r="C147" s="210"/>
      <c r="D147" s="230">
        <v>2475077</v>
      </c>
      <c r="E147" s="231">
        <v>2475077</v>
      </c>
      <c r="F147" s="292">
        <f t="shared" si="6"/>
        <v>1764201</v>
      </c>
      <c r="G147" s="288" t="b">
        <f t="shared" si="7"/>
        <v>1</v>
      </c>
      <c r="H147" s="288" t="b">
        <f t="shared" si="8"/>
        <v>1</v>
      </c>
      <c r="I147" s="209" t="s">
        <v>436</v>
      </c>
      <c r="J147" s="210"/>
      <c r="K147" s="210"/>
      <c r="L147" s="230">
        <v>0</v>
      </c>
      <c r="M147" s="231">
        <v>2475077</v>
      </c>
      <c r="N147" s="295">
        <f>'Green River'!H63</f>
        <v>0</v>
      </c>
      <c r="O147" s="295">
        <f>GETPIVOTDATA("Sum of Amount",$I$2,"OrgName","Green River College")-N147</f>
        <v>2475077</v>
      </c>
    </row>
    <row r="148" spans="1:15">
      <c r="A148" s="209" t="s">
        <v>95</v>
      </c>
      <c r="B148" s="209" t="s">
        <v>240</v>
      </c>
      <c r="C148" s="209" t="s">
        <v>367</v>
      </c>
      <c r="D148" s="218">
        <v>240407</v>
      </c>
      <c r="E148" s="219">
        <v>240407</v>
      </c>
      <c r="F148" s="292">
        <f t="shared" si="6"/>
        <v>-2234670</v>
      </c>
      <c r="G148" s="288" t="b">
        <f t="shared" si="7"/>
        <v>1</v>
      </c>
      <c r="H148" s="288" t="b">
        <f t="shared" si="8"/>
        <v>1</v>
      </c>
      <c r="I148" s="209" t="s">
        <v>392</v>
      </c>
      <c r="J148" s="209" t="s">
        <v>240</v>
      </c>
      <c r="K148" s="209" t="s">
        <v>367</v>
      </c>
      <c r="L148" s="230">
        <v>0</v>
      </c>
      <c r="M148" s="231">
        <v>240407</v>
      </c>
    </row>
    <row r="149" spans="1:15">
      <c r="A149" s="212"/>
      <c r="B149" s="209" t="s">
        <v>497</v>
      </c>
      <c r="C149" s="209" t="s">
        <v>604</v>
      </c>
      <c r="D149" s="218">
        <v>5050</v>
      </c>
      <c r="E149" s="219">
        <v>5050</v>
      </c>
      <c r="F149" s="292">
        <f t="shared" si="6"/>
        <v>-235357</v>
      </c>
      <c r="G149" s="288" t="b">
        <f t="shared" si="7"/>
        <v>1</v>
      </c>
      <c r="H149" s="288" t="b">
        <f t="shared" si="8"/>
        <v>1</v>
      </c>
      <c r="I149" s="212"/>
      <c r="J149" s="209" t="s">
        <v>497</v>
      </c>
      <c r="K149" s="209" t="s">
        <v>604</v>
      </c>
      <c r="L149" s="230">
        <v>0</v>
      </c>
      <c r="M149" s="231">
        <v>5050</v>
      </c>
    </row>
    <row r="150" spans="1:15">
      <c r="A150" s="212"/>
      <c r="B150" s="209" t="s">
        <v>498</v>
      </c>
      <c r="C150" s="209" t="s">
        <v>605</v>
      </c>
      <c r="D150" s="218">
        <v>436150</v>
      </c>
      <c r="E150" s="219">
        <v>436150</v>
      </c>
      <c r="F150" s="292">
        <f t="shared" si="6"/>
        <v>431100</v>
      </c>
      <c r="G150" s="288" t="b">
        <f t="shared" si="7"/>
        <v>1</v>
      </c>
      <c r="H150" s="288" t="b">
        <f t="shared" si="8"/>
        <v>1</v>
      </c>
      <c r="I150" s="212"/>
      <c r="J150" s="209" t="s">
        <v>498</v>
      </c>
      <c r="K150" s="209" t="s">
        <v>605</v>
      </c>
      <c r="L150" s="230">
        <v>0</v>
      </c>
      <c r="M150" s="231">
        <v>436150</v>
      </c>
    </row>
    <row r="151" spans="1:15">
      <c r="A151" s="212"/>
      <c r="B151" s="209" t="s">
        <v>505</v>
      </c>
      <c r="C151" s="209" t="s">
        <v>606</v>
      </c>
      <c r="D151" s="218">
        <v>104326</v>
      </c>
      <c r="E151" s="219">
        <v>104326</v>
      </c>
      <c r="F151" s="292">
        <f t="shared" si="6"/>
        <v>-331824</v>
      </c>
      <c r="G151" s="288" t="b">
        <f t="shared" si="7"/>
        <v>1</v>
      </c>
      <c r="H151" s="288" t="b">
        <f t="shared" si="8"/>
        <v>1</v>
      </c>
      <c r="I151" s="212"/>
      <c r="J151" s="209" t="s">
        <v>505</v>
      </c>
      <c r="K151" s="209" t="s">
        <v>606</v>
      </c>
      <c r="L151" s="230">
        <v>0</v>
      </c>
      <c r="M151" s="231">
        <v>104326</v>
      </c>
    </row>
    <row r="152" spans="1:15">
      <c r="A152" s="212"/>
      <c r="B152" s="209" t="s">
        <v>412</v>
      </c>
      <c r="C152" s="209" t="s">
        <v>418</v>
      </c>
      <c r="D152" s="218">
        <v>22480</v>
      </c>
      <c r="E152" s="219">
        <v>22480</v>
      </c>
      <c r="F152" s="292">
        <f t="shared" si="6"/>
        <v>-81846</v>
      </c>
      <c r="G152" s="288" t="b">
        <f t="shared" si="7"/>
        <v>1</v>
      </c>
      <c r="H152" s="288" t="b">
        <f t="shared" si="8"/>
        <v>1</v>
      </c>
      <c r="I152" s="212"/>
      <c r="J152" s="209" t="s">
        <v>412</v>
      </c>
      <c r="K152" s="209" t="s">
        <v>418</v>
      </c>
      <c r="L152" s="230">
        <v>0</v>
      </c>
      <c r="M152" s="231">
        <v>22480</v>
      </c>
    </row>
    <row r="153" spans="1:15">
      <c r="A153" s="212"/>
      <c r="B153" s="209" t="s">
        <v>241</v>
      </c>
      <c r="C153" s="209" t="s">
        <v>607</v>
      </c>
      <c r="D153" s="218">
        <v>30200</v>
      </c>
      <c r="E153" s="219">
        <v>30200</v>
      </c>
      <c r="F153" s="292">
        <f t="shared" si="6"/>
        <v>7720</v>
      </c>
      <c r="G153" s="288" t="b">
        <f t="shared" si="7"/>
        <v>1</v>
      </c>
      <c r="H153" s="288" t="b">
        <f t="shared" si="8"/>
        <v>1</v>
      </c>
      <c r="I153" s="212"/>
      <c r="J153" s="209" t="s">
        <v>241</v>
      </c>
      <c r="K153" s="209" t="s">
        <v>607</v>
      </c>
      <c r="L153" s="230">
        <v>0</v>
      </c>
      <c r="M153" s="231">
        <v>30200</v>
      </c>
    </row>
    <row r="154" spans="1:15">
      <c r="A154" s="212"/>
      <c r="B154" s="209" t="s">
        <v>274</v>
      </c>
      <c r="C154" s="209" t="s">
        <v>608</v>
      </c>
      <c r="D154" s="218">
        <v>5000</v>
      </c>
      <c r="E154" s="219">
        <v>5000</v>
      </c>
      <c r="F154" s="292">
        <f t="shared" si="6"/>
        <v>-25200</v>
      </c>
      <c r="G154" s="288" t="b">
        <f t="shared" si="7"/>
        <v>1</v>
      </c>
      <c r="H154" s="288" t="b">
        <f t="shared" si="8"/>
        <v>1</v>
      </c>
      <c r="I154" s="212"/>
      <c r="J154" s="209" t="s">
        <v>274</v>
      </c>
      <c r="K154" s="209" t="s">
        <v>608</v>
      </c>
      <c r="L154" s="230">
        <v>0</v>
      </c>
      <c r="M154" s="231">
        <v>5000</v>
      </c>
    </row>
    <row r="155" spans="1:15">
      <c r="A155" s="212"/>
      <c r="B155" s="212"/>
      <c r="C155" s="214" t="s">
        <v>609</v>
      </c>
      <c r="D155" s="220">
        <v>5000</v>
      </c>
      <c r="E155" s="221">
        <v>5000</v>
      </c>
      <c r="F155" s="292">
        <f t="shared" si="6"/>
        <v>0</v>
      </c>
      <c r="G155" s="288" t="b">
        <f t="shared" si="7"/>
        <v>1</v>
      </c>
      <c r="H155" s="288" t="b">
        <f t="shared" si="8"/>
        <v>1</v>
      </c>
      <c r="I155" s="212"/>
      <c r="J155" s="212"/>
      <c r="K155" s="214" t="s">
        <v>609</v>
      </c>
      <c r="L155" s="232">
        <v>0</v>
      </c>
      <c r="M155" s="233">
        <v>5000</v>
      </c>
    </row>
    <row r="156" spans="1:15">
      <c r="A156" s="212"/>
      <c r="B156" s="209" t="s">
        <v>233</v>
      </c>
      <c r="C156" s="209" t="s">
        <v>610</v>
      </c>
      <c r="D156" s="218">
        <v>16000</v>
      </c>
      <c r="E156" s="219">
        <v>16000</v>
      </c>
      <c r="F156" s="292">
        <f t="shared" si="6"/>
        <v>11000</v>
      </c>
      <c r="G156" s="288" t="b">
        <f t="shared" si="7"/>
        <v>1</v>
      </c>
      <c r="H156" s="288" t="b">
        <f t="shared" si="8"/>
        <v>1</v>
      </c>
      <c r="I156" s="212"/>
      <c r="J156" s="209" t="s">
        <v>233</v>
      </c>
      <c r="K156" s="209" t="s">
        <v>610</v>
      </c>
      <c r="L156" s="230">
        <v>0</v>
      </c>
      <c r="M156" s="231">
        <v>16000</v>
      </c>
    </row>
    <row r="157" spans="1:15">
      <c r="A157" s="212"/>
      <c r="B157" s="209" t="s">
        <v>231</v>
      </c>
      <c r="C157" s="209" t="s">
        <v>611</v>
      </c>
      <c r="D157" s="218">
        <v>264907</v>
      </c>
      <c r="E157" s="219">
        <v>264907</v>
      </c>
      <c r="F157" s="292">
        <f t="shared" si="6"/>
        <v>248907</v>
      </c>
      <c r="G157" s="288" t="b">
        <f t="shared" si="7"/>
        <v>1</v>
      </c>
      <c r="H157" s="288" t="b">
        <f t="shared" si="8"/>
        <v>1</v>
      </c>
      <c r="I157" s="212"/>
      <c r="J157" s="209" t="s">
        <v>231</v>
      </c>
      <c r="K157" s="209" t="s">
        <v>611</v>
      </c>
      <c r="L157" s="230">
        <v>0</v>
      </c>
      <c r="M157" s="231">
        <v>264907</v>
      </c>
    </row>
    <row r="158" spans="1:15">
      <c r="A158" s="212"/>
      <c r="B158" s="209" t="s">
        <v>232</v>
      </c>
      <c r="C158" s="209" t="s">
        <v>612</v>
      </c>
      <c r="D158" s="218">
        <v>805980</v>
      </c>
      <c r="E158" s="219">
        <v>805980</v>
      </c>
      <c r="F158" s="292">
        <f t="shared" si="6"/>
        <v>541073</v>
      </c>
      <c r="G158" s="288" t="b">
        <f t="shared" si="7"/>
        <v>1</v>
      </c>
      <c r="H158" s="288" t="b">
        <f t="shared" si="8"/>
        <v>1</v>
      </c>
      <c r="I158" s="212"/>
      <c r="J158" s="209" t="s">
        <v>232</v>
      </c>
      <c r="K158" s="209" t="s">
        <v>612</v>
      </c>
      <c r="L158" s="230">
        <v>0</v>
      </c>
      <c r="M158" s="231">
        <v>805980</v>
      </c>
    </row>
    <row r="159" spans="1:15">
      <c r="A159" s="209" t="s">
        <v>291</v>
      </c>
      <c r="B159" s="210"/>
      <c r="C159" s="210"/>
      <c r="D159" s="218">
        <v>1935500</v>
      </c>
      <c r="E159" s="219">
        <v>1935500</v>
      </c>
      <c r="F159" s="292">
        <f t="shared" si="6"/>
        <v>1129520</v>
      </c>
      <c r="G159" s="288" t="b">
        <f t="shared" si="7"/>
        <v>1</v>
      </c>
      <c r="H159" s="288" t="b">
        <f t="shared" si="8"/>
        <v>1</v>
      </c>
      <c r="I159" s="209" t="s">
        <v>393</v>
      </c>
      <c r="J159" s="210"/>
      <c r="K159" s="210"/>
      <c r="L159" s="230">
        <v>0</v>
      </c>
      <c r="M159" s="231">
        <v>1935500</v>
      </c>
      <c r="N159" s="295">
        <f>Highline!H58</f>
        <v>0</v>
      </c>
      <c r="O159" s="295">
        <f>GETPIVOTDATA("Sum of Amount",$I$2,"OrgName","Highline College")-N159</f>
        <v>1935500</v>
      </c>
    </row>
    <row r="160" spans="1:15">
      <c r="A160" s="209" t="s">
        <v>226</v>
      </c>
      <c r="B160" s="209" t="s">
        <v>240</v>
      </c>
      <c r="C160" s="209" t="s">
        <v>368</v>
      </c>
      <c r="D160" s="218">
        <v>279108</v>
      </c>
      <c r="E160" s="219">
        <v>279108</v>
      </c>
      <c r="F160" s="292">
        <f t="shared" si="6"/>
        <v>-1656392</v>
      </c>
      <c r="G160" s="288" t="b">
        <f t="shared" si="7"/>
        <v>1</v>
      </c>
      <c r="H160" s="288" t="b">
        <f t="shared" si="8"/>
        <v>1</v>
      </c>
      <c r="I160" s="209" t="s">
        <v>226</v>
      </c>
      <c r="J160" s="209" t="s">
        <v>240</v>
      </c>
      <c r="K160" s="209" t="s">
        <v>368</v>
      </c>
      <c r="L160" s="230">
        <v>0</v>
      </c>
      <c r="M160" s="231">
        <v>279108</v>
      </c>
    </row>
    <row r="161" spans="1:15">
      <c r="A161" s="212"/>
      <c r="B161" s="209" t="s">
        <v>497</v>
      </c>
      <c r="C161" s="209" t="s">
        <v>613</v>
      </c>
      <c r="D161" s="218">
        <v>5563</v>
      </c>
      <c r="E161" s="219">
        <v>5563</v>
      </c>
      <c r="F161" s="292">
        <f t="shared" si="6"/>
        <v>-273545</v>
      </c>
      <c r="G161" s="288" t="b">
        <f t="shared" si="7"/>
        <v>1</v>
      </c>
      <c r="H161" s="288" t="b">
        <f t="shared" si="8"/>
        <v>1</v>
      </c>
      <c r="I161" s="212"/>
      <c r="J161" s="209" t="s">
        <v>497</v>
      </c>
      <c r="K161" s="209" t="s">
        <v>613</v>
      </c>
      <c r="L161" s="230">
        <v>0</v>
      </c>
      <c r="M161" s="231">
        <v>5563</v>
      </c>
    </row>
    <row r="162" spans="1:15">
      <c r="A162" s="212"/>
      <c r="B162" s="209" t="s">
        <v>498</v>
      </c>
      <c r="C162" s="209" t="s">
        <v>614</v>
      </c>
      <c r="D162" s="218">
        <v>182743</v>
      </c>
      <c r="E162" s="219">
        <v>182743</v>
      </c>
      <c r="F162" s="292">
        <f t="shared" si="6"/>
        <v>177180</v>
      </c>
      <c r="G162" s="288" t="b">
        <f t="shared" si="7"/>
        <v>1</v>
      </c>
      <c r="H162" s="288" t="b">
        <f t="shared" si="8"/>
        <v>1</v>
      </c>
      <c r="I162" s="212"/>
      <c r="J162" s="209" t="s">
        <v>498</v>
      </c>
      <c r="K162" s="209" t="s">
        <v>614</v>
      </c>
      <c r="L162" s="230">
        <v>0</v>
      </c>
      <c r="M162" s="231">
        <v>182743</v>
      </c>
      <c r="N162" s="295"/>
      <c r="O162" s="295"/>
    </row>
    <row r="163" spans="1:15">
      <c r="A163" s="212"/>
      <c r="B163" s="209" t="s">
        <v>505</v>
      </c>
      <c r="C163" s="209" t="s">
        <v>615</v>
      </c>
      <c r="D163" s="218">
        <v>39784</v>
      </c>
      <c r="E163" s="219">
        <v>39784</v>
      </c>
      <c r="F163" s="292">
        <f t="shared" si="6"/>
        <v>-142959</v>
      </c>
      <c r="G163" s="288" t="b">
        <f t="shared" si="7"/>
        <v>1</v>
      </c>
      <c r="H163" s="288" t="b">
        <f t="shared" si="8"/>
        <v>1</v>
      </c>
      <c r="I163" s="212"/>
      <c r="J163" s="209" t="s">
        <v>505</v>
      </c>
      <c r="K163" s="209" t="s">
        <v>615</v>
      </c>
      <c r="L163" s="230">
        <v>0</v>
      </c>
      <c r="M163" s="231">
        <v>39784</v>
      </c>
    </row>
    <row r="164" spans="1:15">
      <c r="A164" s="212"/>
      <c r="B164" s="209" t="s">
        <v>412</v>
      </c>
      <c r="C164" s="209" t="s">
        <v>419</v>
      </c>
      <c r="D164" s="218">
        <v>59825</v>
      </c>
      <c r="E164" s="219">
        <v>59825</v>
      </c>
      <c r="F164" s="292">
        <f t="shared" si="6"/>
        <v>20041</v>
      </c>
      <c r="G164" s="288" t="b">
        <f t="shared" si="7"/>
        <v>1</v>
      </c>
      <c r="H164" s="288" t="b">
        <f t="shared" si="8"/>
        <v>1</v>
      </c>
      <c r="I164" s="212"/>
      <c r="J164" s="209" t="s">
        <v>412</v>
      </c>
      <c r="K164" s="209" t="s">
        <v>419</v>
      </c>
      <c r="L164" s="230">
        <v>0</v>
      </c>
      <c r="M164" s="231">
        <v>59825</v>
      </c>
    </row>
    <row r="165" spans="1:15">
      <c r="A165" s="212"/>
      <c r="B165" s="209" t="s">
        <v>241</v>
      </c>
      <c r="C165" s="209" t="s">
        <v>616</v>
      </c>
      <c r="D165" s="218">
        <v>45300</v>
      </c>
      <c r="E165" s="219">
        <v>45300</v>
      </c>
      <c r="F165" s="292">
        <f t="shared" si="6"/>
        <v>-14525</v>
      </c>
      <c r="G165" s="288" t="b">
        <f t="shared" si="7"/>
        <v>1</v>
      </c>
      <c r="H165" s="288" t="b">
        <f t="shared" si="8"/>
        <v>1</v>
      </c>
      <c r="I165" s="212"/>
      <c r="J165" s="209" t="s">
        <v>241</v>
      </c>
      <c r="K165" s="209" t="s">
        <v>616</v>
      </c>
      <c r="L165" s="230">
        <v>0</v>
      </c>
      <c r="M165" s="231">
        <v>45300</v>
      </c>
    </row>
    <row r="166" spans="1:15">
      <c r="A166" s="212"/>
      <c r="B166" s="209" t="s">
        <v>274</v>
      </c>
      <c r="C166" s="209" t="s">
        <v>617</v>
      </c>
      <c r="D166" s="218">
        <v>4566</v>
      </c>
      <c r="E166" s="219">
        <v>4566</v>
      </c>
      <c r="F166" s="292">
        <f t="shared" si="6"/>
        <v>-40734</v>
      </c>
      <c r="G166" s="288" t="b">
        <f t="shared" si="7"/>
        <v>1</v>
      </c>
      <c r="H166" s="288" t="b">
        <f t="shared" si="8"/>
        <v>1</v>
      </c>
      <c r="I166" s="212"/>
      <c r="J166" s="209" t="s">
        <v>274</v>
      </c>
      <c r="K166" s="209" t="s">
        <v>617</v>
      </c>
      <c r="L166" s="230">
        <v>0</v>
      </c>
      <c r="M166" s="231">
        <v>4566</v>
      </c>
    </row>
    <row r="167" spans="1:15">
      <c r="A167" s="212"/>
      <c r="B167" s="209" t="s">
        <v>242</v>
      </c>
      <c r="C167" s="209" t="s">
        <v>245</v>
      </c>
      <c r="D167" s="218">
        <v>154635</v>
      </c>
      <c r="E167" s="219">
        <v>154635</v>
      </c>
      <c r="F167" s="292">
        <f t="shared" si="6"/>
        <v>150069</v>
      </c>
      <c r="G167" s="288" t="b">
        <f t="shared" si="7"/>
        <v>1</v>
      </c>
      <c r="H167" s="288" t="b">
        <f t="shared" si="8"/>
        <v>1</v>
      </c>
      <c r="I167" s="212"/>
      <c r="J167" s="209" t="s">
        <v>242</v>
      </c>
      <c r="K167" s="209" t="s">
        <v>245</v>
      </c>
      <c r="L167" s="230">
        <v>0</v>
      </c>
      <c r="M167" s="231">
        <v>154635</v>
      </c>
    </row>
    <row r="168" spans="1:15">
      <c r="A168" s="212"/>
      <c r="B168" s="209" t="s">
        <v>231</v>
      </c>
      <c r="C168" s="209" t="s">
        <v>618</v>
      </c>
      <c r="D168" s="218">
        <v>286675</v>
      </c>
      <c r="E168" s="219">
        <v>286675</v>
      </c>
      <c r="F168" s="292">
        <f t="shared" si="6"/>
        <v>132040</v>
      </c>
      <c r="G168" s="288" t="b">
        <f t="shared" si="7"/>
        <v>1</v>
      </c>
      <c r="H168" s="288" t="b">
        <f t="shared" si="8"/>
        <v>1</v>
      </c>
      <c r="I168" s="212"/>
      <c r="J168" s="209" t="s">
        <v>231</v>
      </c>
      <c r="K168" s="209" t="s">
        <v>618</v>
      </c>
      <c r="L168" s="230">
        <v>0</v>
      </c>
      <c r="M168" s="231">
        <v>286675</v>
      </c>
    </row>
    <row r="169" spans="1:15">
      <c r="A169" s="212"/>
      <c r="B169" s="209" t="s">
        <v>232</v>
      </c>
      <c r="C169" s="209" t="s">
        <v>619</v>
      </c>
      <c r="D169" s="218">
        <v>105185</v>
      </c>
      <c r="E169" s="219">
        <v>105185</v>
      </c>
      <c r="F169" s="292">
        <f t="shared" si="6"/>
        <v>-181490</v>
      </c>
      <c r="G169" s="288" t="b">
        <f t="shared" si="7"/>
        <v>1</v>
      </c>
      <c r="H169" s="288" t="b">
        <f t="shared" si="8"/>
        <v>1</v>
      </c>
      <c r="I169" s="212"/>
      <c r="J169" s="209" t="s">
        <v>232</v>
      </c>
      <c r="K169" s="209" t="s">
        <v>619</v>
      </c>
      <c r="L169" s="230">
        <v>0</v>
      </c>
      <c r="M169" s="231">
        <v>105185</v>
      </c>
    </row>
    <row r="170" spans="1:15">
      <c r="A170" s="209" t="s">
        <v>292</v>
      </c>
      <c r="B170" s="210"/>
      <c r="C170" s="210"/>
      <c r="D170" s="218">
        <v>1163384</v>
      </c>
      <c r="E170" s="219">
        <v>1163384</v>
      </c>
      <c r="F170" s="292">
        <f t="shared" si="6"/>
        <v>1058199</v>
      </c>
      <c r="G170" s="288" t="b">
        <f t="shared" si="7"/>
        <v>1</v>
      </c>
      <c r="H170" s="288" t="b">
        <f t="shared" si="8"/>
        <v>1</v>
      </c>
      <c r="I170" s="209" t="s">
        <v>292</v>
      </c>
      <c r="J170" s="210"/>
      <c r="K170" s="210"/>
      <c r="L170" s="230">
        <v>0</v>
      </c>
      <c r="M170" s="382">
        <v>1163384</v>
      </c>
      <c r="N170" s="295">
        <f>'Lake WA'!H55</f>
        <v>0</v>
      </c>
      <c r="O170" s="295">
        <f>GETPIVOTDATA("Sum of Amount",$I$2,"OrgName","Lake Washington Institute of Technology")-N170</f>
        <v>1163384</v>
      </c>
    </row>
    <row r="171" spans="1:15">
      <c r="A171" s="209" t="s">
        <v>96</v>
      </c>
      <c r="B171" s="209" t="s">
        <v>240</v>
      </c>
      <c r="C171" s="209" t="s">
        <v>369</v>
      </c>
      <c r="D171" s="218">
        <v>229526</v>
      </c>
      <c r="E171" s="219">
        <v>229526</v>
      </c>
      <c r="F171" s="292">
        <f t="shared" si="6"/>
        <v>-933858</v>
      </c>
      <c r="G171" s="288" t="b">
        <f t="shared" si="7"/>
        <v>1</v>
      </c>
      <c r="H171" s="288" t="b">
        <f t="shared" si="8"/>
        <v>1</v>
      </c>
      <c r="I171" s="209" t="s">
        <v>96</v>
      </c>
      <c r="J171" s="209" t="s">
        <v>240</v>
      </c>
      <c r="K171" s="209" t="s">
        <v>369</v>
      </c>
      <c r="L171" s="230">
        <v>0</v>
      </c>
      <c r="M171" s="231">
        <v>229526</v>
      </c>
    </row>
    <row r="172" spans="1:15">
      <c r="A172" s="212"/>
      <c r="B172" s="209" t="s">
        <v>497</v>
      </c>
      <c r="C172" s="209" t="s">
        <v>620</v>
      </c>
      <c r="D172" s="218">
        <v>5563</v>
      </c>
      <c r="E172" s="219">
        <v>5563</v>
      </c>
      <c r="F172" s="292">
        <f t="shared" si="6"/>
        <v>-223963</v>
      </c>
      <c r="G172" s="288" t="b">
        <f t="shared" si="7"/>
        <v>1</v>
      </c>
      <c r="H172" s="288" t="b">
        <f t="shared" si="8"/>
        <v>1</v>
      </c>
      <c r="I172" s="212"/>
      <c r="J172" s="209" t="s">
        <v>497</v>
      </c>
      <c r="K172" s="209" t="s">
        <v>620</v>
      </c>
      <c r="L172" s="230">
        <v>0</v>
      </c>
      <c r="M172" s="231">
        <v>5563</v>
      </c>
    </row>
    <row r="173" spans="1:15">
      <c r="A173" s="212"/>
      <c r="B173" s="209" t="s">
        <v>498</v>
      </c>
      <c r="C173" s="209" t="s">
        <v>621</v>
      </c>
      <c r="D173" s="218">
        <v>182922</v>
      </c>
      <c r="E173" s="219">
        <v>182922</v>
      </c>
      <c r="F173" s="292">
        <f t="shared" si="6"/>
        <v>177359</v>
      </c>
      <c r="G173" s="288" t="b">
        <f t="shared" si="7"/>
        <v>1</v>
      </c>
      <c r="H173" s="288" t="b">
        <f t="shared" si="8"/>
        <v>1</v>
      </c>
      <c r="I173" s="212"/>
      <c r="J173" s="209" t="s">
        <v>498</v>
      </c>
      <c r="K173" s="209" t="s">
        <v>621</v>
      </c>
      <c r="L173" s="230">
        <v>0</v>
      </c>
      <c r="M173" s="231">
        <v>182922</v>
      </c>
    </row>
    <row r="174" spans="1:15">
      <c r="A174" s="212"/>
      <c r="B174" s="209" t="s">
        <v>505</v>
      </c>
      <c r="C174" s="209" t="s">
        <v>622</v>
      </c>
      <c r="D174" s="218">
        <v>36046</v>
      </c>
      <c r="E174" s="219">
        <v>36046</v>
      </c>
      <c r="F174" s="292">
        <f t="shared" si="6"/>
        <v>-146876</v>
      </c>
      <c r="G174" s="288" t="b">
        <f t="shared" si="7"/>
        <v>1</v>
      </c>
      <c r="H174" s="288" t="b">
        <f t="shared" si="8"/>
        <v>1</v>
      </c>
      <c r="I174" s="212"/>
      <c r="J174" s="209" t="s">
        <v>505</v>
      </c>
      <c r="K174" s="209" t="s">
        <v>622</v>
      </c>
      <c r="L174" s="230">
        <v>0</v>
      </c>
      <c r="M174" s="231">
        <v>36046</v>
      </c>
    </row>
    <row r="175" spans="1:15">
      <c r="A175" s="212"/>
      <c r="B175" s="209" t="s">
        <v>241</v>
      </c>
      <c r="C175" s="209" t="s">
        <v>623</v>
      </c>
      <c r="D175" s="218">
        <v>15100</v>
      </c>
      <c r="E175" s="219">
        <v>15100</v>
      </c>
      <c r="F175" s="292">
        <f t="shared" si="6"/>
        <v>-20946</v>
      </c>
      <c r="G175" s="288" t="b">
        <f t="shared" si="7"/>
        <v>1</v>
      </c>
      <c r="H175" s="288" t="b">
        <f t="shared" si="8"/>
        <v>1</v>
      </c>
      <c r="I175" s="212"/>
      <c r="J175" s="209" t="s">
        <v>241</v>
      </c>
      <c r="K175" s="209" t="s">
        <v>623</v>
      </c>
      <c r="L175" s="230">
        <v>0</v>
      </c>
      <c r="M175" s="231">
        <v>15100</v>
      </c>
    </row>
    <row r="176" spans="1:15">
      <c r="A176" s="212"/>
      <c r="B176" s="209" t="s">
        <v>242</v>
      </c>
      <c r="C176" s="209" t="s">
        <v>370</v>
      </c>
      <c r="D176" s="218">
        <v>95435</v>
      </c>
      <c r="E176" s="219">
        <v>95435</v>
      </c>
      <c r="F176" s="292">
        <f t="shared" si="6"/>
        <v>80335</v>
      </c>
      <c r="G176" s="288" t="b">
        <f t="shared" si="7"/>
        <v>1</v>
      </c>
      <c r="H176" s="288" t="b">
        <f t="shared" si="8"/>
        <v>1</v>
      </c>
      <c r="I176" s="212"/>
      <c r="J176" s="209" t="s">
        <v>242</v>
      </c>
      <c r="K176" s="209" t="s">
        <v>370</v>
      </c>
      <c r="L176" s="230">
        <v>0</v>
      </c>
      <c r="M176" s="231">
        <v>95435</v>
      </c>
    </row>
    <row r="177" spans="1:15">
      <c r="A177" s="212"/>
      <c r="B177" s="209" t="s">
        <v>359</v>
      </c>
      <c r="C177" s="209" t="s">
        <v>624</v>
      </c>
      <c r="D177" s="218">
        <v>5000</v>
      </c>
      <c r="E177" s="219">
        <v>5000</v>
      </c>
      <c r="F177" s="292">
        <f t="shared" si="6"/>
        <v>-90435</v>
      </c>
      <c r="G177" s="288" t="b">
        <f t="shared" si="7"/>
        <v>1</v>
      </c>
      <c r="H177" s="288" t="b">
        <f t="shared" si="8"/>
        <v>1</v>
      </c>
      <c r="I177" s="212"/>
      <c r="J177" s="209" t="s">
        <v>359</v>
      </c>
      <c r="K177" s="209" t="s">
        <v>624</v>
      </c>
      <c r="L177" s="230">
        <v>0</v>
      </c>
      <c r="M177" s="231">
        <v>5000</v>
      </c>
    </row>
    <row r="178" spans="1:15">
      <c r="A178" s="212"/>
      <c r="B178" s="209" t="s">
        <v>231</v>
      </c>
      <c r="C178" s="209" t="s">
        <v>625</v>
      </c>
      <c r="D178" s="218">
        <v>313052</v>
      </c>
      <c r="E178" s="219">
        <v>313052</v>
      </c>
      <c r="F178" s="292">
        <f t="shared" si="6"/>
        <v>308052</v>
      </c>
      <c r="G178" s="288" t="b">
        <f t="shared" si="7"/>
        <v>1</v>
      </c>
      <c r="H178" s="288" t="b">
        <f t="shared" si="8"/>
        <v>1</v>
      </c>
      <c r="I178" s="212"/>
      <c r="J178" s="209" t="s">
        <v>231</v>
      </c>
      <c r="K178" s="209" t="s">
        <v>625</v>
      </c>
      <c r="L178" s="230">
        <v>0</v>
      </c>
      <c r="M178" s="231">
        <v>313052</v>
      </c>
    </row>
    <row r="179" spans="1:15">
      <c r="A179" s="212"/>
      <c r="B179" s="209" t="s">
        <v>232</v>
      </c>
      <c r="C179" s="209" t="s">
        <v>626</v>
      </c>
      <c r="D179" s="218">
        <v>830405</v>
      </c>
      <c r="E179" s="219">
        <v>830405</v>
      </c>
      <c r="F179" s="292">
        <f t="shared" si="6"/>
        <v>517353</v>
      </c>
      <c r="G179" s="288" t="b">
        <f t="shared" si="7"/>
        <v>1</v>
      </c>
      <c r="H179" s="288" t="b">
        <f t="shared" si="8"/>
        <v>1</v>
      </c>
      <c r="I179" s="212"/>
      <c r="J179" s="209" t="s">
        <v>232</v>
      </c>
      <c r="K179" s="209" t="s">
        <v>626</v>
      </c>
      <c r="L179" s="230">
        <v>0</v>
      </c>
      <c r="M179" s="231">
        <v>830405</v>
      </c>
    </row>
    <row r="180" spans="1:15">
      <c r="A180" s="209" t="s">
        <v>293</v>
      </c>
      <c r="B180" s="210"/>
      <c r="C180" s="210"/>
      <c r="D180" s="218">
        <v>1713049</v>
      </c>
      <c r="E180" s="219">
        <v>1713049</v>
      </c>
      <c r="F180" s="292">
        <f t="shared" si="6"/>
        <v>882644</v>
      </c>
      <c r="G180" s="288" t="b">
        <f t="shared" si="7"/>
        <v>1</v>
      </c>
      <c r="H180" s="288" t="b">
        <f t="shared" si="8"/>
        <v>1</v>
      </c>
      <c r="I180" s="209" t="s">
        <v>293</v>
      </c>
      <c r="J180" s="210"/>
      <c r="K180" s="210"/>
      <c r="L180" s="230">
        <v>0</v>
      </c>
      <c r="M180" s="382">
        <v>1713049</v>
      </c>
      <c r="N180" s="295">
        <f>'Lower Columbia'!H53</f>
        <v>0</v>
      </c>
      <c r="O180" s="295">
        <f>GETPIVOTDATA("Sum of Amount",$I$2,"OrgName","Lower Columbia College")-N180</f>
        <v>1713049</v>
      </c>
    </row>
    <row r="181" spans="1:15">
      <c r="A181" s="209" t="s">
        <v>97</v>
      </c>
      <c r="B181" s="209" t="s">
        <v>240</v>
      </c>
      <c r="C181" s="209" t="s">
        <v>371</v>
      </c>
      <c r="D181" s="218">
        <v>696083</v>
      </c>
      <c r="E181" s="219">
        <v>696083</v>
      </c>
      <c r="F181" s="292">
        <f t="shared" si="6"/>
        <v>-1016966</v>
      </c>
      <c r="G181" s="288" t="b">
        <f t="shared" si="7"/>
        <v>1</v>
      </c>
      <c r="H181" s="288" t="b">
        <f t="shared" si="8"/>
        <v>1</v>
      </c>
      <c r="I181" s="209" t="s">
        <v>320</v>
      </c>
      <c r="J181" s="209" t="s">
        <v>240</v>
      </c>
      <c r="K181" s="209" t="s">
        <v>371</v>
      </c>
      <c r="L181" s="230">
        <v>0</v>
      </c>
      <c r="M181" s="231">
        <v>696083</v>
      </c>
    </row>
    <row r="182" spans="1:15">
      <c r="A182" s="212"/>
      <c r="B182" s="209" t="s">
        <v>497</v>
      </c>
      <c r="C182" s="209" t="s">
        <v>627</v>
      </c>
      <c r="D182" s="218">
        <v>6588</v>
      </c>
      <c r="E182" s="219">
        <v>6588</v>
      </c>
      <c r="F182" s="292">
        <f t="shared" si="6"/>
        <v>-689495</v>
      </c>
      <c r="G182" s="288" t="b">
        <f t="shared" si="7"/>
        <v>1</v>
      </c>
      <c r="H182" s="288" t="b">
        <f t="shared" si="8"/>
        <v>1</v>
      </c>
      <c r="I182" s="212"/>
      <c r="J182" s="209" t="s">
        <v>497</v>
      </c>
      <c r="K182" s="209" t="s">
        <v>627</v>
      </c>
      <c r="L182" s="230">
        <v>0</v>
      </c>
      <c r="M182" s="231">
        <v>6588</v>
      </c>
    </row>
    <row r="183" spans="1:15">
      <c r="A183" s="212"/>
      <c r="B183" s="209" t="s">
        <v>498</v>
      </c>
      <c r="C183" s="209" t="s">
        <v>628</v>
      </c>
      <c r="D183" s="218">
        <v>159099</v>
      </c>
      <c r="E183" s="219">
        <v>159099</v>
      </c>
      <c r="F183" s="292">
        <f t="shared" si="6"/>
        <v>152511</v>
      </c>
      <c r="G183" s="288" t="b">
        <f t="shared" si="7"/>
        <v>1</v>
      </c>
      <c r="H183" s="288" t="b">
        <f t="shared" si="8"/>
        <v>1</v>
      </c>
      <c r="I183" s="212"/>
      <c r="J183" s="209" t="s">
        <v>498</v>
      </c>
      <c r="K183" s="209" t="s">
        <v>628</v>
      </c>
      <c r="L183" s="230">
        <v>0</v>
      </c>
      <c r="M183" s="231">
        <v>159099</v>
      </c>
    </row>
    <row r="184" spans="1:15">
      <c r="A184" s="212"/>
      <c r="B184" s="209" t="s">
        <v>505</v>
      </c>
      <c r="C184" s="209" t="s">
        <v>629</v>
      </c>
      <c r="D184" s="218">
        <v>40392</v>
      </c>
      <c r="E184" s="219">
        <v>40392</v>
      </c>
      <c r="F184" s="292">
        <f t="shared" si="6"/>
        <v>-118707</v>
      </c>
      <c r="G184" s="288" t="b">
        <f t="shared" si="7"/>
        <v>1</v>
      </c>
      <c r="H184" s="288" t="b">
        <f t="shared" si="8"/>
        <v>1</v>
      </c>
      <c r="I184" s="212"/>
      <c r="J184" s="209" t="s">
        <v>505</v>
      </c>
      <c r="K184" s="209" t="s">
        <v>629</v>
      </c>
      <c r="L184" s="230">
        <v>0</v>
      </c>
      <c r="M184" s="231">
        <v>40392</v>
      </c>
    </row>
    <row r="185" spans="1:15">
      <c r="A185" s="212"/>
      <c r="B185" s="209" t="s">
        <v>241</v>
      </c>
      <c r="C185" s="209" t="s">
        <v>630</v>
      </c>
      <c r="D185" s="218">
        <v>15100</v>
      </c>
      <c r="E185" s="219">
        <v>15100</v>
      </c>
      <c r="F185" s="292">
        <f t="shared" si="6"/>
        <v>-25292</v>
      </c>
      <c r="G185" s="288" t="b">
        <f t="shared" si="7"/>
        <v>1</v>
      </c>
      <c r="H185" s="288" t="b">
        <f t="shared" si="8"/>
        <v>1</v>
      </c>
      <c r="I185" s="212"/>
      <c r="J185" s="209" t="s">
        <v>241</v>
      </c>
      <c r="K185" s="209" t="s">
        <v>630</v>
      </c>
      <c r="L185" s="230">
        <v>0</v>
      </c>
      <c r="M185" s="231">
        <v>15100</v>
      </c>
    </row>
    <row r="186" spans="1:15">
      <c r="A186" s="212"/>
      <c r="B186" s="209" t="s">
        <v>242</v>
      </c>
      <c r="C186" s="209" t="s">
        <v>246</v>
      </c>
      <c r="D186" s="218">
        <v>154635</v>
      </c>
      <c r="E186" s="219">
        <v>154635</v>
      </c>
      <c r="F186" s="292">
        <f t="shared" si="6"/>
        <v>139535</v>
      </c>
      <c r="G186" s="288" t="b">
        <f t="shared" si="7"/>
        <v>1</v>
      </c>
      <c r="H186" s="288" t="b">
        <f t="shared" si="8"/>
        <v>1</v>
      </c>
      <c r="I186" s="212"/>
      <c r="J186" s="209" t="s">
        <v>242</v>
      </c>
      <c r="K186" s="209" t="s">
        <v>246</v>
      </c>
      <c r="L186" s="230">
        <v>0</v>
      </c>
      <c r="M186" s="231">
        <v>154635</v>
      </c>
    </row>
    <row r="187" spans="1:15">
      <c r="A187" s="212"/>
      <c r="B187" s="209" t="s">
        <v>235</v>
      </c>
      <c r="C187" s="209" t="s">
        <v>631</v>
      </c>
      <c r="D187" s="218">
        <v>11700</v>
      </c>
      <c r="E187" s="219">
        <v>11700</v>
      </c>
      <c r="F187" s="292">
        <f t="shared" si="6"/>
        <v>-142935</v>
      </c>
      <c r="G187" s="288" t="b">
        <f t="shared" si="7"/>
        <v>1</v>
      </c>
      <c r="H187" s="288" t="b">
        <f t="shared" si="8"/>
        <v>1</v>
      </c>
      <c r="I187" s="212"/>
      <c r="J187" s="209" t="s">
        <v>235</v>
      </c>
      <c r="K187" s="209" t="s">
        <v>631</v>
      </c>
      <c r="L187" s="230">
        <v>0</v>
      </c>
      <c r="M187" s="231">
        <v>11700</v>
      </c>
    </row>
    <row r="188" spans="1:15">
      <c r="A188" s="212"/>
      <c r="B188" s="209" t="s">
        <v>231</v>
      </c>
      <c r="C188" s="209" t="s">
        <v>632</v>
      </c>
      <c r="D188" s="218">
        <v>161887</v>
      </c>
      <c r="E188" s="219">
        <v>161887</v>
      </c>
      <c r="F188" s="292">
        <f t="shared" si="6"/>
        <v>150187</v>
      </c>
      <c r="G188" s="288" t="b">
        <f t="shared" si="7"/>
        <v>1</v>
      </c>
      <c r="H188" s="288" t="b">
        <f t="shared" si="8"/>
        <v>1</v>
      </c>
      <c r="I188" s="212"/>
      <c r="J188" s="209" t="s">
        <v>231</v>
      </c>
      <c r="K188" s="209" t="s">
        <v>632</v>
      </c>
      <c r="L188" s="230">
        <v>0</v>
      </c>
      <c r="M188" s="231">
        <v>161887</v>
      </c>
    </row>
    <row r="189" spans="1:15">
      <c r="A189" s="212"/>
      <c r="B189" s="209" t="s">
        <v>232</v>
      </c>
      <c r="C189" s="209" t="s">
        <v>633</v>
      </c>
      <c r="D189" s="218">
        <v>181187</v>
      </c>
      <c r="E189" s="219">
        <v>181187</v>
      </c>
      <c r="F189" s="292">
        <f t="shared" si="6"/>
        <v>19300</v>
      </c>
      <c r="G189" s="288" t="b">
        <f t="shared" si="7"/>
        <v>1</v>
      </c>
      <c r="H189" s="288" t="b">
        <f t="shared" si="8"/>
        <v>1</v>
      </c>
      <c r="I189" s="212"/>
      <c r="J189" s="209" t="s">
        <v>232</v>
      </c>
      <c r="K189" s="209" t="s">
        <v>633</v>
      </c>
      <c r="L189" s="230">
        <v>0</v>
      </c>
      <c r="M189" s="231">
        <v>181187</v>
      </c>
    </row>
    <row r="190" spans="1:15">
      <c r="A190" s="209" t="s">
        <v>294</v>
      </c>
      <c r="B190" s="210"/>
      <c r="C190" s="210"/>
      <c r="D190" s="218">
        <v>1426671</v>
      </c>
      <c r="E190" s="219">
        <v>1426671</v>
      </c>
      <c r="F190" s="292">
        <f t="shared" si="6"/>
        <v>1245484</v>
      </c>
      <c r="G190" s="288" t="b">
        <f t="shared" si="7"/>
        <v>1</v>
      </c>
      <c r="H190" s="288" t="b">
        <f t="shared" si="8"/>
        <v>1</v>
      </c>
      <c r="I190" s="209" t="s">
        <v>324</v>
      </c>
      <c r="J190" s="210"/>
      <c r="K190" s="210"/>
      <c r="L190" s="342">
        <v>0</v>
      </c>
      <c r="M190" s="343">
        <v>1426671</v>
      </c>
      <c r="N190" s="148">
        <f>Seattle!H54+Seattle!H55+Seattle!H56+Seattle!H57+Seattle!H58+Seattle!H59+Seattle!H60+Seattle!H61+Seattle!H62</f>
        <v>0</v>
      </c>
      <c r="O190" s="148">
        <f>GETPIVOTDATA("Sum of Amount",$I$2,"OrgName","North Seattle College")-N190</f>
        <v>1426671</v>
      </c>
    </row>
    <row r="191" spans="1:15">
      <c r="A191" s="209" t="s">
        <v>98</v>
      </c>
      <c r="B191" s="209" t="s">
        <v>240</v>
      </c>
      <c r="C191" s="209" t="s">
        <v>372</v>
      </c>
      <c r="D191" s="218">
        <v>237182</v>
      </c>
      <c r="E191" s="219">
        <v>237182</v>
      </c>
      <c r="F191" s="292">
        <f t="shared" si="6"/>
        <v>-1189489</v>
      </c>
      <c r="G191" s="288" t="b">
        <f t="shared" si="7"/>
        <v>1</v>
      </c>
      <c r="H191" s="288" t="b">
        <f t="shared" si="8"/>
        <v>1</v>
      </c>
      <c r="I191" s="209" t="s">
        <v>98</v>
      </c>
      <c r="J191" s="209" t="s">
        <v>240</v>
      </c>
      <c r="K191" s="209" t="s">
        <v>372</v>
      </c>
      <c r="L191" s="230">
        <v>0</v>
      </c>
      <c r="M191" s="231">
        <v>237182</v>
      </c>
    </row>
    <row r="192" spans="1:15">
      <c r="A192" s="212"/>
      <c r="B192" s="209" t="s">
        <v>497</v>
      </c>
      <c r="C192" s="209" t="s">
        <v>634</v>
      </c>
      <c r="D192" s="218">
        <v>6588</v>
      </c>
      <c r="E192" s="219">
        <v>6588</v>
      </c>
      <c r="F192" s="292">
        <f t="shared" si="6"/>
        <v>-230594</v>
      </c>
      <c r="G192" s="288" t="b">
        <f t="shared" si="7"/>
        <v>1</v>
      </c>
      <c r="H192" s="288" t="b">
        <f t="shared" si="8"/>
        <v>1</v>
      </c>
      <c r="I192" s="212"/>
      <c r="J192" s="209" t="s">
        <v>497</v>
      </c>
      <c r="K192" s="209" t="s">
        <v>634</v>
      </c>
      <c r="L192" s="230">
        <v>0</v>
      </c>
      <c r="M192" s="231">
        <v>6588</v>
      </c>
    </row>
    <row r="193" spans="1:15">
      <c r="A193" s="212"/>
      <c r="B193" s="209" t="s">
        <v>498</v>
      </c>
      <c r="C193" s="209" t="s">
        <v>635</v>
      </c>
      <c r="D193" s="218">
        <v>84095</v>
      </c>
      <c r="E193" s="219">
        <v>84095</v>
      </c>
      <c r="F193" s="292">
        <f t="shared" si="6"/>
        <v>77507</v>
      </c>
      <c r="G193" s="288" t="b">
        <f t="shared" si="7"/>
        <v>1</v>
      </c>
      <c r="H193" s="288" t="b">
        <f t="shared" si="8"/>
        <v>1</v>
      </c>
      <c r="I193" s="212"/>
      <c r="J193" s="209" t="s">
        <v>498</v>
      </c>
      <c r="K193" s="209" t="s">
        <v>635</v>
      </c>
      <c r="L193" s="230">
        <v>0</v>
      </c>
      <c r="M193" s="231">
        <v>84095</v>
      </c>
    </row>
    <row r="194" spans="1:15">
      <c r="A194" s="212"/>
      <c r="B194" s="209" t="s">
        <v>505</v>
      </c>
      <c r="C194" s="209" t="s">
        <v>636</v>
      </c>
      <c r="D194" s="218">
        <v>16549</v>
      </c>
      <c r="E194" s="219">
        <v>16549</v>
      </c>
      <c r="F194" s="292">
        <f t="shared" si="6"/>
        <v>-67546</v>
      </c>
      <c r="G194" s="288" t="b">
        <f t="shared" si="7"/>
        <v>1</v>
      </c>
      <c r="H194" s="288" t="b">
        <f t="shared" si="8"/>
        <v>1</v>
      </c>
      <c r="I194" s="212"/>
      <c r="J194" s="209" t="s">
        <v>505</v>
      </c>
      <c r="K194" s="209" t="s">
        <v>636</v>
      </c>
      <c r="L194" s="230">
        <v>0</v>
      </c>
      <c r="M194" s="231">
        <v>16549</v>
      </c>
    </row>
    <row r="195" spans="1:15">
      <c r="A195" s="212"/>
      <c r="B195" s="209" t="s">
        <v>241</v>
      </c>
      <c r="C195" s="209" t="s">
        <v>637</v>
      </c>
      <c r="D195" s="218">
        <v>30200</v>
      </c>
      <c r="E195" s="219">
        <v>30200</v>
      </c>
      <c r="F195" s="292">
        <f t="shared" si="6"/>
        <v>13651</v>
      </c>
      <c r="G195" s="288" t="b">
        <f t="shared" si="7"/>
        <v>1</v>
      </c>
      <c r="H195" s="288" t="b">
        <f t="shared" si="8"/>
        <v>1</v>
      </c>
      <c r="I195" s="212"/>
      <c r="J195" s="209" t="s">
        <v>241</v>
      </c>
      <c r="K195" s="209" t="s">
        <v>637</v>
      </c>
      <c r="L195" s="230">
        <v>0</v>
      </c>
      <c r="M195" s="231">
        <v>30200</v>
      </c>
    </row>
    <row r="196" spans="1:15">
      <c r="A196" s="212"/>
      <c r="B196" s="209" t="s">
        <v>242</v>
      </c>
      <c r="C196" s="209" t="s">
        <v>373</v>
      </c>
      <c r="D196" s="218">
        <v>95435</v>
      </c>
      <c r="E196" s="219">
        <v>95435</v>
      </c>
      <c r="F196" s="292">
        <f t="shared" si="6"/>
        <v>65235</v>
      </c>
      <c r="G196" s="288" t="b">
        <f t="shared" si="7"/>
        <v>1</v>
      </c>
      <c r="H196" s="288" t="b">
        <f t="shared" si="8"/>
        <v>1</v>
      </c>
      <c r="I196" s="212"/>
      <c r="J196" s="209" t="s">
        <v>242</v>
      </c>
      <c r="K196" s="209" t="s">
        <v>373</v>
      </c>
      <c r="L196" s="230">
        <v>0</v>
      </c>
      <c r="M196" s="231">
        <v>95435</v>
      </c>
    </row>
    <row r="197" spans="1:15">
      <c r="A197" s="212"/>
      <c r="B197" s="209" t="s">
        <v>235</v>
      </c>
      <c r="C197" s="209" t="s">
        <v>638</v>
      </c>
      <c r="D197" s="218">
        <v>11827</v>
      </c>
      <c r="E197" s="219">
        <v>11827</v>
      </c>
      <c r="F197" s="292">
        <f t="shared" ref="F197:F260" si="9">E197-M196</f>
        <v>-83608</v>
      </c>
      <c r="G197" s="288" t="b">
        <f t="shared" si="7"/>
        <v>1</v>
      </c>
      <c r="H197" s="288" t="b">
        <f t="shared" si="8"/>
        <v>1</v>
      </c>
      <c r="I197" s="212"/>
      <c r="J197" s="209" t="s">
        <v>235</v>
      </c>
      <c r="K197" s="209" t="s">
        <v>638</v>
      </c>
      <c r="L197" s="230">
        <v>0</v>
      </c>
      <c r="M197" s="231">
        <v>11827</v>
      </c>
    </row>
    <row r="198" spans="1:15">
      <c r="A198" s="212"/>
      <c r="B198" s="209" t="s">
        <v>233</v>
      </c>
      <c r="C198" s="209" t="s">
        <v>639</v>
      </c>
      <c r="D198" s="218">
        <v>16000</v>
      </c>
      <c r="E198" s="219">
        <v>16000</v>
      </c>
      <c r="F198" s="292">
        <f t="shared" si="9"/>
        <v>4173</v>
      </c>
      <c r="G198" s="288" t="b">
        <f t="shared" si="7"/>
        <v>1</v>
      </c>
      <c r="H198" s="288" t="b">
        <f t="shared" si="8"/>
        <v>1</v>
      </c>
      <c r="I198" s="212"/>
      <c r="J198" s="209" t="s">
        <v>233</v>
      </c>
      <c r="K198" s="209" t="s">
        <v>639</v>
      </c>
      <c r="L198" s="230">
        <v>0</v>
      </c>
      <c r="M198" s="231">
        <v>16000</v>
      </c>
    </row>
    <row r="199" spans="1:15">
      <c r="A199" s="212"/>
      <c r="B199" s="209" t="s">
        <v>359</v>
      </c>
      <c r="C199" s="209" t="s">
        <v>640</v>
      </c>
      <c r="D199" s="218">
        <v>5000</v>
      </c>
      <c r="E199" s="219">
        <v>5000</v>
      </c>
      <c r="F199" s="292">
        <f t="shared" si="9"/>
        <v>-11000</v>
      </c>
      <c r="G199" s="288" t="b">
        <f t="shared" si="7"/>
        <v>1</v>
      </c>
      <c r="H199" s="288" t="b">
        <f t="shared" si="8"/>
        <v>1</v>
      </c>
      <c r="I199" s="212"/>
      <c r="J199" s="209" t="s">
        <v>359</v>
      </c>
      <c r="K199" s="209" t="s">
        <v>640</v>
      </c>
      <c r="L199" s="230">
        <v>0</v>
      </c>
      <c r="M199" s="231">
        <v>5000</v>
      </c>
    </row>
    <row r="200" spans="1:15">
      <c r="A200" s="212"/>
      <c r="B200" s="209" t="s">
        <v>231</v>
      </c>
      <c r="C200" s="209" t="s">
        <v>641</v>
      </c>
      <c r="D200" s="218">
        <v>392820</v>
      </c>
      <c r="E200" s="219">
        <v>392820</v>
      </c>
      <c r="F200" s="292">
        <f t="shared" si="9"/>
        <v>387820</v>
      </c>
      <c r="G200" s="288" t="b">
        <f t="shared" ref="G200:G263" si="10">IF(B199=J199,TRUE)</f>
        <v>1</v>
      </c>
      <c r="H200" s="288" t="b">
        <f t="shared" ref="H200:H263" si="11">IF(C199=K199,TRUE)</f>
        <v>1</v>
      </c>
      <c r="I200" s="212"/>
      <c r="J200" s="209" t="s">
        <v>231</v>
      </c>
      <c r="K200" s="209" t="s">
        <v>641</v>
      </c>
      <c r="L200" s="230">
        <v>0</v>
      </c>
      <c r="M200" s="231">
        <v>392820</v>
      </c>
    </row>
    <row r="201" spans="1:15">
      <c r="A201" s="212"/>
      <c r="B201" s="209" t="s">
        <v>354</v>
      </c>
      <c r="C201" s="209" t="s">
        <v>642</v>
      </c>
      <c r="D201" s="218">
        <v>85245</v>
      </c>
      <c r="E201" s="219">
        <v>85245</v>
      </c>
      <c r="F201" s="292">
        <f t="shared" si="9"/>
        <v>-307575</v>
      </c>
      <c r="G201" s="288" t="b">
        <f t="shared" si="10"/>
        <v>1</v>
      </c>
      <c r="H201" s="288" t="b">
        <f t="shared" si="11"/>
        <v>1</v>
      </c>
      <c r="I201" s="212"/>
      <c r="J201" s="209" t="s">
        <v>354</v>
      </c>
      <c r="K201" s="209" t="s">
        <v>642</v>
      </c>
      <c r="L201" s="230">
        <v>0</v>
      </c>
      <c r="M201" s="231">
        <v>85245</v>
      </c>
    </row>
    <row r="202" spans="1:15">
      <c r="A202" s="212"/>
      <c r="B202" s="209" t="s">
        <v>232</v>
      </c>
      <c r="C202" s="209" t="s">
        <v>643</v>
      </c>
      <c r="D202" s="218">
        <v>687485</v>
      </c>
      <c r="E202" s="219">
        <v>687485</v>
      </c>
      <c r="F202" s="292">
        <f t="shared" si="9"/>
        <v>602240</v>
      </c>
      <c r="G202" s="288" t="b">
        <f t="shared" si="10"/>
        <v>1</v>
      </c>
      <c r="H202" s="288" t="b">
        <f t="shared" si="11"/>
        <v>1</v>
      </c>
      <c r="I202" s="212"/>
      <c r="J202" s="209" t="s">
        <v>232</v>
      </c>
      <c r="K202" s="209" t="s">
        <v>643</v>
      </c>
      <c r="L202" s="230">
        <v>0</v>
      </c>
      <c r="M202" s="231">
        <v>687485</v>
      </c>
    </row>
    <row r="203" spans="1:15">
      <c r="A203" s="209" t="s">
        <v>295</v>
      </c>
      <c r="B203" s="210"/>
      <c r="C203" s="210"/>
      <c r="D203" s="218">
        <v>1668426</v>
      </c>
      <c r="E203" s="219">
        <v>1668426</v>
      </c>
      <c r="F203" s="292">
        <f t="shared" si="9"/>
        <v>980941</v>
      </c>
      <c r="G203" s="288" t="b">
        <f t="shared" si="10"/>
        <v>1</v>
      </c>
      <c r="H203" s="288" t="b">
        <f t="shared" si="11"/>
        <v>1</v>
      </c>
      <c r="I203" s="209" t="s">
        <v>295</v>
      </c>
      <c r="J203" s="210"/>
      <c r="K203" s="210"/>
      <c r="L203" s="230">
        <v>0</v>
      </c>
      <c r="M203" s="231">
        <v>1668426</v>
      </c>
      <c r="N203" s="295">
        <f>Olympic!H58</f>
        <v>0</v>
      </c>
      <c r="O203" s="295">
        <f>GETPIVOTDATA("Sum of Amount",$I$2,"OrgName","Olympic College")-N203</f>
        <v>1668426</v>
      </c>
    </row>
    <row r="204" spans="1:15">
      <c r="A204" s="209" t="s">
        <v>80</v>
      </c>
      <c r="B204" s="209" t="s">
        <v>240</v>
      </c>
      <c r="C204" s="209" t="s">
        <v>374</v>
      </c>
      <c r="D204" s="218">
        <v>229356</v>
      </c>
      <c r="E204" s="219">
        <v>229356</v>
      </c>
      <c r="F204" s="292">
        <f t="shared" si="9"/>
        <v>-1439070</v>
      </c>
      <c r="G204" s="288" t="b">
        <f t="shared" si="10"/>
        <v>1</v>
      </c>
      <c r="H204" s="288" t="b">
        <f t="shared" si="11"/>
        <v>1</v>
      </c>
      <c r="I204" s="209" t="s">
        <v>80</v>
      </c>
      <c r="J204" s="209" t="s">
        <v>240</v>
      </c>
      <c r="K204" s="209" t="s">
        <v>374</v>
      </c>
      <c r="L204" s="230">
        <v>0</v>
      </c>
      <c r="M204" s="231">
        <v>229356</v>
      </c>
      <c r="N204" s="295"/>
      <c r="O204" s="295"/>
    </row>
    <row r="205" spans="1:15">
      <c r="A205" s="212"/>
      <c r="B205" s="209" t="s">
        <v>497</v>
      </c>
      <c r="C205" s="209" t="s">
        <v>644</v>
      </c>
      <c r="D205" s="218">
        <v>5563</v>
      </c>
      <c r="E205" s="219">
        <v>5563</v>
      </c>
      <c r="F205" s="292">
        <f t="shared" si="9"/>
        <v>-223793</v>
      </c>
      <c r="G205" s="288" t="b">
        <f t="shared" si="10"/>
        <v>1</v>
      </c>
      <c r="H205" s="288" t="b">
        <f t="shared" si="11"/>
        <v>1</v>
      </c>
      <c r="I205" s="212"/>
      <c r="J205" s="209" t="s">
        <v>497</v>
      </c>
      <c r="K205" s="209" t="s">
        <v>644</v>
      </c>
      <c r="L205" s="230">
        <v>0</v>
      </c>
      <c r="M205" s="231">
        <v>5563</v>
      </c>
    </row>
    <row r="206" spans="1:15">
      <c r="A206" s="212"/>
      <c r="B206" s="209" t="s">
        <v>498</v>
      </c>
      <c r="C206" s="209" t="s">
        <v>645</v>
      </c>
      <c r="D206" s="218">
        <v>157090</v>
      </c>
      <c r="E206" s="219">
        <v>157090</v>
      </c>
      <c r="F206" s="292">
        <f t="shared" si="9"/>
        <v>151527</v>
      </c>
      <c r="G206" s="288" t="b">
        <f t="shared" si="10"/>
        <v>1</v>
      </c>
      <c r="H206" s="288" t="b">
        <f t="shared" si="11"/>
        <v>1</v>
      </c>
      <c r="I206" s="212"/>
      <c r="J206" s="209" t="s">
        <v>498</v>
      </c>
      <c r="K206" s="209" t="s">
        <v>645</v>
      </c>
      <c r="L206" s="230">
        <v>0</v>
      </c>
      <c r="M206" s="231">
        <v>157090</v>
      </c>
    </row>
    <row r="207" spans="1:15">
      <c r="A207" s="212"/>
      <c r="B207" s="209" t="s">
        <v>505</v>
      </c>
      <c r="C207" s="209" t="s">
        <v>646</v>
      </c>
      <c r="D207" s="218">
        <v>27679</v>
      </c>
      <c r="E207" s="219">
        <v>27679</v>
      </c>
      <c r="F207" s="292">
        <f t="shared" si="9"/>
        <v>-129411</v>
      </c>
      <c r="G207" s="288" t="b">
        <f t="shared" si="10"/>
        <v>1</v>
      </c>
      <c r="H207" s="288" t="b">
        <f t="shared" si="11"/>
        <v>1</v>
      </c>
      <c r="I207" s="212"/>
      <c r="J207" s="209" t="s">
        <v>505</v>
      </c>
      <c r="K207" s="209" t="s">
        <v>646</v>
      </c>
      <c r="L207" s="230">
        <v>0</v>
      </c>
      <c r="M207" s="231">
        <v>27679</v>
      </c>
    </row>
    <row r="208" spans="1:15">
      <c r="A208" s="212"/>
      <c r="B208" s="209" t="s">
        <v>412</v>
      </c>
      <c r="C208" s="209" t="s">
        <v>420</v>
      </c>
      <c r="D208" s="218">
        <v>24000</v>
      </c>
      <c r="E208" s="219">
        <v>24000</v>
      </c>
      <c r="F208" s="292">
        <f t="shared" si="9"/>
        <v>-3679</v>
      </c>
      <c r="G208" s="288" t="b">
        <f t="shared" si="10"/>
        <v>1</v>
      </c>
      <c r="H208" s="288" t="b">
        <f t="shared" si="11"/>
        <v>1</v>
      </c>
      <c r="I208" s="212"/>
      <c r="J208" s="209" t="s">
        <v>412</v>
      </c>
      <c r="K208" s="209" t="s">
        <v>420</v>
      </c>
      <c r="L208" s="230">
        <v>0</v>
      </c>
      <c r="M208" s="231">
        <v>24000</v>
      </c>
    </row>
    <row r="209" spans="1:16">
      <c r="A209" s="212"/>
      <c r="B209" s="209" t="s">
        <v>267</v>
      </c>
      <c r="C209" s="209" t="s">
        <v>647</v>
      </c>
      <c r="D209" s="218">
        <v>1383943</v>
      </c>
      <c r="E209" s="219">
        <v>1383943</v>
      </c>
      <c r="F209" s="292">
        <f t="shared" si="9"/>
        <v>1359943</v>
      </c>
      <c r="G209" s="288" t="b">
        <f t="shared" si="10"/>
        <v>1</v>
      </c>
      <c r="H209" s="288" t="b">
        <f t="shared" si="11"/>
        <v>1</v>
      </c>
      <c r="I209" s="212"/>
      <c r="J209" s="209" t="s">
        <v>267</v>
      </c>
      <c r="K209" s="209" t="s">
        <v>647</v>
      </c>
      <c r="L209" s="230">
        <v>0</v>
      </c>
      <c r="M209" s="231">
        <v>1383943</v>
      </c>
      <c r="P209" s="298"/>
    </row>
    <row r="210" spans="1:16">
      <c r="A210" s="212"/>
      <c r="B210" s="209" t="s">
        <v>241</v>
      </c>
      <c r="C210" s="209" t="s">
        <v>648</v>
      </c>
      <c r="D210" s="218">
        <v>15100</v>
      </c>
      <c r="E210" s="219">
        <v>15100</v>
      </c>
      <c r="F210" s="292">
        <f t="shared" si="9"/>
        <v>-1368843</v>
      </c>
      <c r="G210" s="288" t="b">
        <f t="shared" si="10"/>
        <v>1</v>
      </c>
      <c r="H210" s="288" t="b">
        <f t="shared" si="11"/>
        <v>1</v>
      </c>
      <c r="I210" s="212"/>
      <c r="J210" s="209" t="s">
        <v>241</v>
      </c>
      <c r="K210" s="209" t="s">
        <v>648</v>
      </c>
      <c r="L210" s="230">
        <v>0</v>
      </c>
      <c r="M210" s="231">
        <v>15100</v>
      </c>
      <c r="P210" s="298"/>
    </row>
    <row r="211" spans="1:16">
      <c r="A211" s="212"/>
      <c r="B211" s="209" t="s">
        <v>274</v>
      </c>
      <c r="C211" s="209" t="s">
        <v>649</v>
      </c>
      <c r="D211" s="218">
        <v>4459</v>
      </c>
      <c r="E211" s="219">
        <v>4459</v>
      </c>
      <c r="F211" s="292">
        <f t="shared" si="9"/>
        <v>-10641</v>
      </c>
      <c r="G211" s="288" t="b">
        <f t="shared" si="10"/>
        <v>1</v>
      </c>
      <c r="H211" s="288" t="b">
        <f t="shared" si="11"/>
        <v>1</v>
      </c>
      <c r="I211" s="212"/>
      <c r="J211" s="209" t="s">
        <v>274</v>
      </c>
      <c r="K211" s="209" t="s">
        <v>649</v>
      </c>
      <c r="L211" s="230">
        <v>0</v>
      </c>
      <c r="M211" s="231">
        <v>4459</v>
      </c>
      <c r="P211" s="298"/>
    </row>
    <row r="212" spans="1:16">
      <c r="A212" s="212"/>
      <c r="B212" s="209" t="s">
        <v>242</v>
      </c>
      <c r="C212" s="209" t="s">
        <v>375</v>
      </c>
      <c r="D212" s="218">
        <v>95435</v>
      </c>
      <c r="E212" s="219">
        <v>95435</v>
      </c>
      <c r="F212" s="292">
        <f t="shared" si="9"/>
        <v>90976</v>
      </c>
      <c r="G212" s="288" t="b">
        <f t="shared" si="10"/>
        <v>1</v>
      </c>
      <c r="H212" s="288" t="b">
        <f t="shared" si="11"/>
        <v>1</v>
      </c>
      <c r="I212" s="212"/>
      <c r="J212" s="209" t="s">
        <v>242</v>
      </c>
      <c r="K212" s="209" t="s">
        <v>375</v>
      </c>
      <c r="L212" s="230">
        <v>0</v>
      </c>
      <c r="M212" s="231">
        <v>95435</v>
      </c>
    </row>
    <row r="213" spans="1:16">
      <c r="A213" s="212"/>
      <c r="B213" s="209" t="s">
        <v>233</v>
      </c>
      <c r="C213" s="209" t="s">
        <v>650</v>
      </c>
      <c r="D213" s="218">
        <v>16000</v>
      </c>
      <c r="E213" s="219">
        <v>16000</v>
      </c>
      <c r="F213" s="292">
        <f t="shared" si="9"/>
        <v>-79435</v>
      </c>
      <c r="G213" s="288" t="b">
        <f t="shared" si="10"/>
        <v>1</v>
      </c>
      <c r="H213" s="288" t="b">
        <f t="shared" si="11"/>
        <v>1</v>
      </c>
      <c r="I213" s="212"/>
      <c r="J213" s="209" t="s">
        <v>233</v>
      </c>
      <c r="K213" s="209" t="s">
        <v>650</v>
      </c>
      <c r="L213" s="230">
        <v>0</v>
      </c>
      <c r="M213" s="231">
        <v>16000</v>
      </c>
    </row>
    <row r="214" spans="1:16">
      <c r="A214" s="212"/>
      <c r="B214" s="209" t="s">
        <v>231</v>
      </c>
      <c r="C214" s="209" t="s">
        <v>651</v>
      </c>
      <c r="D214" s="218">
        <v>178509</v>
      </c>
      <c r="E214" s="219">
        <v>178509</v>
      </c>
      <c r="F214" s="292">
        <f t="shared" si="9"/>
        <v>162509</v>
      </c>
      <c r="G214" s="288" t="b">
        <f t="shared" si="10"/>
        <v>1</v>
      </c>
      <c r="H214" s="288" t="b">
        <f t="shared" si="11"/>
        <v>1</v>
      </c>
      <c r="I214" s="212"/>
      <c r="J214" s="209" t="s">
        <v>231</v>
      </c>
      <c r="K214" s="209" t="s">
        <v>651</v>
      </c>
      <c r="L214" s="230">
        <v>0</v>
      </c>
      <c r="M214" s="231">
        <v>178509</v>
      </c>
    </row>
    <row r="215" spans="1:16">
      <c r="A215" s="212"/>
      <c r="B215" s="209" t="s">
        <v>429</v>
      </c>
      <c r="C215" s="209" t="s">
        <v>432</v>
      </c>
      <c r="D215" s="218">
        <v>13900</v>
      </c>
      <c r="E215" s="219">
        <v>13900</v>
      </c>
      <c r="F215" s="292">
        <f t="shared" si="9"/>
        <v>-164609</v>
      </c>
      <c r="G215" s="288" t="b">
        <f t="shared" si="10"/>
        <v>1</v>
      </c>
      <c r="H215" s="288" t="b">
        <f t="shared" si="11"/>
        <v>1</v>
      </c>
      <c r="I215" s="212"/>
      <c r="J215" s="209" t="s">
        <v>429</v>
      </c>
      <c r="K215" s="209" t="s">
        <v>432</v>
      </c>
      <c r="L215" s="230">
        <v>0</v>
      </c>
      <c r="M215" s="231">
        <v>13900</v>
      </c>
    </row>
    <row r="216" spans="1:16">
      <c r="A216" s="212"/>
      <c r="B216" s="209" t="s">
        <v>232</v>
      </c>
      <c r="C216" s="209" t="s">
        <v>652</v>
      </c>
      <c r="D216" s="218">
        <v>291241</v>
      </c>
      <c r="E216" s="219">
        <v>291241</v>
      </c>
      <c r="F216" s="292">
        <f t="shared" si="9"/>
        <v>277341</v>
      </c>
      <c r="G216" s="288" t="b">
        <f t="shared" si="10"/>
        <v>1</v>
      </c>
      <c r="H216" s="288" t="b">
        <f t="shared" si="11"/>
        <v>1</v>
      </c>
      <c r="I216" s="212"/>
      <c r="J216" s="209" t="s">
        <v>232</v>
      </c>
      <c r="K216" s="209" t="s">
        <v>652</v>
      </c>
      <c r="L216" s="230">
        <v>0</v>
      </c>
      <c r="M216" s="231">
        <v>291241</v>
      </c>
    </row>
    <row r="217" spans="1:16">
      <c r="A217" s="209" t="s">
        <v>296</v>
      </c>
      <c r="B217" s="210"/>
      <c r="C217" s="210"/>
      <c r="D217" s="218">
        <v>2442275</v>
      </c>
      <c r="E217" s="219">
        <v>2442275</v>
      </c>
      <c r="F217" s="292">
        <f t="shared" si="9"/>
        <v>2151034</v>
      </c>
      <c r="G217" s="288" t="b">
        <f t="shared" si="10"/>
        <v>1</v>
      </c>
      <c r="H217" s="288" t="b">
        <f t="shared" si="11"/>
        <v>1</v>
      </c>
      <c r="I217" s="209" t="s">
        <v>296</v>
      </c>
      <c r="J217" s="210"/>
      <c r="K217" s="210"/>
      <c r="L217" s="230">
        <v>0</v>
      </c>
      <c r="M217" s="231">
        <v>2442275</v>
      </c>
      <c r="N217" s="295">
        <f>Peninsula!H59</f>
        <v>0</v>
      </c>
      <c r="O217" s="295">
        <f>GETPIVOTDATA("Sum of Amount",$I$2,"OrgName","Peninsula College")-N217</f>
        <v>2442275</v>
      </c>
    </row>
    <row r="218" spans="1:16">
      <c r="A218" s="209" t="s">
        <v>99</v>
      </c>
      <c r="B218" s="209" t="s">
        <v>240</v>
      </c>
      <c r="C218" s="209" t="s">
        <v>376</v>
      </c>
      <c r="D218" s="218">
        <v>183411</v>
      </c>
      <c r="E218" s="219">
        <v>183411</v>
      </c>
      <c r="F218" s="292">
        <f t="shared" si="9"/>
        <v>-2258864</v>
      </c>
      <c r="G218" s="288" t="b">
        <f t="shared" si="10"/>
        <v>1</v>
      </c>
      <c r="H218" s="288" t="b">
        <f t="shared" si="11"/>
        <v>1</v>
      </c>
      <c r="I218" s="209" t="s">
        <v>99</v>
      </c>
      <c r="J218" s="209" t="s">
        <v>240</v>
      </c>
      <c r="K218" s="209" t="s">
        <v>376</v>
      </c>
      <c r="L218" s="230">
        <v>0</v>
      </c>
      <c r="M218" s="231">
        <v>183411</v>
      </c>
    </row>
    <row r="219" spans="1:16">
      <c r="A219" s="212"/>
      <c r="B219" s="209" t="s">
        <v>497</v>
      </c>
      <c r="C219" s="209" t="s">
        <v>653</v>
      </c>
      <c r="D219" s="218">
        <v>11126</v>
      </c>
      <c r="E219" s="219">
        <v>11126</v>
      </c>
      <c r="F219" s="292">
        <f t="shared" si="9"/>
        <v>-172285</v>
      </c>
      <c r="G219" s="288" t="b">
        <f t="shared" si="10"/>
        <v>1</v>
      </c>
      <c r="H219" s="288" t="b">
        <f t="shared" si="11"/>
        <v>1</v>
      </c>
      <c r="I219" s="212"/>
      <c r="J219" s="209" t="s">
        <v>497</v>
      </c>
      <c r="K219" s="209" t="s">
        <v>653</v>
      </c>
      <c r="L219" s="230">
        <v>0</v>
      </c>
      <c r="M219" s="231">
        <v>11126</v>
      </c>
    </row>
    <row r="220" spans="1:16">
      <c r="A220" s="212"/>
      <c r="B220" s="209" t="s">
        <v>498</v>
      </c>
      <c r="C220" s="209" t="s">
        <v>654</v>
      </c>
      <c r="D220" s="218">
        <v>209209</v>
      </c>
      <c r="E220" s="219">
        <v>209209</v>
      </c>
      <c r="F220" s="292">
        <f t="shared" si="9"/>
        <v>198083</v>
      </c>
      <c r="G220" s="288" t="b">
        <f t="shared" si="10"/>
        <v>1</v>
      </c>
      <c r="H220" s="288" t="b">
        <f t="shared" si="11"/>
        <v>1</v>
      </c>
      <c r="I220" s="212"/>
      <c r="J220" s="209" t="s">
        <v>498</v>
      </c>
      <c r="K220" s="209" t="s">
        <v>654</v>
      </c>
      <c r="L220" s="230">
        <v>0</v>
      </c>
      <c r="M220" s="231">
        <v>209209</v>
      </c>
      <c r="N220" s="295"/>
      <c r="O220" s="295"/>
    </row>
    <row r="221" spans="1:16">
      <c r="A221" s="212"/>
      <c r="B221" s="209" t="s">
        <v>505</v>
      </c>
      <c r="C221" s="209" t="s">
        <v>655</v>
      </c>
      <c r="D221" s="218">
        <v>45585</v>
      </c>
      <c r="E221" s="219">
        <v>45585</v>
      </c>
      <c r="F221" s="292">
        <f t="shared" si="9"/>
        <v>-163624</v>
      </c>
      <c r="G221" s="288" t="b">
        <f t="shared" si="10"/>
        <v>1</v>
      </c>
      <c r="H221" s="288" t="b">
        <f t="shared" si="11"/>
        <v>1</v>
      </c>
      <c r="I221" s="212"/>
      <c r="J221" s="209" t="s">
        <v>505</v>
      </c>
      <c r="K221" s="209" t="s">
        <v>655</v>
      </c>
      <c r="L221" s="230">
        <v>0</v>
      </c>
      <c r="M221" s="231">
        <v>45585</v>
      </c>
    </row>
    <row r="222" spans="1:16">
      <c r="A222" s="212"/>
      <c r="B222" s="209" t="s">
        <v>412</v>
      </c>
      <c r="C222" s="209" t="s">
        <v>421</v>
      </c>
      <c r="D222" s="218">
        <v>55060</v>
      </c>
      <c r="E222" s="219">
        <v>55060</v>
      </c>
      <c r="F222" s="292">
        <f t="shared" si="9"/>
        <v>9475</v>
      </c>
      <c r="G222" s="288" t="b">
        <f t="shared" si="10"/>
        <v>1</v>
      </c>
      <c r="H222" s="288" t="b">
        <f t="shared" si="11"/>
        <v>1</v>
      </c>
      <c r="I222" s="212"/>
      <c r="J222" s="209" t="s">
        <v>412</v>
      </c>
      <c r="K222" s="209" t="s">
        <v>421</v>
      </c>
      <c r="L222" s="230">
        <v>0</v>
      </c>
      <c r="M222" s="231">
        <v>55060</v>
      </c>
    </row>
    <row r="223" spans="1:16">
      <c r="A223" s="212"/>
      <c r="B223" s="209" t="s">
        <v>241</v>
      </c>
      <c r="C223" s="209" t="s">
        <v>656</v>
      </c>
      <c r="D223" s="218">
        <v>120800</v>
      </c>
      <c r="E223" s="219">
        <v>120800</v>
      </c>
      <c r="F223" s="292">
        <f t="shared" si="9"/>
        <v>65740</v>
      </c>
      <c r="G223" s="288" t="b">
        <f t="shared" si="10"/>
        <v>1</v>
      </c>
      <c r="H223" s="288" t="b">
        <f t="shared" si="11"/>
        <v>1</v>
      </c>
      <c r="I223" s="212"/>
      <c r="J223" s="209" t="s">
        <v>241</v>
      </c>
      <c r="K223" s="209" t="s">
        <v>656</v>
      </c>
      <c r="L223" s="230">
        <v>0</v>
      </c>
      <c r="M223" s="231">
        <v>120800</v>
      </c>
    </row>
    <row r="224" spans="1:16">
      <c r="A224" s="212"/>
      <c r="B224" s="209" t="s">
        <v>274</v>
      </c>
      <c r="C224" s="209" t="s">
        <v>657</v>
      </c>
      <c r="D224" s="218">
        <v>5000</v>
      </c>
      <c r="E224" s="219">
        <v>5000</v>
      </c>
      <c r="F224" s="292">
        <f t="shared" si="9"/>
        <v>-115800</v>
      </c>
      <c r="G224" s="288" t="b">
        <f t="shared" si="10"/>
        <v>1</v>
      </c>
      <c r="H224" s="288" t="b">
        <f t="shared" si="11"/>
        <v>1</v>
      </c>
      <c r="I224" s="212"/>
      <c r="J224" s="209" t="s">
        <v>274</v>
      </c>
      <c r="K224" s="209" t="s">
        <v>657</v>
      </c>
      <c r="L224" s="230">
        <v>0</v>
      </c>
      <c r="M224" s="231">
        <v>5000</v>
      </c>
    </row>
    <row r="225" spans="1:15">
      <c r="A225" s="212"/>
      <c r="B225" s="209" t="s">
        <v>235</v>
      </c>
      <c r="C225" s="209" t="s">
        <v>658</v>
      </c>
      <c r="D225" s="218">
        <v>2750</v>
      </c>
      <c r="E225" s="219">
        <v>2750</v>
      </c>
      <c r="F225" s="292">
        <f t="shared" si="9"/>
        <v>-2250</v>
      </c>
      <c r="G225" s="288" t="b">
        <f t="shared" si="10"/>
        <v>1</v>
      </c>
      <c r="H225" s="288" t="b">
        <f t="shared" si="11"/>
        <v>1</v>
      </c>
      <c r="I225" s="212"/>
      <c r="J225" s="209" t="s">
        <v>235</v>
      </c>
      <c r="K225" s="209" t="s">
        <v>658</v>
      </c>
      <c r="L225" s="230">
        <v>0</v>
      </c>
      <c r="M225" s="231">
        <v>2750</v>
      </c>
    </row>
    <row r="226" spans="1:15">
      <c r="A226" s="212"/>
      <c r="B226" s="209" t="s">
        <v>233</v>
      </c>
      <c r="C226" s="209" t="s">
        <v>659</v>
      </c>
      <c r="D226" s="218">
        <v>32000</v>
      </c>
      <c r="E226" s="219">
        <v>32000</v>
      </c>
      <c r="F226" s="292">
        <f t="shared" si="9"/>
        <v>29250</v>
      </c>
      <c r="G226" s="288" t="b">
        <f t="shared" si="10"/>
        <v>1</v>
      </c>
      <c r="H226" s="288" t="b">
        <f t="shared" si="11"/>
        <v>1</v>
      </c>
      <c r="I226" s="212"/>
      <c r="J226" s="209" t="s">
        <v>233</v>
      </c>
      <c r="K226" s="209" t="s">
        <v>659</v>
      </c>
      <c r="L226" s="230">
        <v>0</v>
      </c>
      <c r="M226" s="231">
        <v>32000</v>
      </c>
    </row>
    <row r="227" spans="1:15">
      <c r="A227" s="212"/>
      <c r="B227" s="209" t="s">
        <v>359</v>
      </c>
      <c r="C227" s="209" t="s">
        <v>660</v>
      </c>
      <c r="D227" s="218">
        <v>5000</v>
      </c>
      <c r="E227" s="219">
        <v>5000</v>
      </c>
      <c r="F227" s="292">
        <f t="shared" si="9"/>
        <v>-27000</v>
      </c>
      <c r="G227" s="288" t="b">
        <f t="shared" si="10"/>
        <v>1</v>
      </c>
      <c r="H227" s="288" t="b">
        <f t="shared" si="11"/>
        <v>1</v>
      </c>
      <c r="I227" s="212"/>
      <c r="J227" s="209" t="s">
        <v>359</v>
      </c>
      <c r="K227" s="209" t="s">
        <v>660</v>
      </c>
      <c r="L227" s="230">
        <v>0</v>
      </c>
      <c r="M227" s="231">
        <v>5000</v>
      </c>
    </row>
    <row r="228" spans="1:15">
      <c r="A228" s="212"/>
      <c r="B228" s="209" t="s">
        <v>231</v>
      </c>
      <c r="C228" s="209" t="s">
        <v>661</v>
      </c>
      <c r="D228" s="218">
        <v>459747</v>
      </c>
      <c r="E228" s="219">
        <v>459747</v>
      </c>
      <c r="F228" s="292">
        <f t="shared" si="9"/>
        <v>454747</v>
      </c>
      <c r="G228" s="288" t="b">
        <f t="shared" si="10"/>
        <v>1</v>
      </c>
      <c r="H228" s="288" t="b">
        <f t="shared" si="11"/>
        <v>1</v>
      </c>
      <c r="I228" s="212"/>
      <c r="J228" s="209" t="s">
        <v>231</v>
      </c>
      <c r="K228" s="209" t="s">
        <v>661</v>
      </c>
      <c r="L228" s="230">
        <v>0</v>
      </c>
      <c r="M228" s="231">
        <v>459747</v>
      </c>
    </row>
    <row r="229" spans="1:15">
      <c r="A229" s="212"/>
      <c r="B229" s="209" t="s">
        <v>354</v>
      </c>
      <c r="C229" s="209" t="s">
        <v>662</v>
      </c>
      <c r="D229" s="218">
        <v>25032</v>
      </c>
      <c r="E229" s="219">
        <v>25032</v>
      </c>
      <c r="F229" s="292">
        <f t="shared" si="9"/>
        <v>-434715</v>
      </c>
      <c r="G229" s="288" t="b">
        <f t="shared" si="10"/>
        <v>1</v>
      </c>
      <c r="H229" s="288" t="b">
        <f t="shared" si="11"/>
        <v>1</v>
      </c>
      <c r="I229" s="212"/>
      <c r="J229" s="209" t="s">
        <v>354</v>
      </c>
      <c r="K229" s="209" t="s">
        <v>662</v>
      </c>
      <c r="L229" s="230">
        <v>0</v>
      </c>
      <c r="M229" s="231">
        <v>25032</v>
      </c>
    </row>
    <row r="230" spans="1:15">
      <c r="A230" s="212"/>
      <c r="B230" s="209" t="s">
        <v>232</v>
      </c>
      <c r="C230" s="209" t="s">
        <v>663</v>
      </c>
      <c r="D230" s="218">
        <v>339195</v>
      </c>
      <c r="E230" s="219">
        <v>339195</v>
      </c>
      <c r="F230" s="292">
        <f t="shared" si="9"/>
        <v>314163</v>
      </c>
      <c r="G230" s="288" t="b">
        <f t="shared" si="10"/>
        <v>1</v>
      </c>
      <c r="H230" s="288" t="b">
        <f t="shared" si="11"/>
        <v>1</v>
      </c>
      <c r="I230" s="212"/>
      <c r="J230" s="209" t="s">
        <v>232</v>
      </c>
      <c r="K230" s="209" t="s">
        <v>663</v>
      </c>
      <c r="L230" s="230">
        <v>0</v>
      </c>
      <c r="M230" s="231">
        <v>339195</v>
      </c>
    </row>
    <row r="231" spans="1:15">
      <c r="A231" s="209" t="s">
        <v>297</v>
      </c>
      <c r="B231" s="210"/>
      <c r="C231" s="210"/>
      <c r="D231" s="218">
        <v>1493915</v>
      </c>
      <c r="E231" s="231">
        <v>1493915</v>
      </c>
      <c r="F231" s="292">
        <f t="shared" si="9"/>
        <v>1154720</v>
      </c>
      <c r="G231" s="288" t="b">
        <f t="shared" si="10"/>
        <v>1</v>
      </c>
      <c r="H231" s="288" t="b">
        <f t="shared" si="11"/>
        <v>1</v>
      </c>
      <c r="I231" s="209" t="s">
        <v>297</v>
      </c>
      <c r="J231" s="210"/>
      <c r="K231" s="210"/>
      <c r="L231" s="230">
        <v>0</v>
      </c>
      <c r="M231" s="231">
        <v>1493915</v>
      </c>
      <c r="N231" s="295">
        <f>Pierce!H62</f>
        <v>0</v>
      </c>
      <c r="O231" s="295">
        <f>GETPIVOTDATA("Sum of Amount",$I$2,"OrgName","Pierce College District")+GETPIVOTDATA("Sum of Amount",$I$2,"OrgName","Pierce College Fort Steilacoom","ProgramName","I-DEA Grant","GrantNumber","135-IDEA-13")+GETPIVOTDATA("Sum of Amount",$I$2,"OrgName","Pierce College Puyallup","ProgramName","I-DEA Grant","GrantNumber","136-IDEA-15")-N231</f>
        <v>1738985</v>
      </c>
    </row>
    <row r="232" spans="1:15">
      <c r="A232" s="209" t="s">
        <v>100</v>
      </c>
      <c r="B232" s="209" t="s">
        <v>242</v>
      </c>
      <c r="C232" s="209" t="s">
        <v>276</v>
      </c>
      <c r="D232" s="218">
        <v>149635</v>
      </c>
      <c r="E232" s="219">
        <v>149635</v>
      </c>
      <c r="F232" s="292">
        <f t="shared" si="9"/>
        <v>-1344280</v>
      </c>
      <c r="G232" s="288" t="b">
        <f t="shared" si="10"/>
        <v>1</v>
      </c>
      <c r="H232" s="288" t="b">
        <f t="shared" si="11"/>
        <v>1</v>
      </c>
      <c r="I232" s="209" t="s">
        <v>275</v>
      </c>
      <c r="J232" s="209" t="s">
        <v>242</v>
      </c>
      <c r="K232" s="209" t="s">
        <v>276</v>
      </c>
      <c r="L232" s="230">
        <v>0</v>
      </c>
      <c r="M232" s="231">
        <v>149635</v>
      </c>
    </row>
    <row r="233" spans="1:15">
      <c r="A233" s="209" t="s">
        <v>298</v>
      </c>
      <c r="B233" s="210"/>
      <c r="C233" s="210"/>
      <c r="D233" s="218">
        <v>149635</v>
      </c>
      <c r="E233" s="219">
        <v>149635</v>
      </c>
      <c r="F233" s="292">
        <f t="shared" si="9"/>
        <v>0</v>
      </c>
      <c r="G233" s="288" t="b">
        <f t="shared" si="10"/>
        <v>1</v>
      </c>
      <c r="H233" s="288" t="b">
        <f t="shared" si="11"/>
        <v>1</v>
      </c>
      <c r="I233" s="209" t="s">
        <v>316</v>
      </c>
      <c r="J233" s="210"/>
      <c r="K233" s="210"/>
      <c r="L233" s="230">
        <v>0</v>
      </c>
      <c r="M233" s="231">
        <v>149635</v>
      </c>
    </row>
    <row r="234" spans="1:15">
      <c r="A234" s="209" t="s">
        <v>101</v>
      </c>
      <c r="B234" s="209" t="s">
        <v>242</v>
      </c>
      <c r="C234" s="209" t="s">
        <v>377</v>
      </c>
      <c r="D234" s="218">
        <v>95435</v>
      </c>
      <c r="E234" s="219">
        <v>95435</v>
      </c>
      <c r="F234" s="292">
        <f t="shared" si="9"/>
        <v>-54200</v>
      </c>
      <c r="G234" s="288" t="b">
        <f t="shared" si="10"/>
        <v>1</v>
      </c>
      <c r="H234" s="288" t="b">
        <f t="shared" si="11"/>
        <v>1</v>
      </c>
      <c r="I234" s="209" t="s">
        <v>321</v>
      </c>
      <c r="J234" s="209" t="s">
        <v>242</v>
      </c>
      <c r="K234" s="209" t="s">
        <v>377</v>
      </c>
      <c r="L234" s="230">
        <v>0</v>
      </c>
      <c r="M234" s="231">
        <v>95435</v>
      </c>
      <c r="N234" s="295"/>
      <c r="O234" s="295"/>
    </row>
    <row r="235" spans="1:15">
      <c r="A235" s="209" t="s">
        <v>317</v>
      </c>
      <c r="B235" s="210"/>
      <c r="C235" s="210"/>
      <c r="D235" s="218">
        <v>95435</v>
      </c>
      <c r="E235" s="219">
        <v>95435</v>
      </c>
      <c r="F235" s="292">
        <f t="shared" si="9"/>
        <v>0</v>
      </c>
      <c r="G235" s="288" t="b">
        <f t="shared" si="10"/>
        <v>1</v>
      </c>
      <c r="H235" s="288" t="b">
        <f t="shared" si="11"/>
        <v>1</v>
      </c>
      <c r="I235" s="209" t="s">
        <v>325</v>
      </c>
      <c r="J235" s="210"/>
      <c r="K235" s="210"/>
      <c r="L235" s="230">
        <v>0</v>
      </c>
      <c r="M235" s="231">
        <v>95435</v>
      </c>
      <c r="N235" s="298"/>
      <c r="O235" s="298"/>
    </row>
    <row r="236" spans="1:15">
      <c r="A236" s="209" t="s">
        <v>102</v>
      </c>
      <c r="B236" s="209" t="s">
        <v>268</v>
      </c>
      <c r="C236" s="209" t="s">
        <v>664</v>
      </c>
      <c r="D236" s="218">
        <v>10000</v>
      </c>
      <c r="E236" s="219">
        <v>10000</v>
      </c>
      <c r="F236" s="292">
        <f t="shared" si="9"/>
        <v>-85435</v>
      </c>
      <c r="G236" s="288" t="b">
        <f t="shared" si="10"/>
        <v>1</v>
      </c>
      <c r="H236" s="288" t="b">
        <f t="shared" si="11"/>
        <v>1</v>
      </c>
      <c r="I236" s="209" t="s">
        <v>102</v>
      </c>
      <c r="J236" s="209" t="s">
        <v>268</v>
      </c>
      <c r="K236" s="209" t="s">
        <v>664</v>
      </c>
      <c r="L236" s="230">
        <v>0</v>
      </c>
      <c r="M236" s="231">
        <v>10000</v>
      </c>
    </row>
    <row r="237" spans="1:15">
      <c r="A237" s="212"/>
      <c r="B237" s="209" t="s">
        <v>240</v>
      </c>
      <c r="C237" s="209" t="s">
        <v>378</v>
      </c>
      <c r="D237" s="218">
        <v>263720</v>
      </c>
      <c r="E237" s="219">
        <v>263720</v>
      </c>
      <c r="F237" s="292">
        <f t="shared" si="9"/>
        <v>253720</v>
      </c>
      <c r="G237" s="288" t="b">
        <f t="shared" si="10"/>
        <v>1</v>
      </c>
      <c r="H237" s="288" t="b">
        <f t="shared" si="11"/>
        <v>1</v>
      </c>
      <c r="I237" s="212"/>
      <c r="J237" s="209" t="s">
        <v>240</v>
      </c>
      <c r="K237" s="209" t="s">
        <v>378</v>
      </c>
      <c r="L237" s="230">
        <v>0</v>
      </c>
      <c r="M237" s="231">
        <v>263720</v>
      </c>
      <c r="N237" s="298"/>
      <c r="O237" s="298"/>
    </row>
    <row r="238" spans="1:15">
      <c r="A238" s="212"/>
      <c r="B238" s="209" t="s">
        <v>497</v>
      </c>
      <c r="C238" s="209" t="s">
        <v>665</v>
      </c>
      <c r="D238" s="218">
        <v>6076</v>
      </c>
      <c r="E238" s="219">
        <v>6076</v>
      </c>
      <c r="F238" s="292">
        <f t="shared" si="9"/>
        <v>-257644</v>
      </c>
      <c r="G238" s="288" t="b">
        <f t="shared" si="10"/>
        <v>1</v>
      </c>
      <c r="H238" s="288" t="b">
        <f t="shared" si="11"/>
        <v>1</v>
      </c>
      <c r="I238" s="212"/>
      <c r="J238" s="209" t="s">
        <v>497</v>
      </c>
      <c r="K238" s="209" t="s">
        <v>665</v>
      </c>
      <c r="L238" s="230">
        <v>0</v>
      </c>
      <c r="M238" s="231">
        <v>6076</v>
      </c>
    </row>
    <row r="239" spans="1:15">
      <c r="A239" s="212"/>
      <c r="B239" s="209" t="s">
        <v>498</v>
      </c>
      <c r="C239" s="209" t="s">
        <v>666</v>
      </c>
      <c r="D239" s="218">
        <v>338564</v>
      </c>
      <c r="E239" s="219">
        <v>338564</v>
      </c>
      <c r="F239" s="292">
        <f t="shared" si="9"/>
        <v>332488</v>
      </c>
      <c r="G239" s="288" t="b">
        <f t="shared" si="10"/>
        <v>1</v>
      </c>
      <c r="H239" s="288" t="b">
        <f t="shared" si="11"/>
        <v>1</v>
      </c>
      <c r="I239" s="212"/>
      <c r="J239" s="209" t="s">
        <v>498</v>
      </c>
      <c r="K239" s="209" t="s">
        <v>666</v>
      </c>
      <c r="L239" s="230">
        <v>0</v>
      </c>
      <c r="M239" s="231">
        <v>338564</v>
      </c>
    </row>
    <row r="240" spans="1:15">
      <c r="A240" s="212"/>
      <c r="B240" s="209" t="s">
        <v>505</v>
      </c>
      <c r="C240" s="209" t="s">
        <v>667</v>
      </c>
      <c r="D240" s="218">
        <v>71148</v>
      </c>
      <c r="E240" s="219">
        <v>71148</v>
      </c>
      <c r="F240" s="292">
        <f t="shared" si="9"/>
        <v>-267416</v>
      </c>
      <c r="G240" s="288" t="b">
        <f t="shared" si="10"/>
        <v>1</v>
      </c>
      <c r="H240" s="288" t="b">
        <f t="shared" si="11"/>
        <v>1</v>
      </c>
      <c r="I240" s="212"/>
      <c r="J240" s="209" t="s">
        <v>505</v>
      </c>
      <c r="K240" s="209" t="s">
        <v>667</v>
      </c>
      <c r="L240" s="230">
        <v>0</v>
      </c>
      <c r="M240" s="231">
        <v>71148</v>
      </c>
    </row>
    <row r="241" spans="1:15">
      <c r="A241" s="212"/>
      <c r="B241" s="209" t="s">
        <v>241</v>
      </c>
      <c r="C241" s="209" t="s">
        <v>668</v>
      </c>
      <c r="D241" s="218">
        <v>15100</v>
      </c>
      <c r="E241" s="219">
        <v>15100</v>
      </c>
      <c r="F241" s="292">
        <f t="shared" si="9"/>
        <v>-56048</v>
      </c>
      <c r="G241" s="288" t="b">
        <f t="shared" si="10"/>
        <v>1</v>
      </c>
      <c r="H241" s="288" t="b">
        <f t="shared" si="11"/>
        <v>1</v>
      </c>
      <c r="I241" s="212"/>
      <c r="J241" s="209" t="s">
        <v>241</v>
      </c>
      <c r="K241" s="209" t="s">
        <v>668</v>
      </c>
      <c r="L241" s="230">
        <v>0</v>
      </c>
      <c r="M241" s="231">
        <v>15100</v>
      </c>
    </row>
    <row r="242" spans="1:15">
      <c r="A242" s="212"/>
      <c r="B242" s="209" t="s">
        <v>274</v>
      </c>
      <c r="C242" s="209" t="s">
        <v>669</v>
      </c>
      <c r="D242" s="218">
        <v>5000</v>
      </c>
      <c r="E242" s="219">
        <v>5000</v>
      </c>
      <c r="F242" s="292">
        <f t="shared" si="9"/>
        <v>-10100</v>
      </c>
      <c r="G242" s="288" t="b">
        <f t="shared" si="10"/>
        <v>1</v>
      </c>
      <c r="H242" s="288" t="b">
        <f t="shared" si="11"/>
        <v>1</v>
      </c>
      <c r="I242" s="212"/>
      <c r="J242" s="209" t="s">
        <v>274</v>
      </c>
      <c r="K242" s="209" t="s">
        <v>669</v>
      </c>
      <c r="L242" s="230">
        <v>0</v>
      </c>
      <c r="M242" s="231">
        <v>5000</v>
      </c>
    </row>
    <row r="243" spans="1:15">
      <c r="A243" s="212"/>
      <c r="B243" s="209" t="s">
        <v>242</v>
      </c>
      <c r="C243" s="209" t="s">
        <v>247</v>
      </c>
      <c r="D243" s="218">
        <v>144635</v>
      </c>
      <c r="E243" s="219">
        <v>144635</v>
      </c>
      <c r="F243" s="292">
        <f t="shared" si="9"/>
        <v>139635</v>
      </c>
      <c r="G243" s="288" t="b">
        <f t="shared" si="10"/>
        <v>1</v>
      </c>
      <c r="H243" s="288" t="b">
        <f t="shared" si="11"/>
        <v>1</v>
      </c>
      <c r="I243" s="212"/>
      <c r="J243" s="209" t="s">
        <v>242</v>
      </c>
      <c r="K243" s="209" t="s">
        <v>247</v>
      </c>
      <c r="L243" s="230">
        <v>0</v>
      </c>
      <c r="M243" s="231">
        <v>144635</v>
      </c>
    </row>
    <row r="244" spans="1:15">
      <c r="A244" s="212"/>
      <c r="B244" s="209" t="s">
        <v>233</v>
      </c>
      <c r="C244" s="209" t="s">
        <v>670</v>
      </c>
      <c r="D244" s="218">
        <v>16000</v>
      </c>
      <c r="E244" s="219">
        <v>16000</v>
      </c>
      <c r="F244" s="292">
        <f t="shared" si="9"/>
        <v>-128635</v>
      </c>
      <c r="G244" s="288" t="b">
        <f t="shared" si="10"/>
        <v>1</v>
      </c>
      <c r="H244" s="288" t="b">
        <f t="shared" si="11"/>
        <v>1</v>
      </c>
      <c r="I244" s="212"/>
      <c r="J244" s="209" t="s">
        <v>233</v>
      </c>
      <c r="K244" s="209" t="s">
        <v>670</v>
      </c>
      <c r="L244" s="230">
        <v>0</v>
      </c>
      <c r="M244" s="231">
        <v>16000</v>
      </c>
    </row>
    <row r="245" spans="1:15">
      <c r="A245" s="212"/>
      <c r="B245" s="209" t="s">
        <v>231</v>
      </c>
      <c r="C245" s="209" t="s">
        <v>671</v>
      </c>
      <c r="D245" s="218">
        <v>243055</v>
      </c>
      <c r="E245" s="219">
        <v>243055</v>
      </c>
      <c r="F245" s="292">
        <f t="shared" si="9"/>
        <v>227055</v>
      </c>
      <c r="G245" s="288" t="b">
        <f t="shared" si="10"/>
        <v>1</v>
      </c>
      <c r="H245" s="288" t="b">
        <f t="shared" si="11"/>
        <v>1</v>
      </c>
      <c r="I245" s="212"/>
      <c r="J245" s="209" t="s">
        <v>231</v>
      </c>
      <c r="K245" s="209" t="s">
        <v>671</v>
      </c>
      <c r="L245" s="230">
        <v>0</v>
      </c>
      <c r="M245" s="231">
        <v>243055</v>
      </c>
    </row>
    <row r="246" spans="1:15">
      <c r="A246" s="212"/>
      <c r="B246" s="209" t="s">
        <v>232</v>
      </c>
      <c r="C246" s="209" t="s">
        <v>672</v>
      </c>
      <c r="D246" s="218">
        <v>365228</v>
      </c>
      <c r="E246" s="219">
        <v>365228</v>
      </c>
      <c r="F246" s="292">
        <f t="shared" si="9"/>
        <v>122173</v>
      </c>
      <c r="G246" s="288" t="b">
        <f t="shared" si="10"/>
        <v>1</v>
      </c>
      <c r="H246" s="288" t="b">
        <f t="shared" si="11"/>
        <v>1</v>
      </c>
      <c r="I246" s="212"/>
      <c r="J246" s="209" t="s">
        <v>232</v>
      </c>
      <c r="K246" s="209" t="s">
        <v>672</v>
      </c>
      <c r="L246" s="230">
        <v>0</v>
      </c>
      <c r="M246" s="231">
        <v>365228</v>
      </c>
    </row>
    <row r="247" spans="1:15">
      <c r="A247" s="209" t="s">
        <v>299</v>
      </c>
      <c r="B247" s="210"/>
      <c r="C247" s="210"/>
      <c r="D247" s="218">
        <v>1478526</v>
      </c>
      <c r="E247" s="219">
        <v>1478526</v>
      </c>
      <c r="F247" s="292">
        <f t="shared" si="9"/>
        <v>1113298</v>
      </c>
      <c r="G247" s="288" t="b">
        <f t="shared" si="10"/>
        <v>1</v>
      </c>
      <c r="H247" s="288" t="b">
        <f t="shared" si="11"/>
        <v>1</v>
      </c>
      <c r="I247" s="209" t="s">
        <v>299</v>
      </c>
      <c r="J247" s="210"/>
      <c r="K247" s="210"/>
      <c r="L247" s="230">
        <v>0</v>
      </c>
      <c r="M247" s="231">
        <v>1478526</v>
      </c>
      <c r="N247" s="295">
        <f>Renton!H56</f>
        <v>0</v>
      </c>
      <c r="O247" s="295">
        <f>GETPIVOTDATA("Sum of Amount",$I$2,"OrgName","Renton Technical College")-N247</f>
        <v>1478526</v>
      </c>
    </row>
    <row r="248" spans="1:15">
      <c r="A248" s="209" t="s">
        <v>103</v>
      </c>
      <c r="B248" s="209" t="s">
        <v>240</v>
      </c>
      <c r="C248" s="209" t="s">
        <v>379</v>
      </c>
      <c r="D248" s="218">
        <v>470460</v>
      </c>
      <c r="E248" s="219">
        <v>470460</v>
      </c>
      <c r="F248" s="292">
        <f t="shared" si="9"/>
        <v>-1008066</v>
      </c>
      <c r="G248" s="288" t="b">
        <f t="shared" si="10"/>
        <v>1</v>
      </c>
      <c r="H248" s="288" t="b">
        <f t="shared" si="11"/>
        <v>1</v>
      </c>
      <c r="I248" s="209" t="s">
        <v>322</v>
      </c>
      <c r="J248" s="209" t="s">
        <v>240</v>
      </c>
      <c r="K248" s="209" t="s">
        <v>379</v>
      </c>
      <c r="L248" s="230">
        <v>0</v>
      </c>
      <c r="M248" s="231">
        <v>470460</v>
      </c>
      <c r="N248" s="299"/>
      <c r="O248" s="299"/>
    </row>
    <row r="249" spans="1:15">
      <c r="A249" s="212"/>
      <c r="B249" s="209" t="s">
        <v>497</v>
      </c>
      <c r="C249" s="209" t="s">
        <v>673</v>
      </c>
      <c r="D249" s="218">
        <v>6076</v>
      </c>
      <c r="E249" s="219">
        <v>6076</v>
      </c>
      <c r="F249" s="292">
        <f t="shared" si="9"/>
        <v>-464384</v>
      </c>
      <c r="G249" s="288" t="b">
        <f t="shared" si="10"/>
        <v>1</v>
      </c>
      <c r="H249" s="288" t="b">
        <f t="shared" si="11"/>
        <v>1</v>
      </c>
      <c r="I249" s="212"/>
      <c r="J249" s="209" t="s">
        <v>497</v>
      </c>
      <c r="K249" s="209" t="s">
        <v>673</v>
      </c>
      <c r="L249" s="230">
        <v>0</v>
      </c>
      <c r="M249" s="231">
        <v>6076</v>
      </c>
    </row>
    <row r="250" spans="1:15">
      <c r="A250" s="212"/>
      <c r="B250" s="209" t="s">
        <v>498</v>
      </c>
      <c r="C250" s="209" t="s">
        <v>674</v>
      </c>
      <c r="D250" s="218">
        <v>247953</v>
      </c>
      <c r="E250" s="219">
        <v>247953</v>
      </c>
      <c r="F250" s="292">
        <f t="shared" si="9"/>
        <v>241877</v>
      </c>
      <c r="G250" s="288" t="b">
        <f t="shared" si="10"/>
        <v>1</v>
      </c>
      <c r="H250" s="288" t="b">
        <f t="shared" si="11"/>
        <v>1</v>
      </c>
      <c r="I250" s="212"/>
      <c r="J250" s="209" t="s">
        <v>498</v>
      </c>
      <c r="K250" s="209" t="s">
        <v>674</v>
      </c>
      <c r="L250" s="230">
        <v>0</v>
      </c>
      <c r="M250" s="231">
        <v>247953</v>
      </c>
    </row>
    <row r="251" spans="1:15">
      <c r="A251" s="212"/>
      <c r="B251" s="209" t="s">
        <v>505</v>
      </c>
      <c r="C251" s="209" t="s">
        <v>675</v>
      </c>
      <c r="D251" s="218">
        <v>59009</v>
      </c>
      <c r="E251" s="219">
        <v>59009</v>
      </c>
      <c r="F251" s="292">
        <f t="shared" si="9"/>
        <v>-188944</v>
      </c>
      <c r="G251" s="288" t="b">
        <f t="shared" si="10"/>
        <v>1</v>
      </c>
      <c r="H251" s="288" t="b">
        <f t="shared" si="11"/>
        <v>1</v>
      </c>
      <c r="I251" s="212"/>
      <c r="J251" s="209" t="s">
        <v>505</v>
      </c>
      <c r="K251" s="209" t="s">
        <v>675</v>
      </c>
      <c r="L251" s="230">
        <v>0</v>
      </c>
      <c r="M251" s="231">
        <v>59009</v>
      </c>
    </row>
    <row r="252" spans="1:15">
      <c r="A252" s="212"/>
      <c r="B252" s="209" t="s">
        <v>242</v>
      </c>
      <c r="C252" s="209" t="s">
        <v>248</v>
      </c>
      <c r="D252" s="218">
        <v>149635</v>
      </c>
      <c r="E252" s="219">
        <v>149635</v>
      </c>
      <c r="F252" s="292">
        <f t="shared" si="9"/>
        <v>90626</v>
      </c>
      <c r="G252" s="288" t="b">
        <f t="shared" si="10"/>
        <v>1</v>
      </c>
      <c r="H252" s="288" t="b">
        <f t="shared" si="11"/>
        <v>1</v>
      </c>
      <c r="I252" s="212"/>
      <c r="J252" s="209" t="s">
        <v>242</v>
      </c>
      <c r="K252" s="209" t="s">
        <v>248</v>
      </c>
      <c r="L252" s="230">
        <v>0</v>
      </c>
      <c r="M252" s="231">
        <v>149635</v>
      </c>
    </row>
    <row r="253" spans="1:15">
      <c r="A253" s="212"/>
      <c r="B253" s="209" t="s">
        <v>231</v>
      </c>
      <c r="C253" s="209" t="s">
        <v>676</v>
      </c>
      <c r="D253" s="218">
        <v>219476</v>
      </c>
      <c r="E253" s="219">
        <v>219476</v>
      </c>
      <c r="F253" s="292">
        <f t="shared" si="9"/>
        <v>69841</v>
      </c>
      <c r="G253" s="288" t="b">
        <f t="shared" si="10"/>
        <v>1</v>
      </c>
      <c r="H253" s="288" t="b">
        <f t="shared" si="11"/>
        <v>1</v>
      </c>
      <c r="I253" s="212"/>
      <c r="J253" s="209" t="s">
        <v>231</v>
      </c>
      <c r="K253" s="209" t="s">
        <v>676</v>
      </c>
      <c r="L253" s="230">
        <v>0</v>
      </c>
      <c r="M253" s="231">
        <v>219476</v>
      </c>
    </row>
    <row r="254" spans="1:15">
      <c r="A254" s="212"/>
      <c r="B254" s="209" t="s">
        <v>232</v>
      </c>
      <c r="C254" s="209" t="s">
        <v>677</v>
      </c>
      <c r="D254" s="218">
        <v>195854</v>
      </c>
      <c r="E254" s="219">
        <v>195854</v>
      </c>
      <c r="F254" s="292">
        <f t="shared" si="9"/>
        <v>-23622</v>
      </c>
      <c r="G254" s="288" t="b">
        <f t="shared" si="10"/>
        <v>1</v>
      </c>
      <c r="H254" s="288" t="b">
        <f t="shared" si="11"/>
        <v>1</v>
      </c>
      <c r="I254" s="212"/>
      <c r="J254" s="209" t="s">
        <v>232</v>
      </c>
      <c r="K254" s="209" t="s">
        <v>677</v>
      </c>
      <c r="L254" s="230">
        <v>0</v>
      </c>
      <c r="M254" s="231">
        <v>195854</v>
      </c>
    </row>
    <row r="255" spans="1:15">
      <c r="A255" s="209" t="s">
        <v>300</v>
      </c>
      <c r="B255" s="210"/>
      <c r="C255" s="210"/>
      <c r="D255" s="218">
        <v>1348463</v>
      </c>
      <c r="E255" s="219">
        <v>1348463</v>
      </c>
      <c r="F255" s="292">
        <f t="shared" si="9"/>
        <v>1152609</v>
      </c>
      <c r="G255" s="288" t="b">
        <f t="shared" si="10"/>
        <v>1</v>
      </c>
      <c r="H255" s="288" t="b">
        <f t="shared" si="11"/>
        <v>1</v>
      </c>
      <c r="I255" s="209" t="s">
        <v>326</v>
      </c>
      <c r="J255" s="210"/>
      <c r="K255" s="210"/>
      <c r="L255" s="296">
        <v>0</v>
      </c>
      <c r="M255" s="297">
        <v>1348463</v>
      </c>
      <c r="N255" s="148">
        <f>Seattle!H63+Seattle!H64+Seattle!H65+Seattle!H66+Seattle!H67+Seattle!H68+Seattle!H69</f>
        <v>0</v>
      </c>
      <c r="O255" s="148">
        <f>N255-GETPIVOTDATA("Sum of Amount",$I$2,"OrgName","Seattle Central College")</f>
        <v>-1348463</v>
      </c>
    </row>
    <row r="256" spans="1:15">
      <c r="A256" s="209" t="s">
        <v>104</v>
      </c>
      <c r="B256" s="209" t="s">
        <v>240</v>
      </c>
      <c r="C256" s="209" t="s">
        <v>380</v>
      </c>
      <c r="D256" s="218">
        <v>246011</v>
      </c>
      <c r="E256" s="219">
        <v>246011</v>
      </c>
      <c r="F256" s="292">
        <f t="shared" si="9"/>
        <v>-1102452</v>
      </c>
      <c r="G256" s="288" t="b">
        <f t="shared" si="10"/>
        <v>1</v>
      </c>
      <c r="H256" s="288" t="b">
        <f t="shared" si="11"/>
        <v>1</v>
      </c>
      <c r="I256" s="209" t="s">
        <v>104</v>
      </c>
      <c r="J256" s="209" t="s">
        <v>240</v>
      </c>
      <c r="K256" s="209" t="s">
        <v>380</v>
      </c>
      <c r="L256" s="230">
        <v>0</v>
      </c>
      <c r="M256" s="231">
        <v>246011</v>
      </c>
    </row>
    <row r="257" spans="1:15">
      <c r="A257" s="212"/>
      <c r="B257" s="209" t="s">
        <v>497</v>
      </c>
      <c r="C257" s="209" t="s">
        <v>678</v>
      </c>
      <c r="D257" s="218">
        <v>6076</v>
      </c>
      <c r="E257" s="219">
        <v>6076</v>
      </c>
      <c r="F257" s="292">
        <f t="shared" si="9"/>
        <v>-239935</v>
      </c>
      <c r="G257" s="288" t="b">
        <f t="shared" si="10"/>
        <v>1</v>
      </c>
      <c r="H257" s="288" t="b">
        <f t="shared" si="11"/>
        <v>1</v>
      </c>
      <c r="I257" s="212"/>
      <c r="J257" s="209" t="s">
        <v>497</v>
      </c>
      <c r="K257" s="209" t="s">
        <v>678</v>
      </c>
      <c r="L257" s="230">
        <v>0</v>
      </c>
      <c r="M257" s="231">
        <v>6076</v>
      </c>
    </row>
    <row r="258" spans="1:15">
      <c r="A258" s="212"/>
      <c r="B258" s="209" t="s">
        <v>498</v>
      </c>
      <c r="C258" s="209" t="s">
        <v>679</v>
      </c>
      <c r="D258" s="218">
        <v>95282</v>
      </c>
      <c r="E258" s="219">
        <v>95282</v>
      </c>
      <c r="F258" s="292">
        <f t="shared" si="9"/>
        <v>89206</v>
      </c>
      <c r="G258" s="288" t="b">
        <f t="shared" si="10"/>
        <v>1</v>
      </c>
      <c r="H258" s="288" t="b">
        <f t="shared" si="11"/>
        <v>1</v>
      </c>
      <c r="I258" s="212"/>
      <c r="J258" s="209" t="s">
        <v>498</v>
      </c>
      <c r="K258" s="209" t="s">
        <v>679</v>
      </c>
      <c r="L258" s="230">
        <v>0</v>
      </c>
      <c r="M258" s="231">
        <v>95282</v>
      </c>
    </row>
    <row r="259" spans="1:15">
      <c r="A259" s="212"/>
      <c r="B259" s="209" t="s">
        <v>231</v>
      </c>
      <c r="C259" s="209" t="s">
        <v>680</v>
      </c>
      <c r="D259" s="218">
        <v>66670</v>
      </c>
      <c r="E259" s="219">
        <v>66670</v>
      </c>
      <c r="F259" s="292">
        <f t="shared" si="9"/>
        <v>-28612</v>
      </c>
      <c r="G259" s="288" t="b">
        <f t="shared" si="10"/>
        <v>1</v>
      </c>
      <c r="H259" s="288" t="b">
        <f t="shared" si="11"/>
        <v>1</v>
      </c>
      <c r="I259" s="212"/>
      <c r="J259" s="209" t="s">
        <v>231</v>
      </c>
      <c r="K259" s="209" t="s">
        <v>680</v>
      </c>
      <c r="L259" s="230">
        <v>0</v>
      </c>
      <c r="M259" s="231">
        <v>66670</v>
      </c>
    </row>
    <row r="260" spans="1:15">
      <c r="A260" s="212"/>
      <c r="B260" s="209" t="s">
        <v>232</v>
      </c>
      <c r="C260" s="209" t="s">
        <v>681</v>
      </c>
      <c r="D260" s="218">
        <v>204712</v>
      </c>
      <c r="E260" s="219">
        <v>204712</v>
      </c>
      <c r="F260" s="292">
        <f t="shared" si="9"/>
        <v>138042</v>
      </c>
      <c r="G260" s="288" t="b">
        <f t="shared" si="10"/>
        <v>1</v>
      </c>
      <c r="H260" s="288" t="b">
        <f t="shared" si="11"/>
        <v>1</v>
      </c>
      <c r="I260" s="212"/>
      <c r="J260" s="209" t="s">
        <v>232</v>
      </c>
      <c r="K260" s="209" t="s">
        <v>681</v>
      </c>
      <c r="L260" s="230">
        <v>0</v>
      </c>
      <c r="M260" s="231">
        <v>204712</v>
      </c>
    </row>
    <row r="261" spans="1:15">
      <c r="A261" s="209" t="s">
        <v>301</v>
      </c>
      <c r="B261" s="210"/>
      <c r="C261" s="210"/>
      <c r="D261" s="218">
        <v>618751</v>
      </c>
      <c r="E261" s="219">
        <v>618751</v>
      </c>
      <c r="F261" s="292">
        <f t="shared" ref="F261:F324" si="12">E261-M260</f>
        <v>414039</v>
      </c>
      <c r="G261" s="288" t="b">
        <f t="shared" si="10"/>
        <v>1</v>
      </c>
      <c r="H261" s="288" t="b">
        <f t="shared" si="11"/>
        <v>1</v>
      </c>
      <c r="I261" s="209" t="s">
        <v>301</v>
      </c>
      <c r="J261" s="210"/>
      <c r="K261" s="210"/>
      <c r="L261" s="296">
        <v>0</v>
      </c>
      <c r="M261" s="297">
        <v>618751</v>
      </c>
      <c r="N261" s="400">
        <f>Seattle!H70+Seattle!H71+Seattle!H72+Seattle!H73+Seattle!H74</f>
        <v>0</v>
      </c>
      <c r="O261" s="400">
        <f>GETPIVOTDATA("Sum of Amount",$I$2,"OrgName","Seattle Vocational Institute")-N261</f>
        <v>618751</v>
      </c>
    </row>
    <row r="262" spans="1:15">
      <c r="A262" s="209" t="s">
        <v>105</v>
      </c>
      <c r="B262" s="209" t="s">
        <v>240</v>
      </c>
      <c r="C262" s="209" t="s">
        <v>381</v>
      </c>
      <c r="D262" s="218">
        <v>392391</v>
      </c>
      <c r="E262" s="219">
        <v>392391</v>
      </c>
      <c r="F262" s="292">
        <f t="shared" si="12"/>
        <v>-226360</v>
      </c>
      <c r="G262" s="288" t="b">
        <f t="shared" si="10"/>
        <v>1</v>
      </c>
      <c r="H262" s="288" t="b">
        <f t="shared" si="11"/>
        <v>1</v>
      </c>
      <c r="I262" s="209" t="s">
        <v>105</v>
      </c>
      <c r="J262" s="209" t="s">
        <v>240</v>
      </c>
      <c r="K262" s="209" t="s">
        <v>381</v>
      </c>
      <c r="L262" s="230">
        <v>0</v>
      </c>
      <c r="M262" s="231">
        <v>392391</v>
      </c>
      <c r="N262" s="299"/>
      <c r="O262" s="299"/>
    </row>
    <row r="263" spans="1:15">
      <c r="A263" s="212"/>
      <c r="B263" s="209" t="s">
        <v>497</v>
      </c>
      <c r="C263" s="209" t="s">
        <v>682</v>
      </c>
      <c r="D263" s="218">
        <v>5563</v>
      </c>
      <c r="E263" s="219">
        <v>5563</v>
      </c>
      <c r="F263" s="292">
        <f t="shared" si="12"/>
        <v>-386828</v>
      </c>
      <c r="G263" s="288" t="b">
        <f t="shared" si="10"/>
        <v>1</v>
      </c>
      <c r="H263" s="288" t="b">
        <f t="shared" si="11"/>
        <v>1</v>
      </c>
      <c r="I263" s="212"/>
      <c r="J263" s="209" t="s">
        <v>497</v>
      </c>
      <c r="K263" s="209" t="s">
        <v>682</v>
      </c>
      <c r="L263" s="230">
        <v>0</v>
      </c>
      <c r="M263" s="231">
        <v>5563</v>
      </c>
      <c r="N263" s="299"/>
      <c r="O263" s="299"/>
    </row>
    <row r="264" spans="1:15">
      <c r="A264" s="212"/>
      <c r="B264" s="209" t="s">
        <v>498</v>
      </c>
      <c r="C264" s="209" t="s">
        <v>683</v>
      </c>
      <c r="D264" s="218">
        <v>192126</v>
      </c>
      <c r="E264" s="219">
        <v>192126</v>
      </c>
      <c r="F264" s="292">
        <f t="shared" si="12"/>
        <v>186563</v>
      </c>
      <c r="G264" s="288" t="b">
        <f t="shared" ref="G264:G327" si="13">IF(B263=J263,TRUE)</f>
        <v>1</v>
      </c>
      <c r="H264" s="288" t="b">
        <f t="shared" ref="H264:H327" si="14">IF(C263=K263,TRUE)</f>
        <v>1</v>
      </c>
      <c r="I264" s="212"/>
      <c r="J264" s="209" t="s">
        <v>498</v>
      </c>
      <c r="K264" s="209" t="s">
        <v>683</v>
      </c>
      <c r="L264" s="230">
        <v>0</v>
      </c>
      <c r="M264" s="231">
        <v>192126</v>
      </c>
      <c r="N264" s="299"/>
      <c r="O264" s="299"/>
    </row>
    <row r="265" spans="1:15">
      <c r="A265" s="212"/>
      <c r="B265" s="209" t="s">
        <v>505</v>
      </c>
      <c r="C265" s="209" t="s">
        <v>684</v>
      </c>
      <c r="D265" s="218">
        <v>42231</v>
      </c>
      <c r="E265" s="219">
        <v>42231</v>
      </c>
      <c r="F265" s="292">
        <f t="shared" si="12"/>
        <v>-149895</v>
      </c>
      <c r="G265" s="288" t="b">
        <f t="shared" si="13"/>
        <v>1</v>
      </c>
      <c r="H265" s="288" t="b">
        <f t="shared" si="14"/>
        <v>1</v>
      </c>
      <c r="I265" s="212"/>
      <c r="J265" s="209" t="s">
        <v>505</v>
      </c>
      <c r="K265" s="209" t="s">
        <v>684</v>
      </c>
      <c r="L265" s="230">
        <v>0</v>
      </c>
      <c r="M265" s="231">
        <v>42231</v>
      </c>
      <c r="N265" s="299"/>
      <c r="O265" s="299"/>
    </row>
    <row r="266" spans="1:15">
      <c r="A266" s="212"/>
      <c r="B266" s="209" t="s">
        <v>235</v>
      </c>
      <c r="C266" s="209" t="s">
        <v>428</v>
      </c>
      <c r="D266" s="218">
        <v>27000</v>
      </c>
      <c r="E266" s="219">
        <v>27000</v>
      </c>
      <c r="F266" s="292">
        <f t="shared" si="12"/>
        <v>-15231</v>
      </c>
      <c r="G266" s="288" t="b">
        <f t="shared" si="13"/>
        <v>1</v>
      </c>
      <c r="H266" s="288" t="b">
        <f t="shared" si="14"/>
        <v>1</v>
      </c>
      <c r="I266" s="212"/>
      <c r="J266" s="209" t="s">
        <v>235</v>
      </c>
      <c r="K266" s="209" t="s">
        <v>428</v>
      </c>
      <c r="L266" s="230">
        <v>0</v>
      </c>
      <c r="M266" s="231">
        <v>27000</v>
      </c>
      <c r="N266" s="299"/>
      <c r="O266" s="299"/>
    </row>
    <row r="267" spans="1:15">
      <c r="A267" s="212"/>
      <c r="B267" s="209" t="s">
        <v>231</v>
      </c>
      <c r="C267" s="209" t="s">
        <v>685</v>
      </c>
      <c r="D267" s="218">
        <v>213877</v>
      </c>
      <c r="E267" s="219">
        <v>213877</v>
      </c>
      <c r="F267" s="292">
        <f t="shared" si="12"/>
        <v>186877</v>
      </c>
      <c r="G267" s="288" t="b">
        <f t="shared" si="13"/>
        <v>1</v>
      </c>
      <c r="H267" s="288" t="b">
        <f t="shared" si="14"/>
        <v>1</v>
      </c>
      <c r="I267" s="212"/>
      <c r="J267" s="209" t="s">
        <v>231</v>
      </c>
      <c r="K267" s="209" t="s">
        <v>685</v>
      </c>
      <c r="L267" s="230">
        <v>0</v>
      </c>
      <c r="M267" s="231">
        <v>213877</v>
      </c>
      <c r="N267" s="299"/>
      <c r="O267" s="299"/>
    </row>
    <row r="268" spans="1:15">
      <c r="A268" s="212"/>
      <c r="B268" s="209" t="s">
        <v>506</v>
      </c>
      <c r="C268" s="209" t="s">
        <v>686</v>
      </c>
      <c r="D268" s="218">
        <v>40285</v>
      </c>
      <c r="E268" s="219">
        <v>40285</v>
      </c>
      <c r="F268" s="292">
        <f t="shared" si="12"/>
        <v>-173592</v>
      </c>
      <c r="G268" s="288" t="b">
        <f t="shared" si="13"/>
        <v>1</v>
      </c>
      <c r="H268" s="288" t="b">
        <f t="shared" si="14"/>
        <v>1</v>
      </c>
      <c r="I268" s="212"/>
      <c r="J268" s="209" t="s">
        <v>506</v>
      </c>
      <c r="K268" s="209" t="s">
        <v>686</v>
      </c>
      <c r="L268" s="230">
        <v>0</v>
      </c>
      <c r="M268" s="231">
        <v>40285</v>
      </c>
      <c r="N268" s="299"/>
      <c r="O268" s="299"/>
    </row>
    <row r="269" spans="1:15">
      <c r="A269" s="212"/>
      <c r="B269" s="209" t="s">
        <v>232</v>
      </c>
      <c r="C269" s="209" t="s">
        <v>687</v>
      </c>
      <c r="D269" s="218">
        <v>250355</v>
      </c>
      <c r="E269" s="219">
        <v>250355</v>
      </c>
      <c r="F269" s="292">
        <f t="shared" si="12"/>
        <v>210070</v>
      </c>
      <c r="G269" s="288" t="b">
        <f t="shared" si="13"/>
        <v>1</v>
      </c>
      <c r="H269" s="288" t="b">
        <f t="shared" si="14"/>
        <v>1</v>
      </c>
      <c r="I269" s="212"/>
      <c r="J269" s="209" t="s">
        <v>232</v>
      </c>
      <c r="K269" s="209" t="s">
        <v>687</v>
      </c>
      <c r="L269" s="230">
        <v>0</v>
      </c>
      <c r="M269" s="231">
        <v>250355</v>
      </c>
      <c r="N269" s="298"/>
      <c r="O269" s="298"/>
    </row>
    <row r="270" spans="1:15">
      <c r="A270" s="209" t="s">
        <v>302</v>
      </c>
      <c r="B270" s="210"/>
      <c r="C270" s="210"/>
      <c r="D270" s="218">
        <v>1163828</v>
      </c>
      <c r="E270" s="219">
        <v>1163828</v>
      </c>
      <c r="F270" s="292">
        <f t="shared" si="12"/>
        <v>913473</v>
      </c>
      <c r="G270" s="288" t="b">
        <f t="shared" si="13"/>
        <v>1</v>
      </c>
      <c r="H270" s="288" t="b">
        <f t="shared" si="14"/>
        <v>1</v>
      </c>
      <c r="I270" s="209" t="s">
        <v>302</v>
      </c>
      <c r="J270" s="210"/>
      <c r="K270" s="210"/>
      <c r="L270" s="230">
        <v>0</v>
      </c>
      <c r="M270" s="231">
        <v>1163828</v>
      </c>
      <c r="N270" s="295">
        <f>Shoreline!H51</f>
        <v>0</v>
      </c>
      <c r="O270" s="295">
        <f>GETPIVOTDATA("Sum of Amount",$I$2,"OrgName","Shoreline Community College")-N270</f>
        <v>1163828</v>
      </c>
    </row>
    <row r="271" spans="1:15">
      <c r="A271" s="209" t="s">
        <v>81</v>
      </c>
      <c r="B271" s="209" t="s">
        <v>240</v>
      </c>
      <c r="C271" s="209" t="s">
        <v>382</v>
      </c>
      <c r="D271" s="218">
        <v>370369</v>
      </c>
      <c r="E271" s="219">
        <v>370369</v>
      </c>
      <c r="F271" s="292">
        <f t="shared" si="12"/>
        <v>-793459</v>
      </c>
      <c r="G271" s="288" t="b">
        <f t="shared" si="13"/>
        <v>1</v>
      </c>
      <c r="H271" s="288" t="b">
        <f t="shared" si="14"/>
        <v>1</v>
      </c>
      <c r="I271" s="209" t="s">
        <v>81</v>
      </c>
      <c r="J271" s="209" t="s">
        <v>240</v>
      </c>
      <c r="K271" s="209" t="s">
        <v>382</v>
      </c>
      <c r="L271" s="230">
        <v>0</v>
      </c>
      <c r="M271" s="231">
        <v>370369</v>
      </c>
    </row>
    <row r="272" spans="1:15">
      <c r="A272" s="212"/>
      <c r="B272" s="209" t="s">
        <v>497</v>
      </c>
      <c r="C272" s="209" t="s">
        <v>688</v>
      </c>
      <c r="D272" s="218">
        <v>6076</v>
      </c>
      <c r="E272" s="219">
        <v>6076</v>
      </c>
      <c r="F272" s="292">
        <f t="shared" si="12"/>
        <v>-364293</v>
      </c>
      <c r="G272" s="288" t="b">
        <f t="shared" si="13"/>
        <v>1</v>
      </c>
      <c r="H272" s="288" t="b">
        <f t="shared" si="14"/>
        <v>1</v>
      </c>
      <c r="I272" s="212"/>
      <c r="J272" s="209" t="s">
        <v>497</v>
      </c>
      <c r="K272" s="209" t="s">
        <v>688</v>
      </c>
      <c r="L272" s="230">
        <v>0</v>
      </c>
      <c r="M272" s="231">
        <v>6076</v>
      </c>
    </row>
    <row r="273" spans="1:15">
      <c r="A273" s="212"/>
      <c r="B273" s="209" t="s">
        <v>498</v>
      </c>
      <c r="C273" s="209" t="s">
        <v>689</v>
      </c>
      <c r="D273" s="218">
        <v>146197</v>
      </c>
      <c r="E273" s="219">
        <v>146197</v>
      </c>
      <c r="F273" s="292">
        <f t="shared" si="12"/>
        <v>140121</v>
      </c>
      <c r="G273" s="288" t="b">
        <f t="shared" si="13"/>
        <v>1</v>
      </c>
      <c r="H273" s="288" t="b">
        <f t="shared" si="14"/>
        <v>1</v>
      </c>
      <c r="I273" s="212"/>
      <c r="J273" s="209" t="s">
        <v>498</v>
      </c>
      <c r="K273" s="209" t="s">
        <v>689</v>
      </c>
      <c r="L273" s="230">
        <v>0</v>
      </c>
      <c r="M273" s="231">
        <v>146197</v>
      </c>
    </row>
    <row r="274" spans="1:15">
      <c r="A274" s="212"/>
      <c r="B274" s="209" t="s">
        <v>505</v>
      </c>
      <c r="C274" s="209" t="s">
        <v>690</v>
      </c>
      <c r="D274" s="218">
        <v>28943</v>
      </c>
      <c r="E274" s="219">
        <v>28943</v>
      </c>
      <c r="F274" s="292">
        <f t="shared" si="12"/>
        <v>-117254</v>
      </c>
      <c r="G274" s="288" t="b">
        <f t="shared" si="13"/>
        <v>1</v>
      </c>
      <c r="H274" s="288" t="b">
        <f t="shared" si="14"/>
        <v>1</v>
      </c>
      <c r="I274" s="212"/>
      <c r="J274" s="209" t="s">
        <v>505</v>
      </c>
      <c r="K274" s="209" t="s">
        <v>690</v>
      </c>
      <c r="L274" s="230">
        <v>0</v>
      </c>
      <c r="M274" s="231">
        <v>28943</v>
      </c>
    </row>
    <row r="275" spans="1:15">
      <c r="A275" s="212"/>
      <c r="B275" s="209" t="s">
        <v>412</v>
      </c>
      <c r="C275" s="209" t="s">
        <v>422</v>
      </c>
      <c r="D275" s="218">
        <v>60000</v>
      </c>
      <c r="E275" s="219">
        <v>60000</v>
      </c>
      <c r="F275" s="292">
        <f t="shared" si="12"/>
        <v>31057</v>
      </c>
      <c r="G275" s="288" t="b">
        <f t="shared" si="13"/>
        <v>1</v>
      </c>
      <c r="H275" s="288" t="b">
        <f t="shared" si="14"/>
        <v>1</v>
      </c>
      <c r="I275" s="212"/>
      <c r="J275" s="209" t="s">
        <v>412</v>
      </c>
      <c r="K275" s="209" t="s">
        <v>422</v>
      </c>
      <c r="L275" s="230">
        <v>0</v>
      </c>
      <c r="M275" s="231">
        <v>60000</v>
      </c>
    </row>
    <row r="276" spans="1:15">
      <c r="A276" s="212"/>
      <c r="B276" s="209" t="s">
        <v>241</v>
      </c>
      <c r="C276" s="209" t="s">
        <v>691</v>
      </c>
      <c r="D276" s="218">
        <v>15100</v>
      </c>
      <c r="E276" s="219">
        <v>15100</v>
      </c>
      <c r="F276" s="292">
        <f t="shared" si="12"/>
        <v>-44900</v>
      </c>
      <c r="G276" s="288" t="b">
        <f t="shared" si="13"/>
        <v>1</v>
      </c>
      <c r="H276" s="288" t="b">
        <f t="shared" si="14"/>
        <v>1</v>
      </c>
      <c r="I276" s="212"/>
      <c r="J276" s="209" t="s">
        <v>241</v>
      </c>
      <c r="K276" s="209" t="s">
        <v>691</v>
      </c>
      <c r="L276" s="230">
        <v>0</v>
      </c>
      <c r="M276" s="231">
        <v>15100</v>
      </c>
    </row>
    <row r="277" spans="1:15">
      <c r="A277" s="212"/>
      <c r="B277" s="209" t="s">
        <v>234</v>
      </c>
      <c r="C277" s="209" t="s">
        <v>692</v>
      </c>
      <c r="D277" s="218">
        <v>15000</v>
      </c>
      <c r="E277" s="219">
        <v>15000</v>
      </c>
      <c r="F277" s="292">
        <f t="shared" si="12"/>
        <v>-100</v>
      </c>
      <c r="G277" s="288" t="b">
        <f t="shared" si="13"/>
        <v>1</v>
      </c>
      <c r="H277" s="288" t="b">
        <f t="shared" si="14"/>
        <v>1</v>
      </c>
      <c r="I277" s="212"/>
      <c r="J277" s="209" t="s">
        <v>234</v>
      </c>
      <c r="K277" s="209" t="s">
        <v>692</v>
      </c>
      <c r="L277" s="230">
        <v>0</v>
      </c>
      <c r="M277" s="231">
        <v>15000</v>
      </c>
    </row>
    <row r="278" spans="1:15">
      <c r="A278" s="212"/>
      <c r="B278" s="209" t="s">
        <v>233</v>
      </c>
      <c r="C278" s="209" t="s">
        <v>693</v>
      </c>
      <c r="D278" s="218">
        <v>16000</v>
      </c>
      <c r="E278" s="219">
        <v>16000</v>
      </c>
      <c r="F278" s="292">
        <f t="shared" si="12"/>
        <v>1000</v>
      </c>
      <c r="G278" s="288" t="b">
        <f t="shared" si="13"/>
        <v>1</v>
      </c>
      <c r="H278" s="288" t="b">
        <f t="shared" si="14"/>
        <v>1</v>
      </c>
      <c r="I278" s="212"/>
      <c r="J278" s="209" t="s">
        <v>233</v>
      </c>
      <c r="K278" s="209" t="s">
        <v>693</v>
      </c>
      <c r="L278" s="230">
        <v>0</v>
      </c>
      <c r="M278" s="231">
        <v>16000</v>
      </c>
      <c r="N278" s="295"/>
      <c r="O278" s="295"/>
    </row>
    <row r="279" spans="1:15">
      <c r="A279" s="212"/>
      <c r="B279" s="209" t="s">
        <v>231</v>
      </c>
      <c r="C279" s="209" t="s">
        <v>694</v>
      </c>
      <c r="D279" s="218">
        <v>378342</v>
      </c>
      <c r="E279" s="219">
        <v>378342</v>
      </c>
      <c r="F279" s="292">
        <f t="shared" si="12"/>
        <v>362342</v>
      </c>
      <c r="G279" s="288" t="b">
        <f t="shared" si="13"/>
        <v>1</v>
      </c>
      <c r="H279" s="288" t="b">
        <f t="shared" si="14"/>
        <v>1</v>
      </c>
      <c r="I279" s="212"/>
      <c r="J279" s="209" t="s">
        <v>231</v>
      </c>
      <c r="K279" s="209" t="s">
        <v>694</v>
      </c>
      <c r="L279" s="230">
        <v>0</v>
      </c>
      <c r="M279" s="231">
        <v>378342</v>
      </c>
    </row>
    <row r="280" spans="1:15">
      <c r="A280" s="212"/>
      <c r="B280" s="209" t="s">
        <v>506</v>
      </c>
      <c r="C280" s="209" t="s">
        <v>695</v>
      </c>
      <c r="D280" s="218">
        <v>51235</v>
      </c>
      <c r="E280" s="219">
        <v>51235</v>
      </c>
      <c r="F280" s="292">
        <f t="shared" si="12"/>
        <v>-327107</v>
      </c>
      <c r="G280" s="288" t="b">
        <f t="shared" si="13"/>
        <v>1</v>
      </c>
      <c r="H280" s="288" t="b">
        <f t="shared" si="14"/>
        <v>1</v>
      </c>
      <c r="I280" s="212"/>
      <c r="J280" s="209" t="s">
        <v>506</v>
      </c>
      <c r="K280" s="209" t="s">
        <v>695</v>
      </c>
      <c r="L280" s="230">
        <v>0</v>
      </c>
      <c r="M280" s="231">
        <v>51235</v>
      </c>
    </row>
    <row r="281" spans="1:15">
      <c r="A281" s="212"/>
      <c r="B281" s="209" t="s">
        <v>232</v>
      </c>
      <c r="C281" s="209" t="s">
        <v>696</v>
      </c>
      <c r="D281" s="218">
        <v>387019</v>
      </c>
      <c r="E281" s="219">
        <v>387019</v>
      </c>
      <c r="F281" s="292">
        <f t="shared" si="12"/>
        <v>335784</v>
      </c>
      <c r="G281" s="288" t="b">
        <f t="shared" si="13"/>
        <v>1</v>
      </c>
      <c r="H281" s="288" t="b">
        <f t="shared" si="14"/>
        <v>1</v>
      </c>
      <c r="I281" s="212"/>
      <c r="J281" s="209" t="s">
        <v>232</v>
      </c>
      <c r="K281" s="209" t="s">
        <v>696</v>
      </c>
      <c r="L281" s="230">
        <v>0</v>
      </c>
      <c r="M281" s="231">
        <v>387019</v>
      </c>
    </row>
    <row r="282" spans="1:15">
      <c r="A282" s="209" t="s">
        <v>303</v>
      </c>
      <c r="B282" s="210"/>
      <c r="C282" s="210"/>
      <c r="D282" s="218">
        <v>1474281</v>
      </c>
      <c r="E282" s="219">
        <v>1474281</v>
      </c>
      <c r="F282" s="292">
        <f t="shared" si="12"/>
        <v>1087262</v>
      </c>
      <c r="G282" s="288" t="b">
        <f t="shared" si="13"/>
        <v>1</v>
      </c>
      <c r="H282" s="288" t="b">
        <f t="shared" si="14"/>
        <v>1</v>
      </c>
      <c r="I282" s="209" t="s">
        <v>303</v>
      </c>
      <c r="J282" s="210"/>
      <c r="K282" s="210"/>
      <c r="L282" s="230">
        <v>0</v>
      </c>
      <c r="M282" s="231">
        <v>1474281</v>
      </c>
      <c r="N282" s="295">
        <f>Skagit!H59</f>
        <v>0</v>
      </c>
      <c r="O282" s="295">
        <f>GETPIVOTDATA("Sum of Amount",$I$2,"OrgName","Skagit Valley College")-N282</f>
        <v>1474281</v>
      </c>
    </row>
    <row r="283" spans="1:15">
      <c r="A283" s="209" t="s">
        <v>106</v>
      </c>
      <c r="B283" s="209" t="s">
        <v>240</v>
      </c>
      <c r="C283" s="209" t="s">
        <v>383</v>
      </c>
      <c r="D283" s="218">
        <v>159756</v>
      </c>
      <c r="E283" s="219">
        <v>159756</v>
      </c>
      <c r="F283" s="292">
        <f t="shared" si="12"/>
        <v>-1314525</v>
      </c>
      <c r="G283" s="288" t="b">
        <f t="shared" si="13"/>
        <v>1</v>
      </c>
      <c r="H283" s="288" t="b">
        <f t="shared" si="14"/>
        <v>1</v>
      </c>
      <c r="I283" s="209" t="s">
        <v>106</v>
      </c>
      <c r="J283" s="209" t="s">
        <v>240</v>
      </c>
      <c r="K283" s="209" t="s">
        <v>383</v>
      </c>
      <c r="L283" s="230">
        <v>0</v>
      </c>
      <c r="M283" s="231">
        <v>159756</v>
      </c>
    </row>
    <row r="284" spans="1:15">
      <c r="A284" s="212"/>
      <c r="B284" s="209" t="s">
        <v>497</v>
      </c>
      <c r="C284" s="209" t="s">
        <v>697</v>
      </c>
      <c r="D284" s="218">
        <v>6076</v>
      </c>
      <c r="E284" s="219">
        <v>6076</v>
      </c>
      <c r="F284" s="292">
        <f t="shared" si="12"/>
        <v>-153680</v>
      </c>
      <c r="G284" s="288" t="b">
        <f t="shared" si="13"/>
        <v>1</v>
      </c>
      <c r="H284" s="288" t="b">
        <f t="shared" si="14"/>
        <v>1</v>
      </c>
      <c r="I284" s="212"/>
      <c r="J284" s="209" t="s">
        <v>497</v>
      </c>
      <c r="K284" s="209" t="s">
        <v>697</v>
      </c>
      <c r="L284" s="230">
        <v>0</v>
      </c>
      <c r="M284" s="231">
        <v>6076</v>
      </c>
    </row>
    <row r="285" spans="1:15">
      <c r="A285" s="212"/>
      <c r="B285" s="209" t="s">
        <v>498</v>
      </c>
      <c r="C285" s="209" t="s">
        <v>698</v>
      </c>
      <c r="D285" s="218">
        <v>96835</v>
      </c>
      <c r="E285" s="219">
        <v>96835</v>
      </c>
      <c r="F285" s="292">
        <f t="shared" si="12"/>
        <v>90759</v>
      </c>
      <c r="G285" s="288" t="b">
        <f t="shared" si="13"/>
        <v>1</v>
      </c>
      <c r="H285" s="288" t="b">
        <f t="shared" si="14"/>
        <v>1</v>
      </c>
      <c r="I285" s="212"/>
      <c r="J285" s="209" t="s">
        <v>498</v>
      </c>
      <c r="K285" s="209" t="s">
        <v>698</v>
      </c>
      <c r="L285" s="230">
        <v>0</v>
      </c>
      <c r="M285" s="231">
        <v>96835</v>
      </c>
    </row>
    <row r="286" spans="1:15">
      <c r="A286" s="212"/>
      <c r="B286" s="209" t="s">
        <v>241</v>
      </c>
      <c r="C286" s="209" t="s">
        <v>699</v>
      </c>
      <c r="D286" s="218">
        <v>37750</v>
      </c>
      <c r="E286" s="219">
        <v>37750</v>
      </c>
      <c r="F286" s="292">
        <f t="shared" si="12"/>
        <v>-59085</v>
      </c>
      <c r="G286" s="288" t="b">
        <f t="shared" si="13"/>
        <v>1</v>
      </c>
      <c r="H286" s="288" t="b">
        <f t="shared" si="14"/>
        <v>1</v>
      </c>
      <c r="I286" s="212"/>
      <c r="J286" s="209" t="s">
        <v>241</v>
      </c>
      <c r="K286" s="209" t="s">
        <v>699</v>
      </c>
      <c r="L286" s="230">
        <v>0</v>
      </c>
      <c r="M286" s="231">
        <v>37750</v>
      </c>
    </row>
    <row r="287" spans="1:15">
      <c r="A287" s="212"/>
      <c r="B287" s="209" t="s">
        <v>231</v>
      </c>
      <c r="C287" s="209" t="s">
        <v>700</v>
      </c>
      <c r="D287" s="218">
        <v>173885</v>
      </c>
      <c r="E287" s="219">
        <v>173885</v>
      </c>
      <c r="F287" s="292">
        <f t="shared" si="12"/>
        <v>136135</v>
      </c>
      <c r="G287" s="288" t="b">
        <f t="shared" si="13"/>
        <v>1</v>
      </c>
      <c r="H287" s="288" t="b">
        <f t="shared" si="14"/>
        <v>1</v>
      </c>
      <c r="I287" s="212"/>
      <c r="J287" s="209" t="s">
        <v>231</v>
      </c>
      <c r="K287" s="209" t="s">
        <v>700</v>
      </c>
      <c r="L287" s="230">
        <v>0</v>
      </c>
      <c r="M287" s="231">
        <v>173885</v>
      </c>
    </row>
    <row r="288" spans="1:15">
      <c r="A288" s="212"/>
      <c r="B288" s="209" t="s">
        <v>506</v>
      </c>
      <c r="C288" s="209" t="s">
        <v>701</v>
      </c>
      <c r="D288" s="218">
        <v>51235</v>
      </c>
      <c r="E288" s="219">
        <v>51235</v>
      </c>
      <c r="F288" s="292">
        <f t="shared" si="12"/>
        <v>-122650</v>
      </c>
      <c r="G288" s="288" t="b">
        <f t="shared" si="13"/>
        <v>1</v>
      </c>
      <c r="H288" s="288" t="b">
        <f t="shared" si="14"/>
        <v>1</v>
      </c>
      <c r="I288" s="212"/>
      <c r="J288" s="209" t="s">
        <v>506</v>
      </c>
      <c r="K288" s="209" t="s">
        <v>701</v>
      </c>
      <c r="L288" s="230">
        <v>0</v>
      </c>
      <c r="M288" s="231">
        <v>51235</v>
      </c>
    </row>
    <row r="289" spans="1:15">
      <c r="A289" s="212"/>
      <c r="B289" s="209" t="s">
        <v>232</v>
      </c>
      <c r="C289" s="209" t="s">
        <v>702</v>
      </c>
      <c r="D289" s="218">
        <v>367403</v>
      </c>
      <c r="E289" s="219">
        <v>367403</v>
      </c>
      <c r="F289" s="292">
        <f t="shared" si="12"/>
        <v>316168</v>
      </c>
      <c r="G289" s="288" t="b">
        <f t="shared" si="13"/>
        <v>1</v>
      </c>
      <c r="H289" s="288" t="b">
        <f t="shared" si="14"/>
        <v>1</v>
      </c>
      <c r="I289" s="212"/>
      <c r="J289" s="209" t="s">
        <v>232</v>
      </c>
      <c r="K289" s="209" t="s">
        <v>702</v>
      </c>
      <c r="L289" s="230">
        <v>0</v>
      </c>
      <c r="M289" s="231">
        <v>367403</v>
      </c>
    </row>
    <row r="290" spans="1:15">
      <c r="A290" s="209" t="s">
        <v>304</v>
      </c>
      <c r="B290" s="210"/>
      <c r="C290" s="210"/>
      <c r="D290" s="218">
        <v>892940</v>
      </c>
      <c r="E290" s="219">
        <v>892940</v>
      </c>
      <c r="F290" s="292">
        <f t="shared" si="12"/>
        <v>525537</v>
      </c>
      <c r="G290" s="288" t="b">
        <f t="shared" si="13"/>
        <v>1</v>
      </c>
      <c r="H290" s="288" t="b">
        <f t="shared" si="14"/>
        <v>1</v>
      </c>
      <c r="I290" s="209" t="s">
        <v>304</v>
      </c>
      <c r="J290" s="210"/>
      <c r="K290" s="210"/>
      <c r="L290" s="230">
        <v>0</v>
      </c>
      <c r="M290" s="231">
        <v>892940</v>
      </c>
    </row>
    <row r="291" spans="1:15">
      <c r="A291" s="209" t="s">
        <v>107</v>
      </c>
      <c r="B291" s="209" t="s">
        <v>240</v>
      </c>
      <c r="C291" s="209" t="s">
        <v>384</v>
      </c>
      <c r="D291" s="218">
        <v>1434702</v>
      </c>
      <c r="E291" s="219">
        <v>1434702</v>
      </c>
      <c r="F291" s="292">
        <f t="shared" si="12"/>
        <v>541762</v>
      </c>
      <c r="G291" s="288" t="b">
        <f t="shared" si="13"/>
        <v>1</v>
      </c>
      <c r="H291" s="288" t="b">
        <f t="shared" si="14"/>
        <v>1</v>
      </c>
      <c r="I291" s="209" t="s">
        <v>323</v>
      </c>
      <c r="J291" s="209" t="s">
        <v>240</v>
      </c>
      <c r="K291" s="209" t="s">
        <v>384</v>
      </c>
      <c r="L291" s="230">
        <v>0</v>
      </c>
      <c r="M291" s="231">
        <v>1434702</v>
      </c>
      <c r="N291" s="295"/>
      <c r="O291" s="295"/>
    </row>
    <row r="292" spans="1:15">
      <c r="A292" s="212"/>
      <c r="B292" s="209" t="s">
        <v>497</v>
      </c>
      <c r="C292" s="209" t="s">
        <v>703</v>
      </c>
      <c r="D292" s="218">
        <v>5563</v>
      </c>
      <c r="E292" s="219">
        <v>5563</v>
      </c>
      <c r="F292" s="292">
        <f t="shared" si="12"/>
        <v>-1429139</v>
      </c>
      <c r="G292" s="288" t="b">
        <f t="shared" si="13"/>
        <v>1</v>
      </c>
      <c r="H292" s="288" t="b">
        <f t="shared" si="14"/>
        <v>1</v>
      </c>
      <c r="I292" s="212"/>
      <c r="J292" s="209" t="s">
        <v>497</v>
      </c>
      <c r="K292" s="209" t="s">
        <v>703</v>
      </c>
      <c r="L292" s="230">
        <v>0</v>
      </c>
      <c r="M292" s="231">
        <v>5563</v>
      </c>
    </row>
    <row r="293" spans="1:15">
      <c r="A293" s="212"/>
      <c r="B293" s="209" t="s">
        <v>498</v>
      </c>
      <c r="C293" s="209" t="s">
        <v>704</v>
      </c>
      <c r="D293" s="218">
        <v>260368</v>
      </c>
      <c r="E293" s="219">
        <v>260368</v>
      </c>
      <c r="F293" s="292">
        <f t="shared" si="12"/>
        <v>254805</v>
      </c>
      <c r="G293" s="288" t="b">
        <f t="shared" si="13"/>
        <v>1</v>
      </c>
      <c r="H293" s="288" t="b">
        <f t="shared" si="14"/>
        <v>1</v>
      </c>
      <c r="I293" s="212"/>
      <c r="J293" s="209" t="s">
        <v>498</v>
      </c>
      <c r="K293" s="209" t="s">
        <v>704</v>
      </c>
      <c r="L293" s="230">
        <v>0</v>
      </c>
      <c r="M293" s="231">
        <v>260368</v>
      </c>
    </row>
    <row r="294" spans="1:15">
      <c r="A294" s="212"/>
      <c r="B294" s="209" t="s">
        <v>505</v>
      </c>
      <c r="C294" s="209" t="s">
        <v>705</v>
      </c>
      <c r="D294" s="218">
        <v>58268</v>
      </c>
      <c r="E294" s="219">
        <v>58268</v>
      </c>
      <c r="F294" s="292">
        <f t="shared" si="12"/>
        <v>-202100</v>
      </c>
      <c r="G294" s="288" t="b">
        <f t="shared" si="13"/>
        <v>1</v>
      </c>
      <c r="H294" s="288" t="b">
        <f t="shared" si="14"/>
        <v>1</v>
      </c>
      <c r="I294" s="212"/>
      <c r="J294" s="209" t="s">
        <v>505</v>
      </c>
      <c r="K294" s="209" t="s">
        <v>705</v>
      </c>
      <c r="L294" s="230">
        <v>0</v>
      </c>
      <c r="M294" s="231">
        <v>58268</v>
      </c>
    </row>
    <row r="295" spans="1:15">
      <c r="A295" s="212"/>
      <c r="B295" s="209" t="s">
        <v>269</v>
      </c>
      <c r="C295" s="209" t="s">
        <v>706</v>
      </c>
      <c r="D295" s="218">
        <v>108913</v>
      </c>
      <c r="E295" s="219">
        <v>108913</v>
      </c>
      <c r="F295" s="292">
        <f t="shared" si="12"/>
        <v>50645</v>
      </c>
      <c r="G295" s="288" t="b">
        <f t="shared" si="13"/>
        <v>1</v>
      </c>
      <c r="H295" s="288" t="b">
        <f t="shared" si="14"/>
        <v>1</v>
      </c>
      <c r="I295" s="212"/>
      <c r="J295" s="209" t="s">
        <v>269</v>
      </c>
      <c r="K295" s="209" t="s">
        <v>706</v>
      </c>
      <c r="L295" s="230">
        <v>0</v>
      </c>
      <c r="M295" s="231">
        <v>108913</v>
      </c>
    </row>
    <row r="296" spans="1:15">
      <c r="A296" s="212"/>
      <c r="B296" s="212"/>
      <c r="C296" s="214" t="s">
        <v>707</v>
      </c>
      <c r="D296" s="220">
        <v>28181</v>
      </c>
      <c r="E296" s="221">
        <v>28181</v>
      </c>
      <c r="F296" s="292">
        <f t="shared" si="12"/>
        <v>-80732</v>
      </c>
      <c r="G296" s="288" t="b">
        <f t="shared" si="13"/>
        <v>1</v>
      </c>
      <c r="H296" s="288" t="b">
        <f t="shared" si="14"/>
        <v>1</v>
      </c>
      <c r="I296" s="212"/>
      <c r="J296" s="212"/>
      <c r="K296" s="214" t="s">
        <v>707</v>
      </c>
      <c r="L296" s="232">
        <v>0</v>
      </c>
      <c r="M296" s="233">
        <v>28181</v>
      </c>
    </row>
    <row r="297" spans="1:15">
      <c r="A297" s="212"/>
      <c r="B297" s="209" t="s">
        <v>231</v>
      </c>
      <c r="C297" s="209" t="s">
        <v>708</v>
      </c>
      <c r="D297" s="218">
        <v>190202</v>
      </c>
      <c r="E297" s="219">
        <v>190202</v>
      </c>
      <c r="F297" s="292">
        <f t="shared" si="12"/>
        <v>162021</v>
      </c>
      <c r="G297" s="288" t="b">
        <f t="shared" si="13"/>
        <v>1</v>
      </c>
      <c r="H297" s="288" t="b">
        <f t="shared" si="14"/>
        <v>1</v>
      </c>
      <c r="I297" s="212"/>
      <c r="J297" s="209" t="s">
        <v>231</v>
      </c>
      <c r="K297" s="209" t="s">
        <v>708</v>
      </c>
      <c r="L297" s="230">
        <v>0</v>
      </c>
      <c r="M297" s="231">
        <v>190202</v>
      </c>
    </row>
    <row r="298" spans="1:15">
      <c r="A298" s="212"/>
      <c r="B298" s="209" t="s">
        <v>506</v>
      </c>
      <c r="C298" s="209" t="s">
        <v>709</v>
      </c>
      <c r="D298" s="218">
        <v>51235</v>
      </c>
      <c r="E298" s="219">
        <v>51235</v>
      </c>
      <c r="F298" s="292">
        <f t="shared" si="12"/>
        <v>-138967</v>
      </c>
      <c r="G298" s="288" t="b">
        <f t="shared" si="13"/>
        <v>1</v>
      </c>
      <c r="H298" s="288" t="b">
        <f t="shared" si="14"/>
        <v>1</v>
      </c>
      <c r="I298" s="212"/>
      <c r="J298" s="209" t="s">
        <v>506</v>
      </c>
      <c r="K298" s="209" t="s">
        <v>709</v>
      </c>
      <c r="L298" s="230">
        <v>0</v>
      </c>
      <c r="M298" s="231">
        <v>51235</v>
      </c>
    </row>
    <row r="299" spans="1:15">
      <c r="A299" s="212"/>
      <c r="B299" s="209" t="s">
        <v>232</v>
      </c>
      <c r="C299" s="209" t="s">
        <v>710</v>
      </c>
      <c r="D299" s="218">
        <v>297484</v>
      </c>
      <c r="E299" s="219">
        <v>297484</v>
      </c>
      <c r="F299" s="292">
        <f t="shared" si="12"/>
        <v>246249</v>
      </c>
      <c r="G299" s="288" t="b">
        <f t="shared" si="13"/>
        <v>1</v>
      </c>
      <c r="H299" s="288" t="b">
        <f t="shared" si="14"/>
        <v>1</v>
      </c>
      <c r="I299" s="212"/>
      <c r="J299" s="209" t="s">
        <v>232</v>
      </c>
      <c r="K299" s="209" t="s">
        <v>710</v>
      </c>
      <c r="L299" s="230">
        <v>0</v>
      </c>
      <c r="M299" s="231">
        <v>297484</v>
      </c>
    </row>
    <row r="300" spans="1:15">
      <c r="A300" s="209" t="s">
        <v>305</v>
      </c>
      <c r="B300" s="210"/>
      <c r="C300" s="210"/>
      <c r="D300" s="218">
        <v>2434916</v>
      </c>
      <c r="E300" s="219">
        <v>2434916</v>
      </c>
      <c r="F300" s="292">
        <f t="shared" si="12"/>
        <v>2137432</v>
      </c>
      <c r="G300" s="288" t="b">
        <f t="shared" si="13"/>
        <v>1</v>
      </c>
      <c r="H300" s="288" t="b">
        <f t="shared" si="14"/>
        <v>1</v>
      </c>
      <c r="I300" s="209" t="s">
        <v>327</v>
      </c>
      <c r="J300" s="210"/>
      <c r="K300" s="210"/>
      <c r="L300" s="296">
        <v>0</v>
      </c>
      <c r="M300" s="297">
        <v>2434916</v>
      </c>
      <c r="N300" s="148">
        <f>Seattle!H75+Seattle!H76+Seattle!H77+Seattle!H78+Seattle!H79+Seattle!H80+Seattle!H81+Seattle!H82+Seattle!H83</f>
        <v>0</v>
      </c>
      <c r="O300" s="148">
        <f>GETPIVOTDATA("Sum of Amount",$I$2,"OrgName","South Seattle College")-N300</f>
        <v>2434916</v>
      </c>
    </row>
    <row r="301" spans="1:15">
      <c r="A301" s="209" t="s">
        <v>82</v>
      </c>
      <c r="B301" s="209" t="s">
        <v>240</v>
      </c>
      <c r="C301" s="209" t="s">
        <v>385</v>
      </c>
      <c r="D301" s="218">
        <v>584887</v>
      </c>
      <c r="E301" s="219">
        <v>584887</v>
      </c>
      <c r="F301" s="292">
        <f t="shared" si="12"/>
        <v>-1850029</v>
      </c>
      <c r="G301" s="288" t="b">
        <f t="shared" si="13"/>
        <v>1</v>
      </c>
      <c r="H301" s="288" t="b">
        <f t="shared" si="14"/>
        <v>1</v>
      </c>
      <c r="I301" s="209" t="s">
        <v>82</v>
      </c>
      <c r="J301" s="209" t="s">
        <v>240</v>
      </c>
      <c r="K301" s="209" t="s">
        <v>385</v>
      </c>
      <c r="L301" s="230">
        <v>0</v>
      </c>
      <c r="M301" s="231">
        <v>584887</v>
      </c>
    </row>
    <row r="302" spans="1:15">
      <c r="A302" s="212"/>
      <c r="B302" s="209" t="s">
        <v>497</v>
      </c>
      <c r="C302" s="209" t="s">
        <v>711</v>
      </c>
      <c r="D302" s="218">
        <v>9076</v>
      </c>
      <c r="E302" s="219">
        <v>9076</v>
      </c>
      <c r="F302" s="292">
        <f t="shared" si="12"/>
        <v>-575811</v>
      </c>
      <c r="G302" s="288" t="b">
        <f t="shared" si="13"/>
        <v>1</v>
      </c>
      <c r="H302" s="288" t="b">
        <f t="shared" si="14"/>
        <v>1</v>
      </c>
      <c r="I302" s="212"/>
      <c r="J302" s="209" t="s">
        <v>497</v>
      </c>
      <c r="K302" s="209" t="s">
        <v>711</v>
      </c>
      <c r="L302" s="230">
        <v>0</v>
      </c>
      <c r="M302" s="231">
        <v>9076</v>
      </c>
    </row>
    <row r="303" spans="1:15">
      <c r="A303" s="212"/>
      <c r="B303" s="209" t="s">
        <v>498</v>
      </c>
      <c r="C303" s="209" t="s">
        <v>712</v>
      </c>
      <c r="D303" s="218">
        <v>501991</v>
      </c>
      <c r="E303" s="219">
        <v>501991</v>
      </c>
      <c r="F303" s="292">
        <f t="shared" si="12"/>
        <v>492915</v>
      </c>
      <c r="G303" s="288" t="b">
        <f t="shared" si="13"/>
        <v>1</v>
      </c>
      <c r="H303" s="288" t="b">
        <f t="shared" si="14"/>
        <v>1</v>
      </c>
      <c r="I303" s="212"/>
      <c r="J303" s="209" t="s">
        <v>498</v>
      </c>
      <c r="K303" s="209" t="s">
        <v>712</v>
      </c>
      <c r="L303" s="230">
        <v>0</v>
      </c>
      <c r="M303" s="231">
        <v>501991</v>
      </c>
    </row>
    <row r="304" spans="1:15">
      <c r="A304" s="212"/>
      <c r="B304" s="209" t="s">
        <v>505</v>
      </c>
      <c r="C304" s="209" t="s">
        <v>713</v>
      </c>
      <c r="D304" s="218">
        <v>103550</v>
      </c>
      <c r="E304" s="219">
        <v>103550</v>
      </c>
      <c r="F304" s="292">
        <f t="shared" si="12"/>
        <v>-398441</v>
      </c>
      <c r="G304" s="288" t="b">
        <f t="shared" si="13"/>
        <v>1</v>
      </c>
      <c r="H304" s="288" t="b">
        <f t="shared" si="14"/>
        <v>1</v>
      </c>
      <c r="I304" s="212"/>
      <c r="J304" s="209" t="s">
        <v>505</v>
      </c>
      <c r="K304" s="209" t="s">
        <v>713</v>
      </c>
      <c r="L304" s="230">
        <v>0</v>
      </c>
      <c r="M304" s="231">
        <v>103550</v>
      </c>
    </row>
    <row r="305" spans="1:15">
      <c r="A305" s="212"/>
      <c r="B305" s="209" t="s">
        <v>267</v>
      </c>
      <c r="C305" s="209" t="s">
        <v>714</v>
      </c>
      <c r="D305" s="218">
        <v>1779716</v>
      </c>
      <c r="E305" s="219">
        <v>1779716</v>
      </c>
      <c r="F305" s="292">
        <f t="shared" si="12"/>
        <v>1676166</v>
      </c>
      <c r="G305" s="288" t="b">
        <f t="shared" si="13"/>
        <v>1</v>
      </c>
      <c r="H305" s="288" t="b">
        <f t="shared" si="14"/>
        <v>1</v>
      </c>
      <c r="I305" s="212"/>
      <c r="J305" s="209" t="s">
        <v>267</v>
      </c>
      <c r="K305" s="209" t="s">
        <v>714</v>
      </c>
      <c r="L305" s="230">
        <v>0</v>
      </c>
      <c r="M305" s="231">
        <v>1779716</v>
      </c>
    </row>
    <row r="306" spans="1:15">
      <c r="A306" s="212"/>
      <c r="B306" s="209" t="s">
        <v>242</v>
      </c>
      <c r="C306" s="209" t="s">
        <v>249</v>
      </c>
      <c r="D306" s="218">
        <v>205870</v>
      </c>
      <c r="E306" s="219">
        <v>205870</v>
      </c>
      <c r="F306" s="292">
        <f t="shared" si="12"/>
        <v>-1573846</v>
      </c>
      <c r="G306" s="288" t="b">
        <f t="shared" si="13"/>
        <v>1</v>
      </c>
      <c r="H306" s="288" t="b">
        <f t="shared" si="14"/>
        <v>1</v>
      </c>
      <c r="I306" s="212"/>
      <c r="J306" s="209" t="s">
        <v>242</v>
      </c>
      <c r="K306" s="209" t="s">
        <v>249</v>
      </c>
      <c r="L306" s="230">
        <v>0</v>
      </c>
      <c r="M306" s="231">
        <v>205870</v>
      </c>
      <c r="N306" s="295"/>
      <c r="O306" s="295"/>
    </row>
    <row r="307" spans="1:15">
      <c r="A307" s="212"/>
      <c r="B307" s="209" t="s">
        <v>235</v>
      </c>
      <c r="C307" s="209" t="s">
        <v>715</v>
      </c>
      <c r="D307" s="218">
        <v>15000</v>
      </c>
      <c r="E307" s="219">
        <v>15000</v>
      </c>
      <c r="F307" s="292">
        <f t="shared" si="12"/>
        <v>-190870</v>
      </c>
      <c r="G307" s="288" t="b">
        <f t="shared" si="13"/>
        <v>1</v>
      </c>
      <c r="H307" s="288" t="b">
        <f t="shared" si="14"/>
        <v>1</v>
      </c>
      <c r="I307" s="212"/>
      <c r="J307" s="209" t="s">
        <v>235</v>
      </c>
      <c r="K307" s="209" t="s">
        <v>715</v>
      </c>
      <c r="L307" s="230">
        <v>0</v>
      </c>
      <c r="M307" s="231">
        <v>15000</v>
      </c>
    </row>
    <row r="308" spans="1:15">
      <c r="A308" s="212"/>
      <c r="B308" s="212"/>
      <c r="C308" s="214" t="s">
        <v>716</v>
      </c>
      <c r="D308" s="220">
        <v>10000</v>
      </c>
      <c r="E308" s="221">
        <v>10000</v>
      </c>
      <c r="F308" s="292">
        <f t="shared" si="12"/>
        <v>-5000</v>
      </c>
      <c r="G308" s="288" t="b">
        <f t="shared" si="13"/>
        <v>1</v>
      </c>
      <c r="H308" s="288" t="b">
        <f t="shared" si="14"/>
        <v>1</v>
      </c>
      <c r="I308" s="212"/>
      <c r="J308" s="212"/>
      <c r="K308" s="214" t="s">
        <v>716</v>
      </c>
      <c r="L308" s="232">
        <v>0</v>
      </c>
      <c r="M308" s="233">
        <v>10000</v>
      </c>
    </row>
    <row r="309" spans="1:15">
      <c r="A309" s="212"/>
      <c r="B309" s="212"/>
      <c r="C309" s="214" t="s">
        <v>717</v>
      </c>
      <c r="D309" s="220">
        <v>24000</v>
      </c>
      <c r="E309" s="221">
        <v>24000</v>
      </c>
      <c r="F309" s="292">
        <f t="shared" si="12"/>
        <v>14000</v>
      </c>
      <c r="G309" s="288" t="b">
        <f t="shared" si="13"/>
        <v>1</v>
      </c>
      <c r="H309" s="288" t="b">
        <f t="shared" si="14"/>
        <v>1</v>
      </c>
      <c r="I309" s="212"/>
      <c r="J309" s="212"/>
      <c r="K309" s="214" t="s">
        <v>717</v>
      </c>
      <c r="L309" s="232">
        <v>0</v>
      </c>
      <c r="M309" s="233">
        <v>24000</v>
      </c>
    </row>
    <row r="310" spans="1:15">
      <c r="A310" s="212"/>
      <c r="B310" s="209" t="s">
        <v>359</v>
      </c>
      <c r="C310" s="209" t="s">
        <v>718</v>
      </c>
      <c r="D310" s="218">
        <v>5000</v>
      </c>
      <c r="E310" s="219">
        <v>5000</v>
      </c>
      <c r="F310" s="292">
        <f t="shared" si="12"/>
        <v>-19000</v>
      </c>
      <c r="G310" s="288" t="b">
        <f t="shared" si="13"/>
        <v>1</v>
      </c>
      <c r="H310" s="288" t="b">
        <f t="shared" si="14"/>
        <v>1</v>
      </c>
      <c r="I310" s="212"/>
      <c r="J310" s="209" t="s">
        <v>359</v>
      </c>
      <c r="K310" s="209" t="s">
        <v>718</v>
      </c>
      <c r="L310" s="230">
        <v>0</v>
      </c>
      <c r="M310" s="231">
        <v>5000</v>
      </c>
    </row>
    <row r="311" spans="1:15">
      <c r="A311" s="212"/>
      <c r="B311" s="209" t="s">
        <v>231</v>
      </c>
      <c r="C311" s="209" t="s">
        <v>719</v>
      </c>
      <c r="D311" s="218">
        <v>991379</v>
      </c>
      <c r="E311" s="219">
        <v>991379</v>
      </c>
      <c r="F311" s="292">
        <f t="shared" si="12"/>
        <v>986379</v>
      </c>
      <c r="G311" s="288" t="b">
        <f t="shared" si="13"/>
        <v>1</v>
      </c>
      <c r="H311" s="288" t="b">
        <f t="shared" si="14"/>
        <v>1</v>
      </c>
      <c r="I311" s="212"/>
      <c r="J311" s="209" t="s">
        <v>231</v>
      </c>
      <c r="K311" s="209" t="s">
        <v>719</v>
      </c>
      <c r="L311" s="230">
        <v>0</v>
      </c>
      <c r="M311" s="231">
        <v>991379</v>
      </c>
    </row>
    <row r="312" spans="1:15">
      <c r="A312" s="212"/>
      <c r="B312" s="209" t="s">
        <v>232</v>
      </c>
      <c r="C312" s="209" t="s">
        <v>720</v>
      </c>
      <c r="D312" s="218">
        <v>1532619</v>
      </c>
      <c r="E312" s="219">
        <v>1532619</v>
      </c>
      <c r="F312" s="292">
        <f t="shared" si="12"/>
        <v>541240</v>
      </c>
      <c r="G312" s="288" t="b">
        <f t="shared" si="13"/>
        <v>1</v>
      </c>
      <c r="H312" s="288" t="b">
        <f t="shared" si="14"/>
        <v>1</v>
      </c>
      <c r="I312" s="212"/>
      <c r="J312" s="209" t="s">
        <v>232</v>
      </c>
      <c r="K312" s="209" t="s">
        <v>720</v>
      </c>
      <c r="L312" s="230">
        <v>0</v>
      </c>
      <c r="M312" s="231">
        <v>1532619</v>
      </c>
    </row>
    <row r="313" spans="1:15">
      <c r="A313" s="209" t="s">
        <v>306</v>
      </c>
      <c r="B313" s="210"/>
      <c r="C313" s="210"/>
      <c r="D313" s="218">
        <v>5763088</v>
      </c>
      <c r="E313" s="219">
        <v>5763088</v>
      </c>
      <c r="F313" s="292">
        <f t="shared" si="12"/>
        <v>4230469</v>
      </c>
      <c r="G313" s="288" t="b">
        <f t="shared" si="13"/>
        <v>1</v>
      </c>
      <c r="H313" s="288" t="b">
        <f t="shared" si="14"/>
        <v>1</v>
      </c>
      <c r="I313" s="209" t="s">
        <v>306</v>
      </c>
      <c r="J313" s="210"/>
      <c r="K313" s="210"/>
      <c r="L313" s="230">
        <v>0</v>
      </c>
      <c r="M313" s="231">
        <v>5763088</v>
      </c>
      <c r="N313" s="295">
        <f>Spokane!H63-Spokane!H61</f>
        <v>0</v>
      </c>
      <c r="O313" s="295">
        <f>GETPIVOTDATA("Sum of Amount",$I$2,"OrgName","Spokane District Office")-N313</f>
        <v>5763088</v>
      </c>
    </row>
    <row r="314" spans="1:15">
      <c r="A314" s="209" t="s">
        <v>109</v>
      </c>
      <c r="B314" s="209" t="s">
        <v>233</v>
      </c>
      <c r="C314" s="209" t="s">
        <v>721</v>
      </c>
      <c r="D314" s="218">
        <v>16000</v>
      </c>
      <c r="E314" s="219">
        <v>16000</v>
      </c>
      <c r="F314" s="292">
        <f t="shared" si="12"/>
        <v>-5747088</v>
      </c>
      <c r="G314" s="288" t="b">
        <f t="shared" si="13"/>
        <v>1</v>
      </c>
      <c r="H314" s="288" t="b">
        <f t="shared" si="14"/>
        <v>1</v>
      </c>
      <c r="I314" s="209" t="s">
        <v>109</v>
      </c>
      <c r="J314" s="209" t="s">
        <v>233</v>
      </c>
      <c r="K314" s="209" t="s">
        <v>721</v>
      </c>
      <c r="L314" s="230">
        <v>0</v>
      </c>
      <c r="M314" s="231">
        <v>16000</v>
      </c>
    </row>
    <row r="315" spans="1:15">
      <c r="A315" s="209" t="s">
        <v>307</v>
      </c>
      <c r="B315" s="210"/>
      <c r="C315" s="210"/>
      <c r="D315" s="218">
        <v>16000</v>
      </c>
      <c r="E315" s="219">
        <v>16000</v>
      </c>
      <c r="F315" s="292">
        <f t="shared" si="12"/>
        <v>0</v>
      </c>
      <c r="G315" s="288" t="b">
        <f t="shared" si="13"/>
        <v>1</v>
      </c>
      <c r="H315" s="288" t="b">
        <f t="shared" si="14"/>
        <v>1</v>
      </c>
      <c r="I315" s="209" t="s">
        <v>307</v>
      </c>
      <c r="J315" s="210"/>
      <c r="K315" s="210"/>
      <c r="L315" s="230">
        <v>0</v>
      </c>
      <c r="M315" s="231">
        <v>16000</v>
      </c>
      <c r="N315" s="148">
        <f>Spokane!H61</f>
        <v>0</v>
      </c>
      <c r="O315" s="148">
        <f>GETPIVOTDATA("Sum of Amount",$I$2,"OrgName","Spokane Falls Community College")-N315</f>
        <v>16000</v>
      </c>
    </row>
    <row r="316" spans="1:15">
      <c r="A316" s="209" t="s">
        <v>111</v>
      </c>
      <c r="B316" s="209" t="s">
        <v>240</v>
      </c>
      <c r="C316" s="209" t="s">
        <v>386</v>
      </c>
      <c r="D316" s="218">
        <v>262203</v>
      </c>
      <c r="E316" s="219">
        <v>262203</v>
      </c>
      <c r="F316" s="292">
        <f t="shared" si="12"/>
        <v>246203</v>
      </c>
      <c r="G316" s="288" t="b">
        <f t="shared" si="13"/>
        <v>1</v>
      </c>
      <c r="H316" s="288" t="b">
        <f t="shared" si="14"/>
        <v>1</v>
      </c>
      <c r="I316" s="209" t="s">
        <v>111</v>
      </c>
      <c r="J316" s="209" t="s">
        <v>240</v>
      </c>
      <c r="K316" s="209" t="s">
        <v>386</v>
      </c>
      <c r="L316" s="230">
        <v>0</v>
      </c>
      <c r="M316" s="231">
        <v>262203</v>
      </c>
    </row>
    <row r="317" spans="1:15">
      <c r="A317" s="212"/>
      <c r="B317" s="209" t="s">
        <v>498</v>
      </c>
      <c r="C317" s="209" t="s">
        <v>722</v>
      </c>
      <c r="D317" s="218">
        <v>143037</v>
      </c>
      <c r="E317" s="219">
        <v>143037</v>
      </c>
      <c r="F317" s="292">
        <f t="shared" si="12"/>
        <v>-119166</v>
      </c>
      <c r="G317" s="288" t="b">
        <f t="shared" si="13"/>
        <v>1</v>
      </c>
      <c r="H317" s="288" t="b">
        <f t="shared" si="14"/>
        <v>1</v>
      </c>
      <c r="I317" s="212"/>
      <c r="J317" s="209" t="s">
        <v>498</v>
      </c>
      <c r="K317" s="209" t="s">
        <v>722</v>
      </c>
      <c r="L317" s="230">
        <v>0</v>
      </c>
      <c r="M317" s="231">
        <v>143037</v>
      </c>
    </row>
    <row r="318" spans="1:15">
      <c r="A318" s="212"/>
      <c r="B318" s="209" t="s">
        <v>505</v>
      </c>
      <c r="C318" s="209" t="s">
        <v>723</v>
      </c>
      <c r="D318" s="218">
        <v>36714</v>
      </c>
      <c r="E318" s="219">
        <v>36714</v>
      </c>
      <c r="F318" s="292">
        <f t="shared" si="12"/>
        <v>-106323</v>
      </c>
      <c r="G318" s="288" t="b">
        <f t="shared" si="13"/>
        <v>1</v>
      </c>
      <c r="H318" s="288" t="b">
        <f t="shared" si="14"/>
        <v>1</v>
      </c>
      <c r="I318" s="212"/>
      <c r="J318" s="209" t="s">
        <v>505</v>
      </c>
      <c r="K318" s="209" t="s">
        <v>723</v>
      </c>
      <c r="L318" s="230">
        <v>0</v>
      </c>
      <c r="M318" s="231">
        <v>36714</v>
      </c>
    </row>
    <row r="319" spans="1:15">
      <c r="A319" s="212"/>
      <c r="B319" s="209" t="s">
        <v>412</v>
      </c>
      <c r="C319" s="209" t="s">
        <v>423</v>
      </c>
      <c r="D319" s="218">
        <v>59891</v>
      </c>
      <c r="E319" s="219">
        <v>59891</v>
      </c>
      <c r="F319" s="292">
        <f t="shared" si="12"/>
        <v>23177</v>
      </c>
      <c r="G319" s="288" t="b">
        <f t="shared" si="13"/>
        <v>1</v>
      </c>
      <c r="H319" s="288" t="b">
        <f t="shared" si="14"/>
        <v>1</v>
      </c>
      <c r="I319" s="212"/>
      <c r="J319" s="209" t="s">
        <v>412</v>
      </c>
      <c r="K319" s="209" t="s">
        <v>423</v>
      </c>
      <c r="L319" s="230">
        <v>0</v>
      </c>
      <c r="M319" s="231">
        <v>59891</v>
      </c>
    </row>
    <row r="320" spans="1:15">
      <c r="A320" s="212"/>
      <c r="B320" s="209" t="s">
        <v>267</v>
      </c>
      <c r="C320" s="209" t="s">
        <v>724</v>
      </c>
      <c r="D320" s="218">
        <v>1375460</v>
      </c>
      <c r="E320" s="219">
        <v>1375460</v>
      </c>
      <c r="F320" s="292">
        <f t="shared" si="12"/>
        <v>1315569</v>
      </c>
      <c r="G320" s="288" t="b">
        <f t="shared" si="13"/>
        <v>1</v>
      </c>
      <c r="H320" s="288" t="b">
        <f t="shared" si="14"/>
        <v>1</v>
      </c>
      <c r="I320" s="212"/>
      <c r="J320" s="209" t="s">
        <v>267</v>
      </c>
      <c r="K320" s="209" t="s">
        <v>724</v>
      </c>
      <c r="L320" s="230">
        <v>0</v>
      </c>
      <c r="M320" s="231">
        <v>1375460</v>
      </c>
    </row>
    <row r="321" spans="1:15">
      <c r="A321" s="212"/>
      <c r="B321" s="209" t="s">
        <v>274</v>
      </c>
      <c r="C321" s="209" t="s">
        <v>725</v>
      </c>
      <c r="D321" s="218">
        <v>5000</v>
      </c>
      <c r="E321" s="219">
        <v>5000</v>
      </c>
      <c r="F321" s="292">
        <f t="shared" si="12"/>
        <v>-1370460</v>
      </c>
      <c r="G321" s="288" t="b">
        <f t="shared" si="13"/>
        <v>1</v>
      </c>
      <c r="H321" s="288" t="b">
        <f t="shared" si="14"/>
        <v>1</v>
      </c>
      <c r="I321" s="212"/>
      <c r="J321" s="209" t="s">
        <v>274</v>
      </c>
      <c r="K321" s="209" t="s">
        <v>725</v>
      </c>
      <c r="L321" s="230">
        <v>0</v>
      </c>
      <c r="M321" s="231">
        <v>5000</v>
      </c>
    </row>
    <row r="322" spans="1:15">
      <c r="A322" s="212"/>
      <c r="B322" s="209" t="s">
        <v>242</v>
      </c>
      <c r="C322" s="209" t="s">
        <v>250</v>
      </c>
      <c r="D322" s="218">
        <v>154635</v>
      </c>
      <c r="E322" s="219">
        <v>154635</v>
      </c>
      <c r="F322" s="292">
        <f t="shared" si="12"/>
        <v>149635</v>
      </c>
      <c r="G322" s="288" t="b">
        <f t="shared" si="13"/>
        <v>1</v>
      </c>
      <c r="H322" s="288" t="b">
        <f t="shared" si="14"/>
        <v>1</v>
      </c>
      <c r="I322" s="212"/>
      <c r="J322" s="209" t="s">
        <v>242</v>
      </c>
      <c r="K322" s="209" t="s">
        <v>250</v>
      </c>
      <c r="L322" s="230">
        <v>0</v>
      </c>
      <c r="M322" s="231">
        <v>154635</v>
      </c>
      <c r="N322" s="295"/>
      <c r="O322" s="295"/>
    </row>
    <row r="323" spans="1:15">
      <c r="A323" s="212"/>
      <c r="B323" s="209" t="s">
        <v>233</v>
      </c>
      <c r="C323" s="209" t="s">
        <v>726</v>
      </c>
      <c r="D323" s="218">
        <v>16000</v>
      </c>
      <c r="E323" s="219">
        <v>16000</v>
      </c>
      <c r="F323" s="292">
        <f t="shared" si="12"/>
        <v>-138635</v>
      </c>
      <c r="G323" s="288" t="b">
        <f t="shared" si="13"/>
        <v>1</v>
      </c>
      <c r="H323" s="288" t="b">
        <f t="shared" si="14"/>
        <v>1</v>
      </c>
      <c r="I323" s="212"/>
      <c r="J323" s="209" t="s">
        <v>233</v>
      </c>
      <c r="K323" s="209" t="s">
        <v>726</v>
      </c>
      <c r="L323" s="230">
        <v>0</v>
      </c>
      <c r="M323" s="231">
        <v>16000</v>
      </c>
    </row>
    <row r="324" spans="1:15">
      <c r="A324" s="212"/>
      <c r="B324" s="209" t="s">
        <v>231</v>
      </c>
      <c r="C324" s="209" t="s">
        <v>727</v>
      </c>
      <c r="D324" s="218">
        <v>390961</v>
      </c>
      <c r="E324" s="219">
        <v>390961</v>
      </c>
      <c r="F324" s="292">
        <f t="shared" si="12"/>
        <v>374961</v>
      </c>
      <c r="G324" s="288" t="b">
        <f t="shared" si="13"/>
        <v>1</v>
      </c>
      <c r="H324" s="288" t="b">
        <f t="shared" si="14"/>
        <v>1</v>
      </c>
      <c r="I324" s="212"/>
      <c r="J324" s="209" t="s">
        <v>231</v>
      </c>
      <c r="K324" s="209" t="s">
        <v>727</v>
      </c>
      <c r="L324" s="230">
        <v>0</v>
      </c>
      <c r="M324" s="231">
        <v>390961</v>
      </c>
    </row>
    <row r="325" spans="1:15">
      <c r="A325" s="212"/>
      <c r="B325" s="209" t="s">
        <v>429</v>
      </c>
      <c r="C325" s="209" t="s">
        <v>434</v>
      </c>
      <c r="D325" s="218">
        <v>14500</v>
      </c>
      <c r="E325" s="219">
        <v>14500</v>
      </c>
      <c r="F325" s="292">
        <f t="shared" ref="F325:F376" si="15">E325-M324</f>
        <v>-376461</v>
      </c>
      <c r="G325" s="288" t="b">
        <f t="shared" si="13"/>
        <v>1</v>
      </c>
      <c r="H325" s="288" t="b">
        <f t="shared" si="14"/>
        <v>1</v>
      </c>
      <c r="I325" s="212"/>
      <c r="J325" s="209" t="s">
        <v>429</v>
      </c>
      <c r="K325" s="209" t="s">
        <v>434</v>
      </c>
      <c r="L325" s="230">
        <v>0</v>
      </c>
      <c r="M325" s="231">
        <v>14500</v>
      </c>
    </row>
    <row r="326" spans="1:15">
      <c r="A326" s="212"/>
      <c r="B326" s="209" t="s">
        <v>232</v>
      </c>
      <c r="C326" s="209" t="s">
        <v>728</v>
      </c>
      <c r="D326" s="218">
        <v>625508</v>
      </c>
      <c r="E326" s="219">
        <v>625508</v>
      </c>
      <c r="F326" s="292">
        <f t="shared" si="15"/>
        <v>611008</v>
      </c>
      <c r="G326" s="288" t="b">
        <f t="shared" si="13"/>
        <v>1</v>
      </c>
      <c r="H326" s="288" t="b">
        <f t="shared" si="14"/>
        <v>1</v>
      </c>
      <c r="I326" s="212"/>
      <c r="J326" s="209" t="s">
        <v>232</v>
      </c>
      <c r="K326" s="209" t="s">
        <v>728</v>
      </c>
      <c r="L326" s="230">
        <v>0</v>
      </c>
      <c r="M326" s="231">
        <v>625508</v>
      </c>
    </row>
    <row r="327" spans="1:15">
      <c r="A327" s="209" t="s">
        <v>308</v>
      </c>
      <c r="B327" s="210"/>
      <c r="C327" s="210"/>
      <c r="D327" s="218">
        <v>3083909</v>
      </c>
      <c r="E327" s="219">
        <v>3083909</v>
      </c>
      <c r="F327" s="292">
        <f t="shared" si="15"/>
        <v>2458401</v>
      </c>
      <c r="G327" s="288" t="b">
        <f t="shared" si="13"/>
        <v>1</v>
      </c>
      <c r="H327" s="288" t="b">
        <f t="shared" si="14"/>
        <v>1</v>
      </c>
      <c r="I327" s="209" t="s">
        <v>308</v>
      </c>
      <c r="J327" s="210"/>
      <c r="K327" s="210"/>
      <c r="L327" s="230">
        <v>0</v>
      </c>
      <c r="M327" s="231">
        <v>3083909</v>
      </c>
      <c r="N327" s="295">
        <f>Tacoma!H54</f>
        <v>0</v>
      </c>
      <c r="O327" s="295">
        <f>GETPIVOTDATA("Sum of Amount",$I$2,"OrgName","Tacoma Community College")-N327</f>
        <v>3083909</v>
      </c>
    </row>
    <row r="328" spans="1:15">
      <c r="A328" s="209" t="s">
        <v>83</v>
      </c>
      <c r="B328" s="209" t="s">
        <v>240</v>
      </c>
      <c r="C328" s="209" t="s">
        <v>387</v>
      </c>
      <c r="D328" s="218">
        <v>229837</v>
      </c>
      <c r="E328" s="219">
        <v>229837</v>
      </c>
      <c r="F328" s="292">
        <f t="shared" si="15"/>
        <v>-2854072</v>
      </c>
      <c r="G328" s="288" t="b">
        <f t="shared" ref="G328:G376" si="16">IF(B327=J327,TRUE)</f>
        <v>1</v>
      </c>
      <c r="H328" s="288" t="b">
        <f t="shared" ref="H328:H376" si="17">IF(C327=K327,TRUE)</f>
        <v>1</v>
      </c>
      <c r="I328" s="209" t="s">
        <v>83</v>
      </c>
      <c r="J328" s="209" t="s">
        <v>240</v>
      </c>
      <c r="K328" s="209" t="s">
        <v>387</v>
      </c>
      <c r="L328" s="230">
        <v>0</v>
      </c>
      <c r="M328" s="231">
        <v>229837</v>
      </c>
    </row>
    <row r="329" spans="1:15">
      <c r="A329" s="212"/>
      <c r="B329" s="209" t="s">
        <v>497</v>
      </c>
      <c r="C329" s="209" t="s">
        <v>729</v>
      </c>
      <c r="D329" s="218">
        <v>5563</v>
      </c>
      <c r="E329" s="219">
        <v>5563</v>
      </c>
      <c r="F329" s="292">
        <f t="shared" si="15"/>
        <v>-224274</v>
      </c>
      <c r="G329" s="288" t="b">
        <f t="shared" si="16"/>
        <v>1</v>
      </c>
      <c r="H329" s="288" t="b">
        <f t="shared" si="17"/>
        <v>1</v>
      </c>
      <c r="I329" s="212"/>
      <c r="J329" s="209" t="s">
        <v>497</v>
      </c>
      <c r="K329" s="209" t="s">
        <v>729</v>
      </c>
      <c r="L329" s="230">
        <v>0</v>
      </c>
      <c r="M329" s="231">
        <v>5563</v>
      </c>
    </row>
    <row r="330" spans="1:15">
      <c r="A330" s="212"/>
      <c r="B330" s="209" t="s">
        <v>498</v>
      </c>
      <c r="C330" s="209" t="s">
        <v>730</v>
      </c>
      <c r="D330" s="218">
        <v>113971</v>
      </c>
      <c r="E330" s="219">
        <v>113971</v>
      </c>
      <c r="F330" s="292">
        <f t="shared" si="15"/>
        <v>108408</v>
      </c>
      <c r="G330" s="288" t="b">
        <f t="shared" si="16"/>
        <v>1</v>
      </c>
      <c r="H330" s="288" t="b">
        <f t="shared" si="17"/>
        <v>1</v>
      </c>
      <c r="I330" s="212"/>
      <c r="J330" s="209" t="s">
        <v>498</v>
      </c>
      <c r="K330" s="209" t="s">
        <v>730</v>
      </c>
      <c r="L330" s="230">
        <v>0</v>
      </c>
      <c r="M330" s="231">
        <v>113971</v>
      </c>
    </row>
    <row r="331" spans="1:15">
      <c r="A331" s="212"/>
      <c r="B331" s="209" t="s">
        <v>505</v>
      </c>
      <c r="C331" s="209" t="s">
        <v>731</v>
      </c>
      <c r="D331" s="218">
        <v>23328</v>
      </c>
      <c r="E331" s="219">
        <v>23328</v>
      </c>
      <c r="F331" s="292">
        <f t="shared" si="15"/>
        <v>-90643</v>
      </c>
      <c r="G331" s="288" t="b">
        <f t="shared" si="16"/>
        <v>1</v>
      </c>
      <c r="H331" s="288" t="b">
        <f t="shared" si="17"/>
        <v>1</v>
      </c>
      <c r="I331" s="212"/>
      <c r="J331" s="209" t="s">
        <v>505</v>
      </c>
      <c r="K331" s="209" t="s">
        <v>731</v>
      </c>
      <c r="L331" s="230">
        <v>0</v>
      </c>
      <c r="M331" s="231">
        <v>23328</v>
      </c>
    </row>
    <row r="332" spans="1:15">
      <c r="A332" s="212"/>
      <c r="B332" s="209" t="s">
        <v>267</v>
      </c>
      <c r="C332" s="209" t="s">
        <v>732</v>
      </c>
      <c r="D332" s="218">
        <v>6202351</v>
      </c>
      <c r="E332" s="219">
        <v>6202351</v>
      </c>
      <c r="F332" s="292">
        <f t="shared" si="15"/>
        <v>6179023</v>
      </c>
      <c r="G332" s="288" t="b">
        <f t="shared" si="16"/>
        <v>1</v>
      </c>
      <c r="H332" s="288" t="b">
        <f t="shared" si="17"/>
        <v>1</v>
      </c>
      <c r="I332" s="212"/>
      <c r="J332" s="209" t="s">
        <v>267</v>
      </c>
      <c r="K332" s="209" t="s">
        <v>732</v>
      </c>
      <c r="L332" s="230">
        <v>0</v>
      </c>
      <c r="M332" s="231">
        <v>6202351</v>
      </c>
    </row>
    <row r="333" spans="1:15">
      <c r="A333" s="212"/>
      <c r="B333" s="209" t="s">
        <v>242</v>
      </c>
      <c r="C333" s="209" t="s">
        <v>251</v>
      </c>
      <c r="D333" s="218">
        <v>154635</v>
      </c>
      <c r="E333" s="219">
        <v>154635</v>
      </c>
      <c r="F333" s="292">
        <f t="shared" si="15"/>
        <v>-6047716</v>
      </c>
      <c r="G333" s="288" t="b">
        <f t="shared" si="16"/>
        <v>1</v>
      </c>
      <c r="H333" s="288" t="b">
        <f t="shared" si="17"/>
        <v>1</v>
      </c>
      <c r="I333" s="212"/>
      <c r="J333" s="209" t="s">
        <v>242</v>
      </c>
      <c r="K333" s="209" t="s">
        <v>251</v>
      </c>
      <c r="L333" s="230">
        <v>0</v>
      </c>
      <c r="M333" s="231">
        <v>154635</v>
      </c>
    </row>
    <row r="334" spans="1:15">
      <c r="A334" s="212"/>
      <c r="B334" s="209" t="s">
        <v>235</v>
      </c>
      <c r="C334" s="209" t="s">
        <v>733</v>
      </c>
      <c r="D334" s="218">
        <v>1000</v>
      </c>
      <c r="E334" s="219">
        <v>1000</v>
      </c>
      <c r="F334" s="292">
        <f t="shared" si="15"/>
        <v>-153635</v>
      </c>
      <c r="G334" s="288" t="b">
        <f t="shared" si="16"/>
        <v>1</v>
      </c>
      <c r="H334" s="288" t="b">
        <f t="shared" si="17"/>
        <v>1</v>
      </c>
      <c r="I334" s="212"/>
      <c r="J334" s="209" t="s">
        <v>235</v>
      </c>
      <c r="K334" s="209" t="s">
        <v>733</v>
      </c>
      <c r="L334" s="230">
        <v>0</v>
      </c>
      <c r="M334" s="231">
        <v>1000</v>
      </c>
      <c r="N334" s="299"/>
      <c r="O334" s="299"/>
    </row>
    <row r="335" spans="1:15">
      <c r="A335" s="212"/>
      <c r="B335" s="209" t="s">
        <v>233</v>
      </c>
      <c r="C335" s="209" t="s">
        <v>734</v>
      </c>
      <c r="D335" s="218">
        <v>16000</v>
      </c>
      <c r="E335" s="219">
        <v>16000</v>
      </c>
      <c r="F335" s="292">
        <f t="shared" si="15"/>
        <v>15000</v>
      </c>
      <c r="G335" s="288" t="b">
        <f t="shared" si="16"/>
        <v>1</v>
      </c>
      <c r="H335" s="288" t="b">
        <f t="shared" si="17"/>
        <v>1</v>
      </c>
      <c r="I335" s="212"/>
      <c r="J335" s="209" t="s">
        <v>233</v>
      </c>
      <c r="K335" s="209" t="s">
        <v>734</v>
      </c>
      <c r="L335" s="230">
        <v>0</v>
      </c>
      <c r="M335" s="231">
        <v>16000</v>
      </c>
      <c r="N335" s="298"/>
      <c r="O335" s="298"/>
    </row>
    <row r="336" spans="1:15">
      <c r="A336" s="212"/>
      <c r="B336" s="209" t="s">
        <v>231</v>
      </c>
      <c r="C336" s="209" t="s">
        <v>735</v>
      </c>
      <c r="D336" s="218">
        <v>396718</v>
      </c>
      <c r="E336" s="219">
        <v>396718</v>
      </c>
      <c r="F336" s="292">
        <f t="shared" si="15"/>
        <v>380718</v>
      </c>
      <c r="G336" s="288" t="b">
        <f t="shared" si="16"/>
        <v>1</v>
      </c>
      <c r="H336" s="288" t="b">
        <f t="shared" si="17"/>
        <v>1</v>
      </c>
      <c r="I336" s="212"/>
      <c r="J336" s="209" t="s">
        <v>231</v>
      </c>
      <c r="K336" s="209" t="s">
        <v>735</v>
      </c>
      <c r="L336" s="230">
        <v>0</v>
      </c>
      <c r="M336" s="231">
        <v>396718</v>
      </c>
      <c r="N336" s="299"/>
      <c r="O336" s="299"/>
    </row>
    <row r="337" spans="1:15">
      <c r="A337" s="212"/>
      <c r="B337" s="209" t="s">
        <v>232</v>
      </c>
      <c r="C337" s="209" t="s">
        <v>736</v>
      </c>
      <c r="D337" s="218">
        <v>245409</v>
      </c>
      <c r="E337" s="219">
        <v>245409</v>
      </c>
      <c r="F337" s="292">
        <f t="shared" si="15"/>
        <v>-151309</v>
      </c>
      <c r="G337" s="288" t="b">
        <f t="shared" si="16"/>
        <v>1</v>
      </c>
      <c r="H337" s="288" t="b">
        <f t="shared" si="17"/>
        <v>1</v>
      </c>
      <c r="I337" s="212"/>
      <c r="J337" s="209" t="s">
        <v>232</v>
      </c>
      <c r="K337" s="209" t="s">
        <v>736</v>
      </c>
      <c r="L337" s="230">
        <v>0</v>
      </c>
      <c r="M337" s="231">
        <v>245409</v>
      </c>
      <c r="N337" s="298"/>
      <c r="O337" s="298"/>
    </row>
    <row r="338" spans="1:15">
      <c r="A338" s="209" t="s">
        <v>309</v>
      </c>
      <c r="B338" s="210"/>
      <c r="C338" s="210"/>
      <c r="D338" s="218">
        <v>7388812</v>
      </c>
      <c r="E338" s="219">
        <v>7388812</v>
      </c>
      <c r="F338" s="292">
        <f t="shared" si="15"/>
        <v>7143403</v>
      </c>
      <c r="G338" s="288" t="b">
        <f t="shared" si="16"/>
        <v>1</v>
      </c>
      <c r="H338" s="288" t="b">
        <f t="shared" si="17"/>
        <v>1</v>
      </c>
      <c r="I338" s="209" t="s">
        <v>309</v>
      </c>
      <c r="J338" s="210"/>
      <c r="K338" s="210"/>
      <c r="L338" s="230">
        <v>0</v>
      </c>
      <c r="M338" s="231">
        <v>7388812</v>
      </c>
      <c r="N338" s="299">
        <f>'Walla Walla'!H53</f>
        <v>0</v>
      </c>
      <c r="O338" s="299">
        <f>GETPIVOTDATA("Sum of Amount",$I$2,"OrgName","Walla Walla Community College")-N338</f>
        <v>7388812</v>
      </c>
    </row>
    <row r="339" spans="1:15">
      <c r="A339" s="209" t="s">
        <v>112</v>
      </c>
      <c r="B339" s="209" t="s">
        <v>240</v>
      </c>
      <c r="C339" s="209" t="s">
        <v>388</v>
      </c>
      <c r="D339" s="218">
        <v>113471</v>
      </c>
      <c r="E339" s="219">
        <v>113471</v>
      </c>
      <c r="F339" s="292">
        <f t="shared" si="15"/>
        <v>-7275341</v>
      </c>
      <c r="G339" s="288" t="b">
        <f t="shared" si="16"/>
        <v>1</v>
      </c>
      <c r="H339" s="288" t="b">
        <f t="shared" si="17"/>
        <v>1</v>
      </c>
      <c r="I339" s="209" t="s">
        <v>112</v>
      </c>
      <c r="J339" s="209" t="s">
        <v>240</v>
      </c>
      <c r="K339" s="209" t="s">
        <v>388</v>
      </c>
      <c r="L339" s="230">
        <v>0</v>
      </c>
      <c r="M339" s="231">
        <v>113471</v>
      </c>
      <c r="N339" s="298"/>
      <c r="O339" s="298"/>
    </row>
    <row r="340" spans="1:15">
      <c r="A340" s="212"/>
      <c r="B340" s="209" t="s">
        <v>497</v>
      </c>
      <c r="C340" s="209" t="s">
        <v>737</v>
      </c>
      <c r="D340" s="218">
        <v>6076</v>
      </c>
      <c r="E340" s="219">
        <v>6076</v>
      </c>
      <c r="F340" s="292">
        <f t="shared" si="15"/>
        <v>-107395</v>
      </c>
      <c r="G340" s="288" t="b">
        <f t="shared" si="16"/>
        <v>1</v>
      </c>
      <c r="H340" s="288" t="b">
        <f t="shared" si="17"/>
        <v>1</v>
      </c>
      <c r="I340" s="212"/>
      <c r="J340" s="209" t="s">
        <v>497</v>
      </c>
      <c r="K340" s="209" t="s">
        <v>737</v>
      </c>
      <c r="L340" s="230">
        <v>0</v>
      </c>
      <c r="M340" s="231">
        <v>6076</v>
      </c>
      <c r="N340" s="298"/>
      <c r="O340" s="298"/>
    </row>
    <row r="341" spans="1:15">
      <c r="A341" s="212"/>
      <c r="B341" s="209" t="s">
        <v>498</v>
      </c>
      <c r="C341" s="209" t="s">
        <v>738</v>
      </c>
      <c r="D341" s="218">
        <v>85381</v>
      </c>
      <c r="E341" s="219">
        <v>85381</v>
      </c>
      <c r="F341" s="292">
        <f t="shared" si="15"/>
        <v>79305</v>
      </c>
      <c r="G341" s="288" t="b">
        <f t="shared" si="16"/>
        <v>1</v>
      </c>
      <c r="H341" s="288" t="b">
        <f t="shared" si="17"/>
        <v>1</v>
      </c>
      <c r="I341" s="212"/>
      <c r="J341" s="209" t="s">
        <v>498</v>
      </c>
      <c r="K341" s="209" t="s">
        <v>738</v>
      </c>
      <c r="L341" s="230">
        <v>0</v>
      </c>
      <c r="M341" s="231">
        <v>85381</v>
      </c>
      <c r="N341" s="298"/>
      <c r="O341" s="298"/>
    </row>
    <row r="342" spans="1:15">
      <c r="A342" s="212"/>
      <c r="B342" s="209" t="s">
        <v>505</v>
      </c>
      <c r="C342" s="209" t="s">
        <v>739</v>
      </c>
      <c r="D342" s="218">
        <v>18037</v>
      </c>
      <c r="E342" s="219">
        <v>18037</v>
      </c>
      <c r="F342" s="292">
        <f t="shared" si="15"/>
        <v>-67344</v>
      </c>
      <c r="G342" s="288" t="b">
        <f t="shared" si="16"/>
        <v>1</v>
      </c>
      <c r="H342" s="288" t="b">
        <f t="shared" si="17"/>
        <v>1</v>
      </c>
      <c r="I342" s="212"/>
      <c r="J342" s="209" t="s">
        <v>505</v>
      </c>
      <c r="K342" s="209" t="s">
        <v>739</v>
      </c>
      <c r="L342" s="230">
        <v>0</v>
      </c>
      <c r="M342" s="231">
        <v>18037</v>
      </c>
      <c r="N342" s="298"/>
      <c r="O342" s="298"/>
    </row>
    <row r="343" spans="1:15">
      <c r="A343" s="212"/>
      <c r="B343" s="209" t="s">
        <v>242</v>
      </c>
      <c r="C343" s="209" t="s">
        <v>389</v>
      </c>
      <c r="D343" s="218">
        <v>95435</v>
      </c>
      <c r="E343" s="219">
        <v>95435</v>
      </c>
      <c r="F343" s="292">
        <f t="shared" si="15"/>
        <v>77398</v>
      </c>
      <c r="G343" s="288" t="b">
        <f t="shared" si="16"/>
        <v>1</v>
      </c>
      <c r="H343" s="288" t="b">
        <f t="shared" si="17"/>
        <v>1</v>
      </c>
      <c r="I343" s="212"/>
      <c r="J343" s="209" t="s">
        <v>242</v>
      </c>
      <c r="K343" s="209" t="s">
        <v>389</v>
      </c>
      <c r="L343" s="230">
        <v>0</v>
      </c>
      <c r="M343" s="231">
        <v>95435</v>
      </c>
      <c r="N343" s="400"/>
      <c r="O343" s="400"/>
    </row>
    <row r="344" spans="1:15">
      <c r="A344" s="212"/>
      <c r="B344" s="209" t="s">
        <v>359</v>
      </c>
      <c r="C344" s="209" t="s">
        <v>740</v>
      </c>
      <c r="D344" s="218">
        <v>1915</v>
      </c>
      <c r="E344" s="219">
        <v>1915</v>
      </c>
      <c r="F344" s="292">
        <f t="shared" si="15"/>
        <v>-93520</v>
      </c>
      <c r="G344" s="288" t="b">
        <f t="shared" si="16"/>
        <v>1</v>
      </c>
      <c r="H344" s="288" t="b">
        <f t="shared" si="17"/>
        <v>1</v>
      </c>
      <c r="I344" s="212"/>
      <c r="J344" s="209" t="s">
        <v>359</v>
      </c>
      <c r="K344" s="209" t="s">
        <v>740</v>
      </c>
      <c r="L344" s="230">
        <v>0</v>
      </c>
      <c r="M344" s="231">
        <v>1915</v>
      </c>
      <c r="N344" s="298"/>
      <c r="O344" s="298"/>
    </row>
    <row r="345" spans="1:15">
      <c r="A345" s="212"/>
      <c r="B345" s="209" t="s">
        <v>231</v>
      </c>
      <c r="C345" s="209" t="s">
        <v>741</v>
      </c>
      <c r="D345" s="218">
        <v>241877</v>
      </c>
      <c r="E345" s="219">
        <v>241877</v>
      </c>
      <c r="F345" s="292">
        <f t="shared" si="15"/>
        <v>239962</v>
      </c>
      <c r="G345" s="288" t="b">
        <f t="shared" si="16"/>
        <v>1</v>
      </c>
      <c r="H345" s="288" t="b">
        <f t="shared" si="17"/>
        <v>1</v>
      </c>
      <c r="I345" s="212"/>
      <c r="J345" s="209" t="s">
        <v>231</v>
      </c>
      <c r="K345" s="209" t="s">
        <v>741</v>
      </c>
      <c r="L345" s="230">
        <v>0</v>
      </c>
      <c r="M345" s="231">
        <v>241877</v>
      </c>
      <c r="N345" s="298"/>
      <c r="O345" s="298"/>
    </row>
    <row r="346" spans="1:15">
      <c r="A346" s="212"/>
      <c r="B346" s="209" t="s">
        <v>232</v>
      </c>
      <c r="C346" s="209" t="s">
        <v>742</v>
      </c>
      <c r="D346" s="218">
        <v>200238</v>
      </c>
      <c r="E346" s="219">
        <v>200238</v>
      </c>
      <c r="F346" s="292">
        <f t="shared" si="15"/>
        <v>-41639</v>
      </c>
      <c r="G346" s="288" t="b">
        <f t="shared" si="16"/>
        <v>1</v>
      </c>
      <c r="H346" s="288" t="b">
        <f t="shared" si="17"/>
        <v>1</v>
      </c>
      <c r="I346" s="212"/>
      <c r="J346" s="209" t="s">
        <v>232</v>
      </c>
      <c r="K346" s="209" t="s">
        <v>742</v>
      </c>
      <c r="L346" s="230">
        <v>0</v>
      </c>
      <c r="M346" s="231">
        <v>200238</v>
      </c>
      <c r="N346" s="298"/>
      <c r="O346" s="298"/>
    </row>
    <row r="347" spans="1:15">
      <c r="A347" s="209" t="s">
        <v>310</v>
      </c>
      <c r="B347" s="210"/>
      <c r="C347" s="210"/>
      <c r="D347" s="218">
        <v>762430</v>
      </c>
      <c r="E347" s="219">
        <v>762430</v>
      </c>
      <c r="F347" s="292">
        <f t="shared" si="15"/>
        <v>562192</v>
      </c>
      <c r="G347" s="288" t="b">
        <f t="shared" si="16"/>
        <v>1</v>
      </c>
      <c r="H347" s="288" t="b">
        <f t="shared" si="17"/>
        <v>1</v>
      </c>
      <c r="I347" s="209" t="s">
        <v>310</v>
      </c>
      <c r="J347" s="210"/>
      <c r="K347" s="210"/>
      <c r="L347" s="230">
        <v>0</v>
      </c>
      <c r="M347" s="231">
        <v>762430</v>
      </c>
      <c r="N347" s="299">
        <f>Wenatchee!H52</f>
        <v>0</v>
      </c>
      <c r="O347" s="299">
        <f>GETPIVOTDATA("Sum of Amount",$I$2,"OrgName","Wenatchee Valley College")-N347</f>
        <v>762430</v>
      </c>
    </row>
    <row r="348" spans="1:15">
      <c r="A348" s="209" t="s">
        <v>84</v>
      </c>
      <c r="B348" s="209" t="s">
        <v>240</v>
      </c>
      <c r="C348" s="209" t="s">
        <v>390</v>
      </c>
      <c r="D348" s="218">
        <v>157996</v>
      </c>
      <c r="E348" s="364">
        <v>157996</v>
      </c>
      <c r="F348" s="292">
        <f t="shared" si="15"/>
        <v>-604434</v>
      </c>
      <c r="G348" s="288" t="b">
        <f t="shared" si="16"/>
        <v>1</v>
      </c>
      <c r="H348" s="288" t="b">
        <f t="shared" si="17"/>
        <v>1</v>
      </c>
      <c r="I348" s="209" t="s">
        <v>84</v>
      </c>
      <c r="J348" s="209" t="s">
        <v>240</v>
      </c>
      <c r="K348" s="209" t="s">
        <v>390</v>
      </c>
      <c r="L348" s="230">
        <v>0</v>
      </c>
      <c r="M348" s="231">
        <v>157996</v>
      </c>
      <c r="N348" s="298"/>
      <c r="O348" s="298"/>
    </row>
    <row r="349" spans="1:15">
      <c r="A349" s="212"/>
      <c r="B349" s="209" t="s">
        <v>497</v>
      </c>
      <c r="C349" s="209" t="s">
        <v>743</v>
      </c>
      <c r="D349" s="218">
        <v>5563</v>
      </c>
      <c r="E349" s="219">
        <v>5563</v>
      </c>
      <c r="F349" s="292">
        <f t="shared" si="15"/>
        <v>-152433</v>
      </c>
      <c r="G349" s="288" t="b">
        <f t="shared" si="16"/>
        <v>1</v>
      </c>
      <c r="H349" s="288" t="b">
        <f t="shared" si="17"/>
        <v>1</v>
      </c>
      <c r="I349" s="212"/>
      <c r="J349" s="209" t="s">
        <v>497</v>
      </c>
      <c r="K349" s="209" t="s">
        <v>743</v>
      </c>
      <c r="L349" s="230">
        <v>0</v>
      </c>
      <c r="M349" s="231">
        <v>5563</v>
      </c>
      <c r="N349" s="298"/>
      <c r="O349" s="298"/>
    </row>
    <row r="350" spans="1:15">
      <c r="A350" s="212"/>
      <c r="B350" s="209" t="s">
        <v>498</v>
      </c>
      <c r="C350" s="209" t="s">
        <v>744</v>
      </c>
      <c r="D350" s="218">
        <v>90901</v>
      </c>
      <c r="E350" s="219">
        <v>90901</v>
      </c>
      <c r="F350" s="292">
        <f t="shared" si="15"/>
        <v>85338</v>
      </c>
      <c r="G350" s="288" t="b">
        <f t="shared" si="16"/>
        <v>1</v>
      </c>
      <c r="H350" s="288" t="b">
        <f t="shared" si="17"/>
        <v>1</v>
      </c>
      <c r="I350" s="212"/>
      <c r="J350" s="209" t="s">
        <v>498</v>
      </c>
      <c r="K350" s="209" t="s">
        <v>744</v>
      </c>
      <c r="L350" s="230">
        <v>0</v>
      </c>
      <c r="M350" s="231">
        <v>90901</v>
      </c>
      <c r="N350" s="298"/>
      <c r="O350" s="298"/>
    </row>
    <row r="351" spans="1:15">
      <c r="A351" s="212"/>
      <c r="B351" s="209" t="s">
        <v>505</v>
      </c>
      <c r="C351" s="209" t="s">
        <v>745</v>
      </c>
      <c r="D351" s="218">
        <v>18797</v>
      </c>
      <c r="E351" s="219">
        <v>18797</v>
      </c>
      <c r="F351" s="292">
        <f t="shared" si="15"/>
        <v>-72104</v>
      </c>
      <c r="G351" s="288" t="b">
        <f t="shared" si="16"/>
        <v>1</v>
      </c>
      <c r="H351" s="288" t="b">
        <f t="shared" si="17"/>
        <v>1</v>
      </c>
      <c r="I351" s="212"/>
      <c r="J351" s="209" t="s">
        <v>505</v>
      </c>
      <c r="K351" s="209" t="s">
        <v>745</v>
      </c>
      <c r="L351" s="230">
        <v>0</v>
      </c>
      <c r="M351" s="231">
        <v>18797</v>
      </c>
      <c r="N351" s="298"/>
      <c r="O351" s="298"/>
    </row>
    <row r="352" spans="1:15">
      <c r="A352" s="212"/>
      <c r="B352" s="209" t="s">
        <v>241</v>
      </c>
      <c r="C352" s="209" t="s">
        <v>746</v>
      </c>
      <c r="D352" s="218">
        <v>30200</v>
      </c>
      <c r="E352" s="219">
        <v>30200</v>
      </c>
      <c r="F352" s="292">
        <f t="shared" si="15"/>
        <v>11403</v>
      </c>
      <c r="G352" s="288" t="b">
        <f t="shared" si="16"/>
        <v>1</v>
      </c>
      <c r="H352" s="288" t="b">
        <f t="shared" si="17"/>
        <v>1</v>
      </c>
      <c r="I352" s="212"/>
      <c r="J352" s="209" t="s">
        <v>241</v>
      </c>
      <c r="K352" s="209" t="s">
        <v>746</v>
      </c>
      <c r="L352" s="230">
        <v>0</v>
      </c>
      <c r="M352" s="231">
        <v>30200</v>
      </c>
      <c r="N352" s="298"/>
      <c r="O352" s="298"/>
    </row>
    <row r="353" spans="1:15">
      <c r="A353" s="212"/>
      <c r="B353" s="209" t="s">
        <v>274</v>
      </c>
      <c r="C353" s="209" t="s">
        <v>747</v>
      </c>
      <c r="D353" s="218">
        <v>5000</v>
      </c>
      <c r="E353" s="219">
        <v>5000</v>
      </c>
      <c r="F353" s="292">
        <f t="shared" si="15"/>
        <v>-25200</v>
      </c>
      <c r="G353" s="288" t="b">
        <f t="shared" si="16"/>
        <v>1</v>
      </c>
      <c r="H353" s="288" t="b">
        <f t="shared" si="17"/>
        <v>1</v>
      </c>
      <c r="I353" s="212"/>
      <c r="J353" s="209" t="s">
        <v>274</v>
      </c>
      <c r="K353" s="209" t="s">
        <v>747</v>
      </c>
      <c r="L353" s="230">
        <v>0</v>
      </c>
      <c r="M353" s="231">
        <v>5000</v>
      </c>
      <c r="N353" s="298"/>
      <c r="O353" s="298"/>
    </row>
    <row r="354" spans="1:15">
      <c r="A354" s="212"/>
      <c r="B354" s="212"/>
      <c r="C354" s="214" t="s">
        <v>748</v>
      </c>
      <c r="D354" s="220">
        <v>5000</v>
      </c>
      <c r="E354" s="221">
        <v>5000</v>
      </c>
      <c r="F354" s="292">
        <f t="shared" si="15"/>
        <v>0</v>
      </c>
      <c r="G354" s="288" t="b">
        <f t="shared" si="16"/>
        <v>1</v>
      </c>
      <c r="H354" s="288" t="b">
        <f t="shared" si="17"/>
        <v>1</v>
      </c>
      <c r="I354" s="212"/>
      <c r="J354" s="212"/>
      <c r="K354" s="214" t="s">
        <v>748</v>
      </c>
      <c r="L354" s="232">
        <v>0</v>
      </c>
      <c r="M354" s="233">
        <v>5000</v>
      </c>
      <c r="N354" s="298"/>
      <c r="O354" s="298"/>
    </row>
    <row r="355" spans="1:15">
      <c r="A355" s="212"/>
      <c r="B355" s="209" t="s">
        <v>244</v>
      </c>
      <c r="C355" s="209" t="s">
        <v>749</v>
      </c>
      <c r="D355" s="218">
        <v>24000</v>
      </c>
      <c r="E355" s="219">
        <v>24000</v>
      </c>
      <c r="F355" s="292">
        <f t="shared" si="15"/>
        <v>19000</v>
      </c>
      <c r="G355" s="288" t="b">
        <f t="shared" si="16"/>
        <v>1</v>
      </c>
      <c r="H355" s="288" t="b">
        <f t="shared" si="17"/>
        <v>1</v>
      </c>
      <c r="I355" s="212"/>
      <c r="J355" s="209" t="s">
        <v>244</v>
      </c>
      <c r="K355" s="209" t="s">
        <v>749</v>
      </c>
      <c r="L355" s="230">
        <v>0</v>
      </c>
      <c r="M355" s="231">
        <v>24000</v>
      </c>
      <c r="N355" s="299"/>
      <c r="O355" s="299"/>
    </row>
    <row r="356" spans="1:15">
      <c r="A356" s="212"/>
      <c r="B356" s="209" t="s">
        <v>234</v>
      </c>
      <c r="C356" s="209" t="s">
        <v>750</v>
      </c>
      <c r="D356" s="218">
        <v>15000</v>
      </c>
      <c r="E356" s="219">
        <v>15000</v>
      </c>
      <c r="F356" s="292">
        <f t="shared" si="15"/>
        <v>-9000</v>
      </c>
      <c r="G356" s="288" t="b">
        <f t="shared" si="16"/>
        <v>1</v>
      </c>
      <c r="H356" s="288" t="b">
        <f t="shared" si="17"/>
        <v>1</v>
      </c>
      <c r="I356" s="212"/>
      <c r="J356" s="209" t="s">
        <v>234</v>
      </c>
      <c r="K356" s="209" t="s">
        <v>750</v>
      </c>
      <c r="L356" s="230">
        <v>0</v>
      </c>
      <c r="M356" s="231">
        <v>15000</v>
      </c>
      <c r="N356" s="298"/>
      <c r="O356" s="298"/>
    </row>
    <row r="357" spans="1:15">
      <c r="A357" s="212"/>
      <c r="B357" s="209" t="s">
        <v>233</v>
      </c>
      <c r="C357" s="209" t="s">
        <v>751</v>
      </c>
      <c r="D357" s="218">
        <v>16000</v>
      </c>
      <c r="E357" s="219">
        <v>16000</v>
      </c>
      <c r="F357" s="292">
        <f t="shared" si="15"/>
        <v>1000</v>
      </c>
      <c r="G357" s="288" t="b">
        <f t="shared" si="16"/>
        <v>1</v>
      </c>
      <c r="H357" s="288" t="b">
        <f t="shared" si="17"/>
        <v>1</v>
      </c>
      <c r="I357" s="212"/>
      <c r="J357" s="209" t="s">
        <v>233</v>
      </c>
      <c r="K357" s="209" t="s">
        <v>751</v>
      </c>
      <c r="L357" s="230">
        <v>0</v>
      </c>
      <c r="M357" s="231">
        <v>16000</v>
      </c>
      <c r="N357" s="298"/>
      <c r="O357" s="298"/>
    </row>
    <row r="358" spans="1:15">
      <c r="A358" s="212"/>
      <c r="B358" s="209" t="s">
        <v>359</v>
      </c>
      <c r="C358" s="209" t="s">
        <v>752</v>
      </c>
      <c r="D358" s="218">
        <v>5000</v>
      </c>
      <c r="E358" s="219">
        <v>5000</v>
      </c>
      <c r="F358" s="292">
        <f t="shared" si="15"/>
        <v>-11000</v>
      </c>
      <c r="G358" s="288" t="b">
        <f t="shared" si="16"/>
        <v>1</v>
      </c>
      <c r="H358" s="288" t="b">
        <f t="shared" si="17"/>
        <v>1</v>
      </c>
      <c r="I358" s="212"/>
      <c r="J358" s="209" t="s">
        <v>359</v>
      </c>
      <c r="K358" s="209" t="s">
        <v>752</v>
      </c>
      <c r="L358" s="230">
        <v>0</v>
      </c>
      <c r="M358" s="231">
        <v>5000</v>
      </c>
      <c r="N358" s="298"/>
      <c r="O358" s="298"/>
    </row>
    <row r="359" spans="1:15">
      <c r="A359" s="212"/>
      <c r="B359" s="209" t="s">
        <v>231</v>
      </c>
      <c r="C359" s="209" t="s">
        <v>753</v>
      </c>
      <c r="D359" s="218">
        <v>186572</v>
      </c>
      <c r="E359" s="219">
        <v>186572</v>
      </c>
      <c r="F359" s="292">
        <f t="shared" si="15"/>
        <v>181572</v>
      </c>
      <c r="G359" s="288" t="b">
        <f t="shared" si="16"/>
        <v>1</v>
      </c>
      <c r="H359" s="288" t="b">
        <f t="shared" si="17"/>
        <v>1</v>
      </c>
      <c r="I359" s="212"/>
      <c r="J359" s="209" t="s">
        <v>231</v>
      </c>
      <c r="K359" s="209" t="s">
        <v>753</v>
      </c>
      <c r="L359" s="230">
        <v>0</v>
      </c>
      <c r="M359" s="231">
        <v>186572</v>
      </c>
      <c r="N359" s="298"/>
      <c r="O359" s="298"/>
    </row>
    <row r="360" spans="1:15">
      <c r="A360" s="212"/>
      <c r="B360" s="209" t="s">
        <v>506</v>
      </c>
      <c r="C360" s="209" t="s">
        <v>754</v>
      </c>
      <c r="D360" s="218">
        <v>51235</v>
      </c>
      <c r="E360" s="219">
        <v>51235</v>
      </c>
      <c r="F360" s="292">
        <f t="shared" si="15"/>
        <v>-135337</v>
      </c>
      <c r="G360" s="288" t="b">
        <f t="shared" si="16"/>
        <v>1</v>
      </c>
      <c r="H360" s="288" t="b">
        <f t="shared" si="17"/>
        <v>1</v>
      </c>
      <c r="I360" s="212"/>
      <c r="J360" s="209" t="s">
        <v>506</v>
      </c>
      <c r="K360" s="209" t="s">
        <v>754</v>
      </c>
      <c r="L360" s="230">
        <v>0</v>
      </c>
      <c r="M360" s="231">
        <v>51235</v>
      </c>
      <c r="N360" s="298"/>
      <c r="O360" s="298"/>
    </row>
    <row r="361" spans="1:15">
      <c r="A361" s="212"/>
      <c r="B361" s="209" t="s">
        <v>232</v>
      </c>
      <c r="C361" s="209" t="s">
        <v>755</v>
      </c>
      <c r="D361" s="218">
        <v>157240</v>
      </c>
      <c r="E361" s="219">
        <v>157240</v>
      </c>
      <c r="F361" s="292">
        <f t="shared" si="15"/>
        <v>106005</v>
      </c>
      <c r="G361" s="288" t="b">
        <f t="shared" si="16"/>
        <v>1</v>
      </c>
      <c r="H361" s="288" t="b">
        <f t="shared" si="17"/>
        <v>1</v>
      </c>
      <c r="I361" s="212"/>
      <c r="J361" s="209" t="s">
        <v>232</v>
      </c>
      <c r="K361" s="209" t="s">
        <v>755</v>
      </c>
      <c r="L361" s="230">
        <v>0</v>
      </c>
      <c r="M361" s="231">
        <v>157240</v>
      </c>
      <c r="N361" s="298"/>
      <c r="O361" s="298"/>
    </row>
    <row r="362" spans="1:15">
      <c r="A362" s="209" t="s">
        <v>311</v>
      </c>
      <c r="B362" s="210"/>
      <c r="C362" s="210"/>
      <c r="D362" s="218">
        <v>768504</v>
      </c>
      <c r="E362" s="364">
        <v>768504</v>
      </c>
      <c r="F362" s="292">
        <f t="shared" si="15"/>
        <v>611264</v>
      </c>
      <c r="G362" s="288" t="b">
        <f t="shared" si="16"/>
        <v>1</v>
      </c>
      <c r="H362" s="288" t="b">
        <f t="shared" si="17"/>
        <v>1</v>
      </c>
      <c r="I362" s="209" t="s">
        <v>311</v>
      </c>
      <c r="J362" s="210"/>
      <c r="K362" s="210"/>
      <c r="L362" s="230">
        <v>0</v>
      </c>
      <c r="M362" s="231">
        <v>768504</v>
      </c>
      <c r="N362" s="299">
        <f>Whatcom!H57</f>
        <v>0</v>
      </c>
      <c r="O362" s="299">
        <f>GETPIVOTDATA("Sum of Amount",$I$2,"OrgName","Whatcom Community College")-N362</f>
        <v>768504</v>
      </c>
    </row>
    <row r="363" spans="1:15">
      <c r="A363" s="209" t="s">
        <v>85</v>
      </c>
      <c r="B363" s="209" t="s">
        <v>240</v>
      </c>
      <c r="C363" s="209" t="s">
        <v>391</v>
      </c>
      <c r="D363" s="218">
        <v>114617</v>
      </c>
      <c r="E363" s="219">
        <v>114617</v>
      </c>
      <c r="F363" s="292">
        <f t="shared" si="15"/>
        <v>-653887</v>
      </c>
      <c r="G363" s="288" t="b">
        <f t="shared" si="16"/>
        <v>1</v>
      </c>
      <c r="H363" s="288" t="b">
        <f t="shared" si="17"/>
        <v>1</v>
      </c>
      <c r="I363" s="209" t="s">
        <v>85</v>
      </c>
      <c r="J363" s="209" t="s">
        <v>240</v>
      </c>
      <c r="K363" s="209" t="s">
        <v>391</v>
      </c>
      <c r="L363" s="230">
        <v>0</v>
      </c>
      <c r="M363" s="231">
        <v>114617</v>
      </c>
      <c r="N363" s="298"/>
      <c r="O363" s="298"/>
    </row>
    <row r="364" spans="1:15">
      <c r="A364" s="212"/>
      <c r="B364" s="209" t="s">
        <v>497</v>
      </c>
      <c r="C364" s="209" t="s">
        <v>756</v>
      </c>
      <c r="D364" s="218">
        <v>6588</v>
      </c>
      <c r="E364" s="219">
        <v>6588</v>
      </c>
      <c r="F364" s="292">
        <f t="shared" si="15"/>
        <v>-108029</v>
      </c>
      <c r="G364" s="288" t="b">
        <f t="shared" si="16"/>
        <v>1</v>
      </c>
      <c r="H364" s="288" t="b">
        <f t="shared" si="17"/>
        <v>1</v>
      </c>
      <c r="I364" s="212"/>
      <c r="J364" s="209" t="s">
        <v>497</v>
      </c>
      <c r="K364" s="209" t="s">
        <v>756</v>
      </c>
      <c r="L364" s="230">
        <v>0</v>
      </c>
      <c r="M364" s="231">
        <v>6588</v>
      </c>
      <c r="N364" s="298"/>
      <c r="O364" s="298"/>
    </row>
    <row r="365" spans="1:15">
      <c r="A365" s="212"/>
      <c r="B365" s="209" t="s">
        <v>498</v>
      </c>
      <c r="C365" s="209" t="s">
        <v>757</v>
      </c>
      <c r="D365" s="218">
        <v>230424</v>
      </c>
      <c r="E365" s="219">
        <v>230424</v>
      </c>
      <c r="F365" s="292">
        <f t="shared" si="15"/>
        <v>223836</v>
      </c>
      <c r="G365" s="288" t="b">
        <f t="shared" si="16"/>
        <v>1</v>
      </c>
      <c r="H365" s="288" t="b">
        <f t="shared" si="17"/>
        <v>1</v>
      </c>
      <c r="I365" s="212"/>
      <c r="J365" s="209" t="s">
        <v>498</v>
      </c>
      <c r="K365" s="209" t="s">
        <v>757</v>
      </c>
      <c r="L365" s="230">
        <v>0</v>
      </c>
      <c r="M365" s="231">
        <v>230424</v>
      </c>
      <c r="N365" s="298"/>
      <c r="O365" s="298"/>
    </row>
    <row r="366" spans="1:15">
      <c r="A366" s="212"/>
      <c r="B366" s="209" t="s">
        <v>505</v>
      </c>
      <c r="C366" s="209" t="s">
        <v>758</v>
      </c>
      <c r="D366" s="218">
        <v>44344</v>
      </c>
      <c r="E366" s="219">
        <v>44344</v>
      </c>
      <c r="F366" s="292">
        <f t="shared" si="15"/>
        <v>-186080</v>
      </c>
      <c r="G366" s="288" t="b">
        <f t="shared" si="16"/>
        <v>1</v>
      </c>
      <c r="H366" s="288" t="b">
        <f t="shared" si="17"/>
        <v>1</v>
      </c>
      <c r="I366" s="212"/>
      <c r="J366" s="209" t="s">
        <v>505</v>
      </c>
      <c r="K366" s="209" t="s">
        <v>758</v>
      </c>
      <c r="L366" s="230">
        <v>0</v>
      </c>
      <c r="M366" s="231">
        <v>44344</v>
      </c>
      <c r="N366" s="299"/>
      <c r="O366" s="299"/>
    </row>
    <row r="367" spans="1:15">
      <c r="A367" s="212"/>
      <c r="B367" s="209" t="s">
        <v>412</v>
      </c>
      <c r="C367" s="209" t="s">
        <v>424</v>
      </c>
      <c r="D367" s="218">
        <v>60000</v>
      </c>
      <c r="E367" s="219">
        <v>60000</v>
      </c>
      <c r="F367" s="292">
        <f t="shared" si="15"/>
        <v>15656</v>
      </c>
      <c r="G367" s="288" t="b">
        <f t="shared" si="16"/>
        <v>1</v>
      </c>
      <c r="H367" s="288" t="b">
        <f t="shared" si="17"/>
        <v>1</v>
      </c>
      <c r="I367" s="212"/>
      <c r="J367" s="209" t="s">
        <v>412</v>
      </c>
      <c r="K367" s="209" t="s">
        <v>424</v>
      </c>
      <c r="L367" s="230">
        <v>0</v>
      </c>
      <c r="M367" s="231">
        <v>60000</v>
      </c>
      <c r="N367" s="298"/>
      <c r="O367" s="298"/>
    </row>
    <row r="368" spans="1:15">
      <c r="A368" s="212"/>
      <c r="B368" s="209" t="s">
        <v>241</v>
      </c>
      <c r="C368" s="209" t="s">
        <v>759</v>
      </c>
      <c r="D368" s="218">
        <v>37750</v>
      </c>
      <c r="E368" s="219">
        <v>37750</v>
      </c>
      <c r="F368" s="292">
        <f t="shared" si="15"/>
        <v>-22250</v>
      </c>
      <c r="G368" s="288" t="b">
        <f t="shared" si="16"/>
        <v>1</v>
      </c>
      <c r="H368" s="288" t="b">
        <f t="shared" si="17"/>
        <v>1</v>
      </c>
      <c r="I368" s="212"/>
      <c r="J368" s="209" t="s">
        <v>241</v>
      </c>
      <c r="K368" s="209" t="s">
        <v>759</v>
      </c>
      <c r="L368" s="230">
        <v>0</v>
      </c>
      <c r="M368" s="231">
        <v>37750</v>
      </c>
      <c r="N368" s="298"/>
      <c r="O368" s="298"/>
    </row>
    <row r="369" spans="1:15">
      <c r="A369" s="212"/>
      <c r="B369" s="209" t="s">
        <v>231</v>
      </c>
      <c r="C369" s="209" t="s">
        <v>760</v>
      </c>
      <c r="D369" s="218">
        <v>465955</v>
      </c>
      <c r="E369" s="219">
        <v>465955</v>
      </c>
      <c r="F369" s="292">
        <f t="shared" si="15"/>
        <v>428205</v>
      </c>
      <c r="G369" s="288" t="b">
        <f t="shared" si="16"/>
        <v>1</v>
      </c>
      <c r="H369" s="288" t="b">
        <f t="shared" si="17"/>
        <v>1</v>
      </c>
      <c r="I369" s="212"/>
      <c r="J369" s="209" t="s">
        <v>231</v>
      </c>
      <c r="K369" s="209" t="s">
        <v>760</v>
      </c>
      <c r="L369" s="230">
        <v>0</v>
      </c>
      <c r="M369" s="231">
        <v>465955</v>
      </c>
    </row>
    <row r="370" spans="1:15">
      <c r="A370" s="212"/>
      <c r="B370" s="209" t="s">
        <v>506</v>
      </c>
      <c r="C370" s="209" t="s">
        <v>761</v>
      </c>
      <c r="D370" s="218">
        <v>51235</v>
      </c>
      <c r="E370" s="219">
        <v>51235</v>
      </c>
      <c r="F370" s="292">
        <f t="shared" si="15"/>
        <v>-414720</v>
      </c>
      <c r="G370" s="288" t="b">
        <f t="shared" si="16"/>
        <v>1</v>
      </c>
      <c r="H370" s="288" t="b">
        <f t="shared" si="17"/>
        <v>1</v>
      </c>
      <c r="I370" s="212"/>
      <c r="J370" s="209" t="s">
        <v>506</v>
      </c>
      <c r="K370" s="209" t="s">
        <v>761</v>
      </c>
      <c r="L370" s="230">
        <v>0</v>
      </c>
      <c r="M370" s="231">
        <v>51235</v>
      </c>
    </row>
    <row r="371" spans="1:15">
      <c r="A371" s="212"/>
      <c r="B371" s="209" t="s">
        <v>232</v>
      </c>
      <c r="C371" s="209" t="s">
        <v>762</v>
      </c>
      <c r="D371" s="218">
        <v>752970</v>
      </c>
      <c r="E371" s="219">
        <v>752970</v>
      </c>
      <c r="F371" s="292">
        <f t="shared" si="15"/>
        <v>701735</v>
      </c>
      <c r="G371" s="288" t="b">
        <f t="shared" si="16"/>
        <v>1</v>
      </c>
      <c r="H371" s="288" t="b">
        <f t="shared" si="17"/>
        <v>1</v>
      </c>
      <c r="I371" s="212"/>
      <c r="J371" s="209" t="s">
        <v>232</v>
      </c>
      <c r="K371" s="209" t="s">
        <v>762</v>
      </c>
      <c r="L371" s="230">
        <v>0</v>
      </c>
      <c r="M371" s="231">
        <v>752970</v>
      </c>
    </row>
    <row r="372" spans="1:15">
      <c r="A372" s="209" t="s">
        <v>312</v>
      </c>
      <c r="B372" s="210"/>
      <c r="C372" s="210"/>
      <c r="D372" s="218">
        <v>1763883</v>
      </c>
      <c r="E372" s="219">
        <v>1763883</v>
      </c>
      <c r="F372" s="292">
        <f t="shared" si="15"/>
        <v>1010913</v>
      </c>
      <c r="G372" s="288" t="b">
        <f t="shared" si="16"/>
        <v>1</v>
      </c>
      <c r="H372" s="288" t="b">
        <f t="shared" si="17"/>
        <v>1</v>
      </c>
      <c r="I372" s="209" t="s">
        <v>312</v>
      </c>
      <c r="J372" s="210"/>
      <c r="K372" s="210"/>
      <c r="L372" s="230">
        <v>0</v>
      </c>
      <c r="M372" s="231">
        <v>1763883</v>
      </c>
      <c r="N372" s="295">
        <f>Yakima!H56</f>
        <v>0</v>
      </c>
      <c r="O372" s="295">
        <f>GETPIVOTDATA("Sum of Amount",$I$2,"OrgName","Yakima Valley Community College")-N372</f>
        <v>1763883</v>
      </c>
    </row>
    <row r="373" spans="1:15">
      <c r="A373" s="215" t="s">
        <v>193</v>
      </c>
      <c r="B373" s="216"/>
      <c r="C373" s="216"/>
      <c r="D373" s="301">
        <v>66069089</v>
      </c>
      <c r="E373" s="223">
        <v>66069089</v>
      </c>
      <c r="F373" s="292">
        <f t="shared" si="15"/>
        <v>64305206</v>
      </c>
      <c r="G373" s="288" t="b">
        <f t="shared" si="16"/>
        <v>1</v>
      </c>
      <c r="H373" s="288" t="b">
        <f t="shared" si="17"/>
        <v>1</v>
      </c>
      <c r="I373" s="209" t="s">
        <v>394</v>
      </c>
      <c r="J373" s="209" t="s">
        <v>394</v>
      </c>
      <c r="K373" s="209" t="s">
        <v>394</v>
      </c>
      <c r="L373" s="300"/>
      <c r="M373" s="231">
        <v>66069089</v>
      </c>
      <c r="N373">
        <f>GETPIVOTDATA("Sum of Amount",$I$2,"OrgName",,"ProgramName",,"GrantNumber",)-GETPIVOTDATA("Sum of Amount",$A$3)</f>
        <v>0</v>
      </c>
    </row>
    <row r="374" spans="1:15">
      <c r="F374" s="292">
        <f t="shared" si="15"/>
        <v>-66069089</v>
      </c>
      <c r="G374" s="288" t="b">
        <f>IF(B373=J373,TRUE)</f>
        <v>0</v>
      </c>
      <c r="H374" s="288" t="b">
        <f t="shared" si="17"/>
        <v>0</v>
      </c>
      <c r="I374" s="209" t="s">
        <v>395</v>
      </c>
      <c r="J374" s="210"/>
      <c r="K374" s="210"/>
      <c r="L374" s="230"/>
      <c r="M374" s="231">
        <v>66069089</v>
      </c>
    </row>
    <row r="375" spans="1:15">
      <c r="F375" s="292">
        <f t="shared" si="15"/>
        <v>-66069089</v>
      </c>
      <c r="G375" s="288" t="b">
        <f t="shared" si="16"/>
        <v>1</v>
      </c>
      <c r="H375" s="288" t="b">
        <f t="shared" si="17"/>
        <v>1</v>
      </c>
      <c r="I375" s="215" t="s">
        <v>193</v>
      </c>
      <c r="J375" s="216"/>
      <c r="K375" s="216"/>
      <c r="L375" s="234">
        <v>0</v>
      </c>
      <c r="M375" s="235">
        <v>132138178</v>
      </c>
    </row>
    <row r="376" spans="1:15">
      <c r="F376" s="292">
        <f t="shared" si="15"/>
        <v>-132138178</v>
      </c>
      <c r="G376" s="288" t="b">
        <f t="shared" si="16"/>
        <v>1</v>
      </c>
      <c r="H376" s="288" t="b">
        <f t="shared" si="17"/>
        <v>1</v>
      </c>
    </row>
  </sheetData>
  <mergeCells count="1">
    <mergeCell ref="N2:O2"/>
  </mergeCells>
  <conditionalFormatting sqref="G1:H1048576">
    <cfRule type="containsText" dxfId="253" priority="5" operator="containsText" text="FALSE">
      <formula>NOT(ISERROR(SEARCH("FALSE",G1)))</formula>
    </cfRule>
  </conditionalFormatting>
  <conditionalFormatting sqref="N2 N237:O249 N308:O317 N324:O330 N342:O349 N351:O351 N354:O360 N362:O362 N3:O50 N223:O235 N251:O258 N261:O279 N281:O291 N293:O306 N319:O322 N332:O340 N52:O221 N364:O1048576">
    <cfRule type="cellIs" dxfId="252" priority="3" operator="greaterThan">
      <formula>0</formula>
    </cfRule>
  </conditionalFormatting>
  <conditionalFormatting sqref="O5:O438">
    <cfRule type="cellIs" dxfId="251" priority="2" operator="greaterThan">
      <formula>0</formula>
    </cfRule>
  </conditionalFormatting>
  <conditionalFormatting sqref="N4:N375">
    <cfRule type="cellIs" dxfId="250" priority="1" operator="lessThan">
      <formula>0</formula>
    </cfRule>
  </conditionalFormatting>
  <pageMargins left="0.7" right="0.7" top="0.75" bottom="0.75" header="0.3" footer="0.3"/>
  <pageSetup orientation="portrait"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L136"/>
  <sheetViews>
    <sheetView topLeftCell="A17" zoomScaleNormal="100" workbookViewId="0">
      <selection activeCell="E10" sqref="E10"/>
    </sheetView>
  </sheetViews>
  <sheetFormatPr defaultColWidth="9.140625" defaultRowHeight="12.75" customHeight="1"/>
  <cols>
    <col min="1" max="1" width="43.140625" style="23" bestFit="1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9.140625" style="23"/>
    <col min="11" max="12" width="12.42578125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143</v>
      </c>
      <c r="G5" s="505" t="str">
        <f>VLOOKUP($F5,District,2,FALSE)</f>
        <v>Cascadia Community College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1481</v>
      </c>
      <c r="D10" s="48"/>
      <c r="E10" s="48">
        <f>IF(ISNA(VLOOKUP($F$5,Student,14,FALSE)),0,VLOOKUP($F$5,Student,14,FALSE))</f>
        <v>0</v>
      </c>
      <c r="F10" s="48"/>
      <c r="G10" s="48">
        <f>$E$10+$C$10+$A$10</f>
        <v>1481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23" si="0">IF(ISNA(VLOOKUP($F$5 &amp;A16, AllocSched,12,FALSE)),"-",VLOOKUP($F$5 &amp;A16, AllocSched,12,FALSE))</f>
        <v>6766723</v>
      </c>
      <c r="D16" s="112" t="s">
        <v>51</v>
      </c>
      <c r="E16" s="16">
        <f t="shared" ref="E16:E23" si="1">IF(ISNA(VLOOKUP($F$5 &amp; A16, AllocSched,13,FALSE)),"-",VLOOKUP($F$5 &amp; A16, AllocSched,13,FALSE))</f>
        <v>-8249</v>
      </c>
      <c r="F16" s="16" t="s">
        <v>51</v>
      </c>
      <c r="G16" s="16">
        <f>IF(C16="-",E16,C16+E16)</f>
        <v>6758474</v>
      </c>
      <c r="H16" s="55" t="str">
        <f t="shared" ref="H16:H35" si="2">IF(ISNA(VLOOKUP($F$5 &amp; A16, AllocSched,9,FALSE))," ",VLOOKUP($F$5 &amp; A16, AllocSched,9,FALSE))</f>
        <v>001-011</v>
      </c>
      <c r="I16" s="56">
        <f t="shared" ref="I16:I23" si="3">IF(ISNA(VLOOKUP($F$5 &amp; A16, AllocSched,14,FALSE))," ",VLOOKUP($F$5 &amp; A16, AllocSched,14,FALSE))</f>
        <v>101</v>
      </c>
    </row>
    <row r="17" spans="1:12" ht="12.75" customHeight="1">
      <c r="A17" s="115" t="s">
        <v>171</v>
      </c>
      <c r="B17" s="54"/>
      <c r="C17" s="16">
        <f t="shared" si="0"/>
        <v>1144733</v>
      </c>
      <c r="D17" s="112"/>
      <c r="E17" s="16">
        <f t="shared" si="1"/>
        <v>8249</v>
      </c>
      <c r="F17" s="16"/>
      <c r="G17" s="16">
        <f t="shared" ref="G17:G21" si="4">IF(C17="-",E17,C17+E17)</f>
        <v>1152982</v>
      </c>
      <c r="H17" s="55" t="str">
        <f t="shared" si="2"/>
        <v>08A-3E0</v>
      </c>
      <c r="I17" s="56" t="str">
        <f t="shared" si="3"/>
        <v>3E0</v>
      </c>
      <c r="K17" s="25"/>
      <c r="L17" s="25"/>
    </row>
    <row r="18" spans="1:12" s="272" customFormat="1" ht="12.75" customHeight="1">
      <c r="A18" s="38" t="s">
        <v>781</v>
      </c>
      <c r="B18" s="54"/>
      <c r="C18" s="16">
        <f t="shared" si="0"/>
        <v>0</v>
      </c>
      <c r="D18" s="112"/>
      <c r="E18" s="16">
        <f t="shared" si="1"/>
        <v>45175</v>
      </c>
      <c r="F18" s="16"/>
      <c r="G18" s="16">
        <f>IF(C18="-",E18,C18+E18)</f>
        <v>45175</v>
      </c>
      <c r="H18" s="55" t="str">
        <f>IF(ISNA(VLOOKUP($F$5 &amp; A18, AllocSched,9,FALSE))," ",VLOOKUP($F$5 &amp; A18, AllocSched,9,FALSE))</f>
        <v>001-011</v>
      </c>
      <c r="I18" s="56">
        <f t="shared" si="3"/>
        <v>101</v>
      </c>
      <c r="K18" s="25"/>
      <c r="L18" s="25"/>
    </row>
    <row r="19" spans="1:12" s="272" customFormat="1" ht="12.75" customHeight="1">
      <c r="A19" s="115" t="s">
        <v>448</v>
      </c>
      <c r="B19" s="54"/>
      <c r="C19" s="16">
        <f t="shared" si="0"/>
        <v>0</v>
      </c>
      <c r="D19" s="112"/>
      <c r="E19" s="16">
        <f t="shared" si="1"/>
        <v>164384</v>
      </c>
      <c r="F19" s="16"/>
      <c r="G19" s="16">
        <f>IF(C19="-",E19,C19+E19)</f>
        <v>164384</v>
      </c>
      <c r="H19" s="55" t="str">
        <f>IF(ISNA(VLOOKUP($F$5 &amp; A19, AllocSched,9,FALSE))," ",VLOOKUP($F$5 &amp; A19, AllocSched,9,FALSE))</f>
        <v>001-011</v>
      </c>
      <c r="I19" s="56">
        <f t="shared" si="3"/>
        <v>101</v>
      </c>
      <c r="K19" s="25"/>
      <c r="L19" s="25"/>
    </row>
    <row r="20" spans="1:12" s="269" customFormat="1" ht="12.75" customHeight="1">
      <c r="A20" s="115" t="s">
        <v>340</v>
      </c>
      <c r="B20" s="54"/>
      <c r="C20" s="16">
        <f t="shared" si="0"/>
        <v>0</v>
      </c>
      <c r="D20" s="112"/>
      <c r="E20" s="16">
        <f t="shared" si="1"/>
        <v>543364</v>
      </c>
      <c r="F20" s="16"/>
      <c r="G20" s="16">
        <f>IF(C20="-",E20,C20+E20)</f>
        <v>543364</v>
      </c>
      <c r="H20" s="55" t="str">
        <f>IF(ISNA(VLOOKUP($F$5 &amp; A20, AllocSched,9,FALSE))," ",VLOOKUP($F$5 &amp; A20, AllocSched,9,FALSE))</f>
        <v>001-011</v>
      </c>
      <c r="I20" s="56">
        <f t="shared" si="3"/>
        <v>101</v>
      </c>
      <c r="K20" s="25"/>
      <c r="L20" s="25"/>
    </row>
    <row r="21" spans="1:12" ht="12.75" customHeight="1">
      <c r="A21" s="115" t="s">
        <v>207</v>
      </c>
      <c r="B21" s="54"/>
      <c r="C21" s="16">
        <f t="shared" si="0"/>
        <v>0</v>
      </c>
      <c r="D21" s="112"/>
      <c r="E21" s="16">
        <f t="shared" si="1"/>
        <v>19363</v>
      </c>
      <c r="F21" s="16"/>
      <c r="G21" s="16">
        <f t="shared" si="4"/>
        <v>19363</v>
      </c>
      <c r="H21" s="55" t="str">
        <f t="shared" si="2"/>
        <v>001-011</v>
      </c>
      <c r="I21" s="56">
        <f t="shared" si="3"/>
        <v>101</v>
      </c>
    </row>
    <row r="22" spans="1:12" s="272" customFormat="1" ht="12.75" customHeight="1">
      <c r="A22" s="115" t="s">
        <v>203</v>
      </c>
      <c r="B22" s="54"/>
      <c r="C22" s="16">
        <f t="shared" si="0"/>
        <v>0</v>
      </c>
      <c r="D22" s="112"/>
      <c r="E22" s="16">
        <f t="shared" si="1"/>
        <v>-2123</v>
      </c>
      <c r="F22" s="16"/>
      <c r="G22" s="16">
        <f>IF(C22="-",E22,C22+E22)</f>
        <v>-2123</v>
      </c>
      <c r="H22" s="55" t="str">
        <f>IF(ISNA(VLOOKUP($F$5 &amp; A22, AllocSched,9,FALSE))," ",VLOOKUP($F$5 &amp; A22, AllocSched,9,FALSE))</f>
        <v>001-011</v>
      </c>
      <c r="I22" s="56">
        <f t="shared" si="3"/>
        <v>101</v>
      </c>
    </row>
    <row r="23" spans="1:12" ht="12.75" customHeight="1">
      <c r="A23" s="115" t="s">
        <v>454</v>
      </c>
      <c r="B23" s="54"/>
      <c r="C23" s="16">
        <f t="shared" si="0"/>
        <v>0</v>
      </c>
      <c r="D23" s="112"/>
      <c r="E23" s="16">
        <f t="shared" si="1"/>
        <v>-627</v>
      </c>
      <c r="F23" s="16"/>
      <c r="G23" s="16">
        <f>IF(C23="-",E23,C23+E23)</f>
        <v>-627</v>
      </c>
      <c r="H23" s="55" t="str">
        <f>IF(ISNA(VLOOKUP($F$5 &amp; A23, AllocSched,9,FALSE))," ",VLOOKUP($F$5 &amp; A23, AllocSched,9,FALSE))</f>
        <v>001-011</v>
      </c>
      <c r="I23" s="56">
        <f t="shared" si="3"/>
        <v>101</v>
      </c>
    </row>
    <row r="24" spans="1:12" s="272" customFormat="1" ht="12.75" customHeight="1">
      <c r="A24" s="115"/>
      <c r="B24" s="54"/>
      <c r="C24" s="16"/>
      <c r="D24" s="112"/>
      <c r="E24" s="16"/>
      <c r="F24" s="16"/>
      <c r="G24" s="16"/>
      <c r="H24" s="55"/>
      <c r="I24" s="56"/>
    </row>
    <row r="25" spans="1:12" s="83" customFormat="1">
      <c r="A25" s="114" t="s">
        <v>168</v>
      </c>
      <c r="B25" s="84"/>
      <c r="C25" s="16"/>
      <c r="D25" s="112"/>
      <c r="E25" s="16"/>
      <c r="F25" s="16"/>
      <c r="G25" s="16"/>
      <c r="H25" s="55" t="str">
        <f t="shared" si="2"/>
        <v xml:space="preserve"> </v>
      </c>
      <c r="I25" s="56" t="str">
        <f t="shared" ref="I25:I36" si="5">IF(ISNA(VLOOKUP($F$5 &amp; A25, AllocSched,14,FALSE))," ",VLOOKUP($F$5 &amp; A25, AllocSched,14,FALSE))</f>
        <v xml:space="preserve"> </v>
      </c>
    </row>
    <row r="26" spans="1:12" ht="12.75" customHeight="1">
      <c r="A26" s="38" t="s">
        <v>222</v>
      </c>
      <c r="C26" s="16">
        <f t="shared" ref="C26:C36" si="6">IF(ISNA(VLOOKUP($F$5 &amp;A26, AllocSched,12,FALSE)),"-",VLOOKUP($F$5 &amp;A26, AllocSched,12,FALSE))</f>
        <v>30451</v>
      </c>
      <c r="D26" s="112"/>
      <c r="E26" s="16">
        <f t="shared" ref="E26:E36" si="7">IF(ISNA(VLOOKUP($F$5 &amp; A26, AllocSched,13,FALSE)),"-",VLOOKUP($F$5 &amp; A26, AllocSched,13,FALSE))</f>
        <v>-30451</v>
      </c>
      <c r="F26" s="16"/>
      <c r="G26" s="16">
        <f>IF(C26="-",E26,C26+E26)</f>
        <v>0</v>
      </c>
      <c r="H26" s="55" t="str">
        <f>IF(ISNA(VLOOKUP($F$5 &amp; A26, AllocSched,9,FALSE))," ",VLOOKUP($F$5 &amp; A26, AllocSched,9,FALSE))</f>
        <v>08A-3E0</v>
      </c>
      <c r="I26" s="56" t="str">
        <f t="shared" si="5"/>
        <v>3E0</v>
      </c>
    </row>
    <row r="27" spans="1:12" ht="12.75" customHeight="1">
      <c r="A27" s="38" t="s">
        <v>170</v>
      </c>
      <c r="C27" s="16">
        <f t="shared" si="6"/>
        <v>26844</v>
      </c>
      <c r="D27" s="112"/>
      <c r="E27" s="16">
        <f t="shared" si="7"/>
        <v>-3950</v>
      </c>
      <c r="F27" s="16"/>
      <c r="G27" s="16">
        <f t="shared" ref="G27:G35" si="8">IF(C27="-",E27,C27+E27)</f>
        <v>22894</v>
      </c>
      <c r="H27" s="55" t="str">
        <f t="shared" si="2"/>
        <v>001-011</v>
      </c>
      <c r="I27" s="56">
        <f t="shared" si="5"/>
        <v>101</v>
      </c>
    </row>
    <row r="28" spans="1:12" ht="12.75" customHeight="1">
      <c r="A28" s="115" t="s">
        <v>151</v>
      </c>
      <c r="B28" s="54"/>
      <c r="C28" s="16">
        <f t="shared" si="6"/>
        <v>110000</v>
      </c>
      <c r="D28" s="112"/>
      <c r="E28" s="16">
        <f t="shared" si="7"/>
        <v>90000</v>
      </c>
      <c r="F28" s="16"/>
      <c r="G28" s="16">
        <f t="shared" si="8"/>
        <v>200000</v>
      </c>
      <c r="H28" s="55" t="str">
        <f t="shared" si="2"/>
        <v>08A-3E0</v>
      </c>
      <c r="I28" s="56" t="str">
        <f t="shared" si="5"/>
        <v>3E0</v>
      </c>
    </row>
    <row r="29" spans="1:12" ht="12.75" customHeight="1">
      <c r="A29" s="115" t="s">
        <v>150</v>
      </c>
      <c r="B29" s="54"/>
      <c r="C29" s="16">
        <f t="shared" si="6"/>
        <v>29412</v>
      </c>
      <c r="D29" s="112"/>
      <c r="E29" s="16">
        <f t="shared" si="7"/>
        <v>0</v>
      </c>
      <c r="F29" s="16"/>
      <c r="G29" s="16">
        <f t="shared" si="8"/>
        <v>29412</v>
      </c>
      <c r="H29" s="55" t="str">
        <f t="shared" si="2"/>
        <v>001-011</v>
      </c>
      <c r="I29" s="56">
        <f t="shared" si="5"/>
        <v>101</v>
      </c>
    </row>
    <row r="30" spans="1:12" ht="12.75" customHeight="1">
      <c r="A30" s="115" t="s">
        <v>272</v>
      </c>
      <c r="B30" s="54"/>
      <c r="C30" s="16">
        <f t="shared" si="6"/>
        <v>4116</v>
      </c>
      <c r="D30" s="112"/>
      <c r="E30" s="16">
        <f t="shared" si="7"/>
        <v>0</v>
      </c>
      <c r="F30" s="16"/>
      <c r="G30" s="16">
        <f t="shared" si="8"/>
        <v>4116</v>
      </c>
      <c r="H30" s="55" t="str">
        <f t="shared" si="2"/>
        <v>001-BD1</v>
      </c>
      <c r="I30" s="56" t="str">
        <f t="shared" si="5"/>
        <v>BD1</v>
      </c>
    </row>
    <row r="31" spans="1:12" ht="12.75" customHeight="1">
      <c r="A31" s="115" t="s">
        <v>273</v>
      </c>
      <c r="B31" s="54"/>
      <c r="C31" s="16">
        <f t="shared" si="6"/>
        <v>109729</v>
      </c>
      <c r="D31" s="112"/>
      <c r="E31" s="16">
        <f t="shared" si="7"/>
        <v>-109729</v>
      </c>
      <c r="F31" s="16"/>
      <c r="G31" s="16">
        <f>IF(C31="-",E31,C31+E31)</f>
        <v>0</v>
      </c>
      <c r="H31" s="55" t="str">
        <f>IF(ISNA(VLOOKUP($F$5 &amp; A31, AllocSched,9,FALSE))," ",VLOOKUP($F$5 &amp; A31, AllocSched,9,FALSE))</f>
        <v>001-BD1</v>
      </c>
      <c r="I31" s="56" t="str">
        <f t="shared" si="5"/>
        <v>BD1</v>
      </c>
    </row>
    <row r="32" spans="1:12" ht="12.75" customHeight="1">
      <c r="A32" s="115" t="s">
        <v>6</v>
      </c>
      <c r="B32" s="54"/>
      <c r="C32" s="16">
        <f t="shared" si="6"/>
        <v>8660</v>
      </c>
      <c r="D32" s="112"/>
      <c r="E32" s="16">
        <f t="shared" si="7"/>
        <v>5280</v>
      </c>
      <c r="F32" s="16"/>
      <c r="G32" s="16">
        <f t="shared" si="8"/>
        <v>13940</v>
      </c>
      <c r="H32" s="55" t="str">
        <f t="shared" si="2"/>
        <v>001-011</v>
      </c>
      <c r="I32" s="56">
        <f t="shared" si="5"/>
        <v>101</v>
      </c>
    </row>
    <row r="33" spans="1:12" ht="12.75" customHeight="1">
      <c r="A33" s="115" t="s">
        <v>333</v>
      </c>
      <c r="B33" s="54"/>
      <c r="C33" s="16">
        <f t="shared" si="6"/>
        <v>28078</v>
      </c>
      <c r="D33" s="112"/>
      <c r="E33" s="16">
        <f t="shared" si="7"/>
        <v>0</v>
      </c>
      <c r="F33" s="16"/>
      <c r="G33" s="16">
        <f t="shared" si="8"/>
        <v>28078</v>
      </c>
      <c r="H33" s="55" t="str">
        <f t="shared" si="2"/>
        <v>001-011</v>
      </c>
      <c r="I33" s="56">
        <f t="shared" si="5"/>
        <v>101</v>
      </c>
    </row>
    <row r="34" spans="1:12" ht="12.75" customHeight="1">
      <c r="A34" s="115" t="s">
        <v>332</v>
      </c>
      <c r="B34" s="54"/>
      <c r="C34" s="16">
        <f t="shared" si="6"/>
        <v>134120</v>
      </c>
      <c r="D34" s="112"/>
      <c r="E34" s="16">
        <f t="shared" si="7"/>
        <v>0</v>
      </c>
      <c r="F34" s="16"/>
      <c r="G34" s="16">
        <f t="shared" si="8"/>
        <v>134120</v>
      </c>
      <c r="H34" s="55" t="str">
        <f t="shared" si="2"/>
        <v>001-AC1</v>
      </c>
      <c r="I34" s="56">
        <f t="shared" si="5"/>
        <v>123</v>
      </c>
    </row>
    <row r="35" spans="1:12" ht="12.75" customHeight="1">
      <c r="A35" s="115" t="s">
        <v>215</v>
      </c>
      <c r="B35" s="54"/>
      <c r="C35" s="16">
        <f t="shared" si="6"/>
        <v>66625</v>
      </c>
      <c r="D35" s="112"/>
      <c r="E35" s="16">
        <f t="shared" si="7"/>
        <v>-66625</v>
      </c>
      <c r="F35" s="16"/>
      <c r="G35" s="16">
        <f t="shared" si="8"/>
        <v>0</v>
      </c>
      <c r="H35" s="55" t="str">
        <f t="shared" si="2"/>
        <v>001-AC1</v>
      </c>
      <c r="I35" s="56">
        <f t="shared" si="5"/>
        <v>123</v>
      </c>
    </row>
    <row r="36" spans="1:12" s="272" customFormat="1" ht="12.75" customHeight="1">
      <c r="A36" s="115" t="s">
        <v>451</v>
      </c>
      <c r="B36" s="54"/>
      <c r="C36" s="16">
        <f t="shared" si="6"/>
        <v>0</v>
      </c>
      <c r="D36" s="112"/>
      <c r="E36" s="16">
        <f t="shared" si="7"/>
        <v>32302</v>
      </c>
      <c r="F36" s="16"/>
      <c r="G36" s="16">
        <f>IF(C36="-",E36,C36+E36)</f>
        <v>32302</v>
      </c>
      <c r="H36" s="55" t="str">
        <f>IF(ISNA(VLOOKUP($F$5 &amp; A36, AllocSched,9,FALSE))," ",VLOOKUP($F$5 &amp; A36, AllocSched,9,FALSE))</f>
        <v>001-011</v>
      </c>
      <c r="I36" s="56">
        <f t="shared" si="5"/>
        <v>101</v>
      </c>
    </row>
    <row r="37" spans="1:12" ht="12.75" customHeight="1">
      <c r="A37" s="54"/>
      <c r="B37" s="54"/>
      <c r="C37" s="16"/>
      <c r="D37" s="112"/>
      <c r="E37" s="16"/>
      <c r="F37" s="16"/>
      <c r="G37" s="16"/>
      <c r="H37" s="55"/>
      <c r="I37" s="56"/>
    </row>
    <row r="38" spans="1:12" ht="13.5" thickBot="1">
      <c r="A38" s="89" t="s">
        <v>174</v>
      </c>
      <c r="B38" s="57" t="s">
        <v>51</v>
      </c>
      <c r="C38" s="111">
        <f>SUM(C16:C36)</f>
        <v>8459491</v>
      </c>
      <c r="D38" s="113" t="s">
        <v>51</v>
      </c>
      <c r="E38" s="111">
        <f>SUM(E16:E36)</f>
        <v>686363</v>
      </c>
      <c r="F38" s="113" t="s">
        <v>51</v>
      </c>
      <c r="G38" s="111">
        <f>SUM(G16:G36)</f>
        <v>9145854</v>
      </c>
      <c r="K38" s="25"/>
      <c r="L38" s="30"/>
    </row>
    <row r="39" spans="1:12" ht="12.75" customHeight="1" thickTop="1">
      <c r="A39" s="84"/>
      <c r="B39" s="84"/>
      <c r="C39" s="58">
        <v>0</v>
      </c>
      <c r="D39" s="58"/>
      <c r="E39" s="90"/>
      <c r="F39" s="90"/>
      <c r="G39" s="90"/>
    </row>
    <row r="40" spans="1:12" s="65" customFormat="1" ht="25.5">
      <c r="A40" s="59" t="s">
        <v>156</v>
      </c>
      <c r="B40" s="60"/>
      <c r="C40" s="61"/>
      <c r="D40" s="62"/>
      <c r="E40" s="63" t="s">
        <v>67</v>
      </c>
      <c r="F40" s="62"/>
      <c r="G40" s="64" t="s">
        <v>163</v>
      </c>
      <c r="H40" s="64" t="s">
        <v>164</v>
      </c>
      <c r="I40" s="98" t="s">
        <v>70</v>
      </c>
    </row>
    <row r="41" spans="1:12" s="65" customFormat="1" ht="12.75" customHeight="1">
      <c r="A41" s="66" t="s">
        <v>240</v>
      </c>
      <c r="B41" s="67"/>
      <c r="C41" s="68"/>
      <c r="E41" s="66" t="s">
        <v>352</v>
      </c>
      <c r="G41" s="150">
        <f t="shared" ref="G41:G48" si="9">VLOOKUP($F$5 &amp; $A41 &amp; $E41,AddRes,7,FALSE)</f>
        <v>0</v>
      </c>
      <c r="H41" s="150">
        <f t="shared" ref="H41" si="10">VLOOKUP($F$5 &amp; $A41 &amp; $E41,AddRes,8,FALSE)</f>
        <v>0</v>
      </c>
      <c r="I41" s="69">
        <f t="shared" ref="I41" si="11">VLOOKUP($F$5 &amp; $A41 &amp; $E41,AddRes,10,FALSE)</f>
        <v>42277</v>
      </c>
    </row>
    <row r="42" spans="1:12" s="65" customFormat="1" ht="12.75" customHeight="1">
      <c r="A42" s="66" t="s">
        <v>497</v>
      </c>
      <c r="B42" s="67"/>
      <c r="C42" s="68"/>
      <c r="E42" s="66" t="s">
        <v>528</v>
      </c>
      <c r="G42" s="150">
        <f t="shared" si="9"/>
        <v>0</v>
      </c>
      <c r="H42" s="150">
        <f t="shared" ref="H42:H48" si="12">VLOOKUP($F$5 &amp; $A42 &amp; $E42,AddRes,8,FALSE)</f>
        <v>0</v>
      </c>
      <c r="I42" s="69">
        <f>VLOOKUP($F$5 &amp; $A42 &amp; $E42,AddRes,10,FALSE)</f>
        <v>42551</v>
      </c>
    </row>
    <row r="43" spans="1:12" s="65" customFormat="1" ht="12.75" customHeight="1">
      <c r="A43" s="66" t="s">
        <v>498</v>
      </c>
      <c r="B43" s="67"/>
      <c r="C43" s="68"/>
      <c r="E43" s="66" t="s">
        <v>529</v>
      </c>
      <c r="G43" s="150">
        <f t="shared" si="9"/>
        <v>0</v>
      </c>
      <c r="H43" s="150">
        <f t="shared" si="12"/>
        <v>0</v>
      </c>
      <c r="I43" s="69">
        <f>VLOOKUP($F$5 &amp; $A43 &amp; $E43,AddRes,10,FALSE)</f>
        <v>42551</v>
      </c>
    </row>
    <row r="44" spans="1:12" s="65" customFormat="1" ht="12.75" customHeight="1">
      <c r="A44" s="66" t="s">
        <v>505</v>
      </c>
      <c r="B44" s="67"/>
      <c r="C44" s="68"/>
      <c r="E44" s="66" t="s">
        <v>530</v>
      </c>
      <c r="G44" s="150">
        <f t="shared" si="9"/>
        <v>0</v>
      </c>
      <c r="H44" s="150">
        <f t="shared" si="12"/>
        <v>0</v>
      </c>
      <c r="I44" s="69">
        <f>VLOOKUP($F$5 &amp; $A44 &amp; $E44,AddRes,10,FALSE)</f>
        <v>42551</v>
      </c>
    </row>
    <row r="45" spans="1:12" s="65" customFormat="1" ht="12.75" customHeight="1">
      <c r="A45" s="66" t="s">
        <v>235</v>
      </c>
      <c r="B45" s="67"/>
      <c r="C45" s="68"/>
      <c r="E45" s="66" t="s">
        <v>427</v>
      </c>
      <c r="G45" s="150">
        <f t="shared" si="9"/>
        <v>0</v>
      </c>
      <c r="H45" s="150">
        <f t="shared" si="12"/>
        <v>0</v>
      </c>
      <c r="I45" s="69">
        <f>VLOOKUP($F$5 &amp; $A45 &amp; $E45,AddRes,10,FALSE)</f>
        <v>42551</v>
      </c>
    </row>
    <row r="46" spans="1:12" s="65" customFormat="1" ht="12.75" customHeight="1">
      <c r="A46" s="66" t="s">
        <v>235</v>
      </c>
      <c r="B46" s="67"/>
      <c r="C46" s="68"/>
      <c r="E46" s="66" t="s">
        <v>531</v>
      </c>
      <c r="G46" s="150">
        <f t="shared" si="9"/>
        <v>0</v>
      </c>
      <c r="H46" s="150">
        <f t="shared" si="12"/>
        <v>0</v>
      </c>
      <c r="I46" s="69">
        <f>VLOOKUP($F$5 &amp; $A46 &amp; $E46,AddRes,10,FALSE)</f>
        <v>42551</v>
      </c>
    </row>
    <row r="47" spans="1:12" s="65" customFormat="1" ht="12.75" customHeight="1">
      <c r="A47" s="66" t="s">
        <v>233</v>
      </c>
      <c r="B47" s="67"/>
      <c r="C47" s="68"/>
      <c r="E47" s="66" t="s">
        <v>532</v>
      </c>
      <c r="G47" s="150">
        <f t="shared" si="9"/>
        <v>0</v>
      </c>
      <c r="H47" s="150">
        <f t="shared" si="12"/>
        <v>0</v>
      </c>
      <c r="I47" s="69">
        <v>42185</v>
      </c>
    </row>
    <row r="48" spans="1:12" s="65" customFormat="1" ht="12.75" customHeight="1">
      <c r="A48" s="66" t="s">
        <v>506</v>
      </c>
      <c r="C48" s="70"/>
      <c r="D48" s="70"/>
      <c r="E48" s="66" t="s">
        <v>533</v>
      </c>
      <c r="F48" s="70"/>
      <c r="G48" s="150">
        <f t="shared" si="9"/>
        <v>0</v>
      </c>
      <c r="H48" s="150">
        <f t="shared" si="12"/>
        <v>0</v>
      </c>
      <c r="I48" s="69">
        <f>VLOOKUP($F$5 &amp; $A48 &amp; $E48,AddRes,10,FALSE)</f>
        <v>42551</v>
      </c>
    </row>
    <row r="49" spans="1:12" s="65" customFormat="1" ht="12.75" customHeight="1">
      <c r="A49" s="66"/>
      <c r="C49" s="70"/>
      <c r="D49" s="70"/>
      <c r="E49" s="70"/>
      <c r="F49" s="70"/>
      <c r="G49" s="399"/>
      <c r="H49" s="399"/>
      <c r="I49" s="69"/>
    </row>
    <row r="50" spans="1:12" s="65" customFormat="1" ht="12.75" customHeight="1">
      <c r="A50" s="66"/>
      <c r="C50" s="74" t="s">
        <v>71</v>
      </c>
      <c r="D50" s="70"/>
      <c r="E50" s="70"/>
      <c r="F50" s="70"/>
      <c r="G50" s="75">
        <f>SUM(G41:G48)</f>
        <v>0</v>
      </c>
      <c r="H50" s="75">
        <f>SUM(H41:H48)</f>
        <v>0</v>
      </c>
      <c r="I50" s="73"/>
    </row>
    <row r="51" spans="1:12" s="65" customFormat="1" ht="12.75" customHeight="1">
      <c r="A51" s="66"/>
      <c r="C51" s="70"/>
      <c r="D51" s="70"/>
      <c r="E51" s="70"/>
      <c r="F51" s="70"/>
      <c r="G51" s="70"/>
      <c r="I51" s="73"/>
      <c r="K51" s="75"/>
      <c r="L51" s="75"/>
    </row>
    <row r="52" spans="1:12" s="65" customFormat="1" ht="12.75" customHeight="1">
      <c r="C52" s="70"/>
      <c r="D52" s="70"/>
      <c r="E52" s="70"/>
      <c r="F52" s="70"/>
      <c r="G52" s="70"/>
      <c r="I52" s="73"/>
    </row>
    <row r="53" spans="1:12" s="65" customFormat="1" ht="12.75" customHeight="1">
      <c r="C53" s="70"/>
      <c r="D53" s="70"/>
      <c r="E53" s="70"/>
      <c r="F53" s="70"/>
      <c r="G53" s="70"/>
      <c r="I53" s="73"/>
    </row>
    <row r="54" spans="1:12" s="65" customFormat="1" ht="12.75" customHeight="1">
      <c r="C54" s="70"/>
      <c r="D54" s="70"/>
      <c r="E54" s="70"/>
      <c r="F54" s="70"/>
      <c r="G54" s="70"/>
      <c r="I54" s="73"/>
    </row>
    <row r="55" spans="1:12" s="65" customFormat="1" ht="12.75" customHeight="1">
      <c r="C55" s="70"/>
      <c r="D55" s="70"/>
      <c r="E55" s="70"/>
      <c r="F55" s="70"/>
      <c r="G55" s="70"/>
      <c r="I55" s="73"/>
    </row>
    <row r="56" spans="1:12" s="65" customFormat="1" ht="12.75" customHeight="1">
      <c r="C56" s="70"/>
      <c r="D56" s="70"/>
      <c r="E56" s="70"/>
      <c r="F56" s="70"/>
      <c r="G56" s="70"/>
      <c r="I56" s="73"/>
    </row>
    <row r="57" spans="1:12" s="65" customFormat="1" ht="12.75" customHeight="1">
      <c r="C57" s="70"/>
      <c r="D57" s="70"/>
      <c r="E57" s="70"/>
      <c r="F57" s="70"/>
      <c r="G57" s="70"/>
      <c r="I57" s="73"/>
    </row>
    <row r="58" spans="1:12" s="65" customFormat="1" ht="12.75" customHeight="1">
      <c r="C58" s="70"/>
      <c r="D58" s="70"/>
      <c r="E58" s="70"/>
      <c r="F58" s="70"/>
      <c r="G58" s="70"/>
      <c r="I58" s="73"/>
    </row>
    <row r="59" spans="1:12" s="65" customFormat="1" ht="12.75" customHeight="1">
      <c r="C59" s="70"/>
      <c r="D59" s="70"/>
      <c r="E59" s="70"/>
      <c r="F59" s="70"/>
      <c r="G59" s="70"/>
      <c r="I59" s="73"/>
    </row>
    <row r="60" spans="1:12" s="65" customFormat="1" ht="12.75" customHeight="1">
      <c r="C60" s="70"/>
      <c r="D60" s="70"/>
      <c r="E60" s="70"/>
      <c r="F60" s="70"/>
      <c r="G60" s="70"/>
      <c r="I60" s="73"/>
    </row>
    <row r="61" spans="1:12" s="65" customFormat="1" ht="12.75" customHeight="1">
      <c r="C61" s="70"/>
      <c r="D61" s="70"/>
      <c r="E61" s="70"/>
      <c r="F61" s="70"/>
      <c r="G61" s="70"/>
      <c r="I61" s="73"/>
    </row>
    <row r="62" spans="1:12" s="65" customFormat="1" ht="12.75" customHeight="1">
      <c r="C62" s="70"/>
      <c r="D62" s="70"/>
      <c r="E62" s="70"/>
      <c r="F62" s="70"/>
      <c r="G62" s="70"/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</sheetData>
  <mergeCells count="2">
    <mergeCell ref="A8:I8"/>
    <mergeCell ref="G5:I5"/>
  </mergeCells>
  <phoneticPr fontId="0" type="noConversion"/>
  <conditionalFormatting sqref="G38">
    <cfRule type="cellIs" dxfId="27" priority="3" stopIfTrue="1" operator="equal">
      <formula>19279082</formula>
    </cfRule>
  </conditionalFormatting>
  <printOptions horizontalCentered="1"/>
  <pageMargins left="0.25" right="0.25" top="0.25" bottom="0.5" header="0.35" footer="0.25"/>
  <pageSetup scale="90" orientation="portrait" r:id="rId1"/>
  <headerFooter alignWithMargins="0">
    <oddFooter>&amp;L&amp;"Calibri,Regular"Prepared by the SBCTC&amp;R&amp;"Calibri,Regular"&amp;D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L141"/>
  <sheetViews>
    <sheetView topLeftCell="A5"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9.140625" style="23"/>
    <col min="11" max="11" width="13.5703125" style="23" bestFit="1" customWidth="1"/>
    <col min="12" max="12" width="12.42578125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126</v>
      </c>
      <c r="G5" s="505" t="str">
        <f>VLOOKUP($F5,District,2,FALSE)</f>
        <v>Centralia College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2219</v>
      </c>
      <c r="D10" s="48"/>
      <c r="E10" s="48">
        <f>IF(ISNA(VLOOKUP($F$5,Student,14,FALSE)),0,VLOOKUP($F$5,Student,14,FALSE))</f>
        <v>0</v>
      </c>
      <c r="F10" s="48"/>
      <c r="G10" s="48">
        <f>$E$10+$C$10+$A$10</f>
        <v>2219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24" si="0">IF(ISNA(VLOOKUP($F$5 &amp;A16, AllocSched,12,FALSE)),"-",VLOOKUP($F$5 &amp;A16, AllocSched,12,FALSE))</f>
        <v>8108264</v>
      </c>
      <c r="D16" s="112" t="s">
        <v>51</v>
      </c>
      <c r="E16" s="16">
        <f t="shared" ref="E16:E18" si="1">IF(ISNA(VLOOKUP($F$5 &amp; A16, AllocSched,13,FALSE)),"-",VLOOKUP($F$5 &amp; A16, AllocSched,13,FALSE))</f>
        <v>-8692</v>
      </c>
      <c r="F16" s="16" t="s">
        <v>51</v>
      </c>
      <c r="G16" s="16">
        <f t="shared" ref="G16:G24" si="2">IF(C16="-",E16,C16+E16)</f>
        <v>8099572</v>
      </c>
      <c r="H16" s="55" t="str">
        <f t="shared" ref="H16:H37" si="3">IF(ISNA(VLOOKUP($F$5 &amp; A16, AllocSched,9,FALSE))," ",VLOOKUP($F$5 &amp; A16, AllocSched,9,FALSE))</f>
        <v>001-011</v>
      </c>
      <c r="I16" s="56">
        <f t="shared" ref="I16:I38" si="4">IF(ISNA(VLOOKUP($F$5 &amp; A16, AllocSched,14,FALSE))," ",VLOOKUP($F$5 &amp; A16, AllocSched,14,FALSE))</f>
        <v>101</v>
      </c>
    </row>
    <row r="17" spans="1:9" ht="12.75" customHeight="1">
      <c r="A17" s="115" t="s">
        <v>171</v>
      </c>
      <c r="B17" s="54"/>
      <c r="C17" s="16">
        <f t="shared" si="0"/>
        <v>804793</v>
      </c>
      <c r="D17" s="112"/>
      <c r="E17" s="16">
        <f t="shared" si="1"/>
        <v>8692</v>
      </c>
      <c r="F17" s="16"/>
      <c r="G17" s="16">
        <f t="shared" si="2"/>
        <v>813485</v>
      </c>
      <c r="H17" s="55" t="str">
        <f t="shared" si="3"/>
        <v>08A-3E0</v>
      </c>
      <c r="I17" s="56" t="str">
        <f t="shared" si="4"/>
        <v>3E0</v>
      </c>
    </row>
    <row r="18" spans="1:9" s="272" customFormat="1" ht="12.75" customHeight="1">
      <c r="A18" s="38" t="s">
        <v>781</v>
      </c>
      <c r="B18" s="54"/>
      <c r="C18" s="16">
        <f t="shared" si="0"/>
        <v>0</v>
      </c>
      <c r="D18" s="112"/>
      <c r="E18" s="16">
        <f t="shared" si="1"/>
        <v>56694</v>
      </c>
      <c r="F18" s="16"/>
      <c r="G18" s="16">
        <f t="shared" si="2"/>
        <v>56694</v>
      </c>
      <c r="H18" s="55" t="str">
        <f>IF(ISNA(VLOOKUP($F$5 &amp; A18, AllocSched,9,FALSE))," ",VLOOKUP($F$5 &amp; A18, AllocSched,9,FALSE))</f>
        <v>001-011</v>
      </c>
      <c r="I18" s="56">
        <f t="shared" si="4"/>
        <v>101</v>
      </c>
    </row>
    <row r="19" spans="1:9" s="272" customFormat="1" ht="12.75" customHeight="1">
      <c r="A19" s="115" t="s">
        <v>448</v>
      </c>
      <c r="B19" s="54"/>
      <c r="C19" s="16">
        <f t="shared" si="0"/>
        <v>0</v>
      </c>
      <c r="D19" s="112"/>
      <c r="E19" s="16">
        <f t="shared" ref="E19:E24" si="5">IF(ISNA(VLOOKUP($F$5 &amp; A19, AllocSched,13,FALSE)),"-",VLOOKUP($F$5 &amp; A19, AllocSched,13,FALSE))</f>
        <v>186535</v>
      </c>
      <c r="F19" s="16"/>
      <c r="G19" s="16">
        <f t="shared" si="2"/>
        <v>186535</v>
      </c>
      <c r="H19" s="55" t="str">
        <f>IF(ISNA(VLOOKUP($F$5 &amp; A19, AllocSched,9,FALSE))," ",VLOOKUP($F$5 &amp; A19, AllocSched,9,FALSE))</f>
        <v>001-011</v>
      </c>
      <c r="I19" s="56">
        <f t="shared" si="4"/>
        <v>101</v>
      </c>
    </row>
    <row r="20" spans="1:9" s="269" customFormat="1" ht="12.75" customHeight="1">
      <c r="A20" s="115" t="s">
        <v>340</v>
      </c>
      <c r="B20" s="54"/>
      <c r="C20" s="16">
        <f t="shared" si="0"/>
        <v>0</v>
      </c>
      <c r="D20" s="112"/>
      <c r="E20" s="16">
        <f t="shared" si="5"/>
        <v>459967</v>
      </c>
      <c r="F20" s="16"/>
      <c r="G20" s="16">
        <f t="shared" si="2"/>
        <v>459967</v>
      </c>
      <c r="H20" s="55" t="str">
        <f>IF(ISNA(VLOOKUP($F$5 &amp; A20, AllocSched,9,FALSE))," ",VLOOKUP($F$5 &amp; A20, AllocSched,9,FALSE))</f>
        <v>001-011</v>
      </c>
      <c r="I20" s="56">
        <f t="shared" si="4"/>
        <v>101</v>
      </c>
    </row>
    <row r="21" spans="1:9" ht="12.75" customHeight="1">
      <c r="A21" s="115" t="s">
        <v>253</v>
      </c>
      <c r="B21" s="54"/>
      <c r="C21" s="16" t="str">
        <f t="shared" si="0"/>
        <v>-</v>
      </c>
      <c r="D21" s="112"/>
      <c r="E21" s="16" t="str">
        <f t="shared" si="5"/>
        <v>-</v>
      </c>
      <c r="F21" s="16"/>
      <c r="G21" s="16" t="str">
        <f t="shared" si="2"/>
        <v>-</v>
      </c>
      <c r="H21" s="55" t="str">
        <f>IF(ISNA(VLOOKUP($F$5 &amp; A21, AllocSched,9,FALSE))," ",VLOOKUP($F$5 &amp; A21, AllocSched,9,FALSE))</f>
        <v xml:space="preserve"> </v>
      </c>
      <c r="I21" s="56" t="str">
        <f t="shared" si="4"/>
        <v xml:space="preserve"> </v>
      </c>
    </row>
    <row r="22" spans="1:9" ht="12.75" customHeight="1">
      <c r="A22" s="115" t="s">
        <v>207</v>
      </c>
      <c r="B22" s="54"/>
      <c r="C22" s="16">
        <f t="shared" si="0"/>
        <v>0</v>
      </c>
      <c r="D22" s="112"/>
      <c r="E22" s="16">
        <f t="shared" si="5"/>
        <v>41991</v>
      </c>
      <c r="F22" s="16"/>
      <c r="G22" s="16">
        <f t="shared" si="2"/>
        <v>41991</v>
      </c>
      <c r="H22" s="55" t="str">
        <f t="shared" si="3"/>
        <v>001-011</v>
      </c>
      <c r="I22" s="56">
        <f t="shared" si="4"/>
        <v>101</v>
      </c>
    </row>
    <row r="23" spans="1:9" s="272" customFormat="1" ht="12.75" customHeight="1">
      <c r="A23" s="115" t="s">
        <v>203</v>
      </c>
      <c r="B23" s="54"/>
      <c r="C23" s="16">
        <f t="shared" si="0"/>
        <v>0</v>
      </c>
      <c r="D23" s="112"/>
      <c r="E23" s="16">
        <f t="shared" si="5"/>
        <v>-2504</v>
      </c>
      <c r="F23" s="16"/>
      <c r="G23" s="16">
        <f t="shared" si="2"/>
        <v>-2504</v>
      </c>
      <c r="H23" s="55" t="str">
        <f>IF(ISNA(VLOOKUP($F$5 &amp; A23, AllocSched,9,FALSE))," ",VLOOKUP($F$5 &amp; A23, AllocSched,9,FALSE))</f>
        <v>001-011</v>
      </c>
      <c r="I23" s="56">
        <f t="shared" si="4"/>
        <v>101</v>
      </c>
    </row>
    <row r="24" spans="1:9" s="272" customFormat="1" ht="12.75" customHeight="1">
      <c r="A24" s="115" t="s">
        <v>454</v>
      </c>
      <c r="B24" s="54"/>
      <c r="C24" s="16">
        <f t="shared" si="0"/>
        <v>0</v>
      </c>
      <c r="D24" s="112"/>
      <c r="E24" s="16">
        <f t="shared" si="5"/>
        <v>7879</v>
      </c>
      <c r="F24" s="16"/>
      <c r="G24" s="16">
        <f t="shared" si="2"/>
        <v>7879</v>
      </c>
      <c r="H24" s="55" t="str">
        <f>IF(ISNA(VLOOKUP($F$5 &amp; A24, AllocSched,9,FALSE))," ",VLOOKUP($F$5 &amp; A24, AllocSched,9,FALSE))</f>
        <v>001-011</v>
      </c>
      <c r="I24" s="56">
        <f t="shared" si="4"/>
        <v>101</v>
      </c>
    </row>
    <row r="25" spans="1:9" ht="12.75" customHeight="1">
      <c r="A25" s="115"/>
      <c r="B25" s="54"/>
      <c r="C25" s="16"/>
      <c r="D25" s="112"/>
      <c r="E25" s="16"/>
      <c r="F25" s="16"/>
      <c r="G25" s="16"/>
      <c r="H25" s="55" t="str">
        <f t="shared" si="3"/>
        <v xml:space="preserve"> </v>
      </c>
      <c r="I25" s="56" t="str">
        <f t="shared" si="4"/>
        <v xml:space="preserve"> </v>
      </c>
    </row>
    <row r="26" spans="1:9" s="83" customFormat="1">
      <c r="A26" s="114" t="s">
        <v>168</v>
      </c>
      <c r="B26" s="84"/>
      <c r="C26" s="16"/>
      <c r="D26" s="112"/>
      <c r="E26" s="16"/>
      <c r="F26" s="16"/>
      <c r="G26" s="16"/>
      <c r="H26" s="55" t="str">
        <f t="shared" si="3"/>
        <v xml:space="preserve"> </v>
      </c>
      <c r="I26" s="56" t="str">
        <f t="shared" si="4"/>
        <v xml:space="preserve"> </v>
      </c>
    </row>
    <row r="27" spans="1:9" ht="12.75" customHeight="1">
      <c r="A27" s="38" t="s">
        <v>222</v>
      </c>
      <c r="C27" s="16">
        <f>IF(ISNA(VLOOKUP($F$5 &amp;A27, AllocSched,12,FALSE)),"-",VLOOKUP($F$5 &amp;A27, AllocSched,12,FALSE))</f>
        <v>56544</v>
      </c>
      <c r="D27" s="112"/>
      <c r="E27" s="16">
        <f>IF(ISNA(VLOOKUP($F$5 &amp; A27, AllocSched,13,FALSE)),"-",VLOOKUP($F$5 &amp; A27, AllocSched,13,FALSE))</f>
        <v>-56544</v>
      </c>
      <c r="F27" s="16"/>
      <c r="G27" s="16">
        <f>IF(C27="-",E27,C27+E27)</f>
        <v>0</v>
      </c>
      <c r="H27" s="55" t="str">
        <f>IF(ISNA(VLOOKUP($F$5 &amp; A27, AllocSched,9,FALSE))," ",VLOOKUP($F$5 &amp; A27, AllocSched,9,FALSE))</f>
        <v>08A-3E0</v>
      </c>
      <c r="I27" s="56" t="str">
        <f t="shared" si="4"/>
        <v>3E0</v>
      </c>
    </row>
    <row r="28" spans="1:9" ht="12.75" customHeight="1">
      <c r="A28" s="38" t="s">
        <v>173</v>
      </c>
      <c r="C28" s="16">
        <f t="shared" ref="C28:C37" si="6">IF(ISNA(VLOOKUP($F$5 &amp;A28, AllocSched,12,FALSE)),"-",VLOOKUP($F$5 &amp;A28, AllocSched,12,FALSE))</f>
        <v>204157</v>
      </c>
      <c r="D28" s="112"/>
      <c r="E28" s="16">
        <f t="shared" ref="E28:E37" si="7">IF(ISNA(VLOOKUP($F$5 &amp; A28, AllocSched,13,FALSE)),"-",VLOOKUP($F$5 &amp; A28, AllocSched,13,FALSE))</f>
        <v>0</v>
      </c>
      <c r="F28" s="16"/>
      <c r="G28" s="16">
        <f t="shared" ref="G28:G37" si="8">IF(C28="-",E28,C28+E28)</f>
        <v>204157</v>
      </c>
      <c r="H28" s="55" t="str">
        <f>IF(ISNA(VLOOKUP($F$5 &amp; A28, AllocSched,9,FALSE))," ",VLOOKUP($F$5 &amp; A28, AllocSched,9,FALSE))</f>
        <v>001-011</v>
      </c>
      <c r="I28" s="56">
        <f t="shared" si="4"/>
        <v>101</v>
      </c>
    </row>
    <row r="29" spans="1:9" ht="12.75" customHeight="1">
      <c r="A29" s="38" t="s">
        <v>170</v>
      </c>
      <c r="C29" s="16">
        <f t="shared" si="6"/>
        <v>37792</v>
      </c>
      <c r="D29" s="112"/>
      <c r="E29" s="16">
        <f t="shared" si="7"/>
        <v>-5693</v>
      </c>
      <c r="F29" s="16"/>
      <c r="G29" s="16">
        <f t="shared" si="8"/>
        <v>32099</v>
      </c>
      <c r="H29" s="55" t="str">
        <f t="shared" si="3"/>
        <v>001-011</v>
      </c>
      <c r="I29" s="56">
        <f t="shared" si="4"/>
        <v>101</v>
      </c>
    </row>
    <row r="30" spans="1:9" ht="12.75" customHeight="1">
      <c r="A30" s="115" t="s">
        <v>151</v>
      </c>
      <c r="B30" s="54"/>
      <c r="C30" s="16">
        <f t="shared" si="6"/>
        <v>340000</v>
      </c>
      <c r="D30" s="112"/>
      <c r="E30" s="16">
        <f t="shared" si="7"/>
        <v>0</v>
      </c>
      <c r="F30" s="16"/>
      <c r="G30" s="16">
        <f t="shared" si="8"/>
        <v>340000</v>
      </c>
      <c r="H30" s="55" t="str">
        <f t="shared" si="3"/>
        <v>08A-3E0</v>
      </c>
      <c r="I30" s="56" t="str">
        <f t="shared" si="4"/>
        <v>3E0</v>
      </c>
    </row>
    <row r="31" spans="1:9" ht="12.75" customHeight="1">
      <c r="A31" s="115" t="s">
        <v>150</v>
      </c>
      <c r="B31" s="54"/>
      <c r="C31" s="16">
        <f t="shared" si="6"/>
        <v>29412</v>
      </c>
      <c r="D31" s="112"/>
      <c r="E31" s="16">
        <f t="shared" si="7"/>
        <v>0</v>
      </c>
      <c r="F31" s="16"/>
      <c r="G31" s="16">
        <f t="shared" si="8"/>
        <v>29412</v>
      </c>
      <c r="H31" s="55" t="str">
        <f t="shared" si="3"/>
        <v>001-011</v>
      </c>
      <c r="I31" s="56">
        <f t="shared" si="4"/>
        <v>101</v>
      </c>
    </row>
    <row r="32" spans="1:9" ht="12.75" customHeight="1">
      <c r="A32" s="115" t="s">
        <v>272</v>
      </c>
      <c r="B32" s="54"/>
      <c r="C32" s="16">
        <f t="shared" si="6"/>
        <v>45067</v>
      </c>
      <c r="D32" s="112"/>
      <c r="E32" s="16">
        <f t="shared" si="7"/>
        <v>0</v>
      </c>
      <c r="F32" s="16"/>
      <c r="G32" s="16">
        <f t="shared" si="8"/>
        <v>45067</v>
      </c>
      <c r="H32" s="55" t="str">
        <f t="shared" si="3"/>
        <v>001-BD1</v>
      </c>
      <c r="I32" s="56" t="str">
        <f t="shared" si="4"/>
        <v>BD1</v>
      </c>
    </row>
    <row r="33" spans="1:12" ht="12.75" customHeight="1">
      <c r="A33" s="115" t="s">
        <v>273</v>
      </c>
      <c r="B33" s="54"/>
      <c r="C33" s="16">
        <f>IF(ISNA(VLOOKUP($F$5 &amp;A33, AllocSched,12,FALSE)),"-",VLOOKUP($F$5 &amp;A33, AllocSched,12,FALSE))</f>
        <v>91846</v>
      </c>
      <c r="D33" s="112"/>
      <c r="E33" s="16">
        <f>IF(ISNA(VLOOKUP($F$5 &amp; A33, AllocSched,13,FALSE)),"-",VLOOKUP($F$5 &amp; A33, AllocSched,13,FALSE))</f>
        <v>-91846</v>
      </c>
      <c r="F33" s="16"/>
      <c r="G33" s="16">
        <f>IF(C33="-",E33,C33+E33)</f>
        <v>0</v>
      </c>
      <c r="H33" s="55" t="str">
        <f>IF(ISNA(VLOOKUP($F$5 &amp; A33, AllocSched,9,FALSE))," ",VLOOKUP($F$5 &amp; A33, AllocSched,9,FALSE))</f>
        <v>001-BD1</v>
      </c>
      <c r="I33" s="56" t="str">
        <f t="shared" si="4"/>
        <v>BD1</v>
      </c>
    </row>
    <row r="34" spans="1:12" ht="12.75" customHeight="1">
      <c r="A34" s="115" t="s">
        <v>6</v>
      </c>
      <c r="B34" s="54"/>
      <c r="C34" s="16">
        <f t="shared" si="6"/>
        <v>11145</v>
      </c>
      <c r="D34" s="112"/>
      <c r="E34" s="16">
        <f t="shared" si="7"/>
        <v>-1355</v>
      </c>
      <c r="F34" s="16"/>
      <c r="G34" s="16">
        <f t="shared" si="8"/>
        <v>9790</v>
      </c>
      <c r="H34" s="55" t="str">
        <f t="shared" si="3"/>
        <v>001-011</v>
      </c>
      <c r="I34" s="56">
        <f t="shared" si="4"/>
        <v>101</v>
      </c>
    </row>
    <row r="35" spans="1:12" ht="12.75" customHeight="1">
      <c r="A35" s="115" t="s">
        <v>333</v>
      </c>
      <c r="B35" s="54"/>
      <c r="C35" s="16">
        <f t="shared" si="6"/>
        <v>202601</v>
      </c>
      <c r="D35" s="112"/>
      <c r="E35" s="16">
        <f t="shared" si="7"/>
        <v>-100000</v>
      </c>
      <c r="F35" s="16"/>
      <c r="G35" s="16">
        <f t="shared" si="8"/>
        <v>102601</v>
      </c>
      <c r="H35" s="55" t="str">
        <f t="shared" si="3"/>
        <v>001-011</v>
      </c>
      <c r="I35" s="56">
        <f t="shared" si="4"/>
        <v>101</v>
      </c>
    </row>
    <row r="36" spans="1:12" ht="12.75" customHeight="1">
      <c r="A36" s="115" t="s">
        <v>332</v>
      </c>
      <c r="B36" s="54"/>
      <c r="C36" s="16">
        <f t="shared" si="6"/>
        <v>490097</v>
      </c>
      <c r="D36" s="112"/>
      <c r="E36" s="16">
        <f t="shared" si="7"/>
        <v>0</v>
      </c>
      <c r="F36" s="16"/>
      <c r="G36" s="16">
        <f t="shared" si="8"/>
        <v>490097</v>
      </c>
      <c r="H36" s="55" t="str">
        <f t="shared" si="3"/>
        <v>001-AC1</v>
      </c>
      <c r="I36" s="56">
        <f t="shared" si="4"/>
        <v>123</v>
      </c>
    </row>
    <row r="37" spans="1:12" ht="12.75" customHeight="1">
      <c r="A37" s="115" t="s">
        <v>215</v>
      </c>
      <c r="B37" s="54"/>
      <c r="C37" s="16">
        <f t="shared" si="6"/>
        <v>251125</v>
      </c>
      <c r="D37" s="112"/>
      <c r="E37" s="16">
        <f t="shared" si="7"/>
        <v>-251125</v>
      </c>
      <c r="F37" s="16"/>
      <c r="G37" s="16">
        <f t="shared" si="8"/>
        <v>0</v>
      </c>
      <c r="H37" s="55" t="str">
        <f t="shared" si="3"/>
        <v>001-AC1</v>
      </c>
      <c r="I37" s="56">
        <f t="shared" si="4"/>
        <v>123</v>
      </c>
    </row>
    <row r="38" spans="1:12" s="272" customFormat="1" ht="12.75" customHeight="1">
      <c r="A38" s="115" t="s">
        <v>449</v>
      </c>
      <c r="B38" s="54"/>
      <c r="C38" s="16">
        <f>IF(ISNA(VLOOKUP($F$5 &amp;A38, AllocSched,12,FALSE)),"-",VLOOKUP($F$5 &amp;A38, AllocSched,12,FALSE))</f>
        <v>0</v>
      </c>
      <c r="D38" s="112"/>
      <c r="E38" s="16">
        <f>IF(ISNA(VLOOKUP($F$5 &amp; A38, AllocSched,13,FALSE)),"-",VLOOKUP($F$5 &amp; A38, AllocSched,13,FALSE))</f>
        <v>55649</v>
      </c>
      <c r="F38" s="16"/>
      <c r="G38" s="16">
        <f>IF(C38="-",E38,C38+E38)</f>
        <v>55649</v>
      </c>
      <c r="H38" s="55" t="str">
        <f>IF(ISNA(VLOOKUP($F$5 &amp; A38, AllocSched,9,FALSE))," ",VLOOKUP($F$5 &amp; A38, AllocSched,9,FALSE))</f>
        <v>001-011</v>
      </c>
      <c r="I38" s="56">
        <f t="shared" si="4"/>
        <v>101</v>
      </c>
    </row>
    <row r="39" spans="1:12" ht="12.75" customHeight="1">
      <c r="A39" s="54"/>
      <c r="B39" s="54"/>
      <c r="C39" s="16"/>
      <c r="D39" s="112"/>
      <c r="E39" s="16"/>
      <c r="F39" s="16"/>
      <c r="G39" s="16"/>
      <c r="H39" s="55"/>
      <c r="I39" s="56"/>
    </row>
    <row r="40" spans="1:12" ht="13.5" thickBot="1">
      <c r="A40" s="89" t="s">
        <v>174</v>
      </c>
      <c r="B40" s="57" t="s">
        <v>51</v>
      </c>
      <c r="C40" s="111">
        <f>SUM(C16:C38)</f>
        <v>10672843</v>
      </c>
      <c r="D40" s="113" t="s">
        <v>51</v>
      </c>
      <c r="E40" s="111">
        <f>SUM(E16:E38)</f>
        <v>299648</v>
      </c>
      <c r="F40" s="113" t="s">
        <v>51</v>
      </c>
      <c r="G40" s="111">
        <f>SUM(G16:G38)</f>
        <v>10972491</v>
      </c>
      <c r="K40" s="25"/>
      <c r="L40" s="30"/>
    </row>
    <row r="41" spans="1:12" ht="12.75" customHeight="1" thickTop="1">
      <c r="A41" s="84"/>
      <c r="B41" s="84"/>
      <c r="C41" s="58">
        <v>0</v>
      </c>
      <c r="D41" s="58"/>
      <c r="E41" s="90"/>
      <c r="F41" s="90"/>
      <c r="G41" s="90"/>
    </row>
    <row r="42" spans="1:12" s="65" customFormat="1" ht="25.5">
      <c r="A42" s="59" t="s">
        <v>156</v>
      </c>
      <c r="B42" s="60"/>
      <c r="C42" s="61"/>
      <c r="D42" s="62"/>
      <c r="E42" s="63" t="s">
        <v>67</v>
      </c>
      <c r="F42" s="62"/>
      <c r="G42" s="64" t="s">
        <v>163</v>
      </c>
      <c r="H42" s="64" t="s">
        <v>164</v>
      </c>
      <c r="I42" s="98" t="s">
        <v>70</v>
      </c>
    </row>
    <row r="43" spans="1:12" s="65" customFormat="1" ht="12.75" customHeight="1">
      <c r="A43" s="66" t="s">
        <v>240</v>
      </c>
      <c r="B43" s="67"/>
      <c r="C43" s="68"/>
      <c r="E43" s="66" t="s">
        <v>353</v>
      </c>
      <c r="G43" s="150">
        <f t="shared" ref="G43:G53" si="9">VLOOKUP($F$5 &amp; $A43 &amp; $E43,AddRes,7,FALSE)</f>
        <v>0</v>
      </c>
      <c r="H43" s="150">
        <f t="shared" ref="H43:H53" si="10">VLOOKUP($F$5 &amp; $A43 &amp; $E43,AddRes,8,FALSE)</f>
        <v>0</v>
      </c>
      <c r="I43" s="69">
        <f t="shared" ref="I43" si="11">VLOOKUP($F$5 &amp; $A43 &amp; $E43,AddRes,10,FALSE)</f>
        <v>42277</v>
      </c>
    </row>
    <row r="44" spans="1:12" s="65" customFormat="1" ht="12.75" customHeight="1">
      <c r="A44" s="66" t="s">
        <v>497</v>
      </c>
      <c r="B44" s="67"/>
      <c r="C44" s="68"/>
      <c r="E44" s="66" t="s">
        <v>534</v>
      </c>
      <c r="G44" s="150">
        <f t="shared" si="9"/>
        <v>0</v>
      </c>
      <c r="H44" s="150">
        <f t="shared" si="10"/>
        <v>0</v>
      </c>
      <c r="I44" s="69">
        <f t="shared" ref="I44:I53" si="12">VLOOKUP($F$5 &amp; $A44 &amp; $E44,AddRes,10,FALSE)</f>
        <v>42551</v>
      </c>
    </row>
    <row r="45" spans="1:12" s="65" customFormat="1" ht="12.75" customHeight="1">
      <c r="A45" s="66" t="s">
        <v>498</v>
      </c>
      <c r="B45" s="67"/>
      <c r="C45" s="68"/>
      <c r="E45" s="66" t="s">
        <v>535</v>
      </c>
      <c r="G45" s="150">
        <f t="shared" si="9"/>
        <v>0</v>
      </c>
      <c r="H45" s="150">
        <f t="shared" si="10"/>
        <v>0</v>
      </c>
      <c r="I45" s="69">
        <f t="shared" si="12"/>
        <v>42551</v>
      </c>
    </row>
    <row r="46" spans="1:12" s="65" customFormat="1" ht="12.75" customHeight="1">
      <c r="A46" s="66" t="s">
        <v>505</v>
      </c>
      <c r="B46" s="67"/>
      <c r="C46" s="68"/>
      <c r="E46" s="66" t="s">
        <v>536</v>
      </c>
      <c r="G46" s="150">
        <f t="shared" si="9"/>
        <v>0</v>
      </c>
      <c r="H46" s="150">
        <f t="shared" si="10"/>
        <v>0</v>
      </c>
      <c r="I46" s="69">
        <f t="shared" si="12"/>
        <v>42551</v>
      </c>
    </row>
    <row r="47" spans="1:12" s="65" customFormat="1" ht="12.75" customHeight="1">
      <c r="A47" s="66" t="s">
        <v>267</v>
      </c>
      <c r="B47" s="67"/>
      <c r="C47" s="68"/>
      <c r="E47" s="66" t="s">
        <v>537</v>
      </c>
      <c r="G47" s="150">
        <f t="shared" si="9"/>
        <v>0</v>
      </c>
      <c r="H47" s="150">
        <f t="shared" si="10"/>
        <v>0</v>
      </c>
      <c r="I47" s="69">
        <f t="shared" si="12"/>
        <v>42551</v>
      </c>
    </row>
    <row r="48" spans="1:12" s="65" customFormat="1" ht="12.75" customHeight="1">
      <c r="A48" s="66" t="s">
        <v>241</v>
      </c>
      <c r="B48" s="67"/>
      <c r="C48" s="68"/>
      <c r="E48" s="66" t="s">
        <v>538</v>
      </c>
      <c r="G48" s="150">
        <f t="shared" si="9"/>
        <v>0</v>
      </c>
      <c r="H48" s="150">
        <f t="shared" si="10"/>
        <v>0</v>
      </c>
      <c r="I48" s="69">
        <f t="shared" si="12"/>
        <v>42551</v>
      </c>
    </row>
    <row r="49" spans="1:12" ht="12.75" customHeight="1">
      <c r="A49" s="23" t="s">
        <v>234</v>
      </c>
      <c r="E49" s="25" t="s">
        <v>539</v>
      </c>
      <c r="G49" s="150">
        <f t="shared" si="9"/>
        <v>0</v>
      </c>
      <c r="H49" s="150">
        <f t="shared" si="10"/>
        <v>0</v>
      </c>
      <c r="I49" s="69">
        <f t="shared" si="12"/>
        <v>42551</v>
      </c>
    </row>
    <row r="50" spans="1:12" s="65" customFormat="1" ht="12.75" customHeight="1">
      <c r="A50" s="66" t="s">
        <v>233</v>
      </c>
      <c r="B50" s="67"/>
      <c r="C50" s="68"/>
      <c r="E50" s="66" t="s">
        <v>540</v>
      </c>
      <c r="G50" s="150">
        <f t="shared" si="9"/>
        <v>0</v>
      </c>
      <c r="H50" s="150">
        <f t="shared" si="10"/>
        <v>0</v>
      </c>
      <c r="I50" s="69">
        <f t="shared" si="12"/>
        <v>42551</v>
      </c>
    </row>
    <row r="51" spans="1:12" s="65" customFormat="1" ht="12.75" customHeight="1">
      <c r="A51" s="66" t="s">
        <v>231</v>
      </c>
      <c r="B51" s="67"/>
      <c r="C51" s="68"/>
      <c r="E51" s="66" t="s">
        <v>541</v>
      </c>
      <c r="G51" s="150">
        <f t="shared" si="9"/>
        <v>0</v>
      </c>
      <c r="H51" s="150">
        <f t="shared" si="10"/>
        <v>0</v>
      </c>
      <c r="I51" s="69">
        <f t="shared" si="12"/>
        <v>42551</v>
      </c>
    </row>
    <row r="52" spans="1:12" s="65" customFormat="1" ht="12.75" customHeight="1">
      <c r="A52" s="66" t="s">
        <v>506</v>
      </c>
      <c r="B52" s="67"/>
      <c r="C52" s="68"/>
      <c r="E52" s="66" t="s">
        <v>542</v>
      </c>
      <c r="G52" s="150">
        <f t="shared" si="9"/>
        <v>0</v>
      </c>
      <c r="H52" s="150">
        <f t="shared" si="10"/>
        <v>0</v>
      </c>
      <c r="I52" s="69">
        <f t="shared" si="12"/>
        <v>42551</v>
      </c>
    </row>
    <row r="53" spans="1:12" s="65" customFormat="1" ht="12.75" customHeight="1">
      <c r="A53" s="66" t="s">
        <v>232</v>
      </c>
      <c r="B53" s="67"/>
      <c r="C53" s="68"/>
      <c r="E53" s="66" t="s">
        <v>543</v>
      </c>
      <c r="G53" s="150">
        <f t="shared" si="9"/>
        <v>0</v>
      </c>
      <c r="H53" s="150">
        <f t="shared" si="10"/>
        <v>0</v>
      </c>
      <c r="I53" s="69">
        <f t="shared" si="12"/>
        <v>42551</v>
      </c>
      <c r="K53" s="75"/>
      <c r="L53" s="75"/>
    </row>
    <row r="54" spans="1:12" s="65" customFormat="1" ht="12.75" customHeight="1">
      <c r="A54" s="66"/>
      <c r="C54" s="70"/>
      <c r="D54" s="70"/>
      <c r="E54" s="70"/>
      <c r="F54" s="70"/>
      <c r="G54" s="71"/>
      <c r="H54" s="72"/>
      <c r="I54" s="73"/>
    </row>
    <row r="55" spans="1:12" s="65" customFormat="1" ht="12.75" customHeight="1">
      <c r="C55" s="74" t="s">
        <v>71</v>
      </c>
      <c r="D55" s="70"/>
      <c r="E55" s="70"/>
      <c r="F55" s="70"/>
      <c r="G55" s="75">
        <f>SUM(G43:G53)</f>
        <v>0</v>
      </c>
      <c r="H55" s="75">
        <f>SUM(H43:H53)</f>
        <v>0</v>
      </c>
      <c r="I55" s="73"/>
    </row>
    <row r="56" spans="1:12" s="65" customFormat="1" ht="12.75" customHeight="1">
      <c r="C56" s="70"/>
      <c r="D56" s="70"/>
      <c r="E56" s="70"/>
      <c r="F56" s="70"/>
      <c r="G56" s="70"/>
      <c r="I56" s="73"/>
    </row>
    <row r="57" spans="1:12" s="65" customFormat="1" ht="12.75" customHeight="1">
      <c r="C57" s="70"/>
      <c r="D57" s="70"/>
      <c r="E57" s="70"/>
      <c r="F57" s="70"/>
      <c r="G57" s="70"/>
      <c r="I57" s="73"/>
    </row>
    <row r="58" spans="1:12" s="65" customFormat="1" ht="12.75" customHeight="1">
      <c r="C58" s="70"/>
      <c r="D58" s="70"/>
      <c r="E58" s="70"/>
      <c r="F58" s="70"/>
      <c r="G58" s="70"/>
      <c r="I58" s="73"/>
    </row>
    <row r="59" spans="1:12" s="65" customFormat="1" ht="12.75" customHeight="1">
      <c r="C59" s="70"/>
      <c r="D59" s="70"/>
      <c r="E59" s="70"/>
      <c r="F59" s="70"/>
      <c r="G59" s="70"/>
      <c r="I59" s="73"/>
    </row>
    <row r="60" spans="1:12" s="65" customFormat="1" ht="12.75" customHeight="1">
      <c r="C60" s="70"/>
      <c r="D60" s="70"/>
      <c r="E60" s="70"/>
      <c r="F60" s="70"/>
      <c r="G60" s="70"/>
      <c r="I60" s="73"/>
    </row>
    <row r="61" spans="1:12" s="65" customFormat="1" ht="12.75" customHeight="1">
      <c r="C61" s="70"/>
      <c r="D61" s="70"/>
      <c r="E61" s="70"/>
      <c r="F61" s="70"/>
      <c r="G61" s="70"/>
      <c r="I61" s="73"/>
    </row>
    <row r="62" spans="1:12" s="65" customFormat="1" ht="12.75" customHeight="1">
      <c r="C62" s="70"/>
      <c r="D62" s="70"/>
      <c r="E62" s="70"/>
      <c r="F62" s="70"/>
      <c r="G62" s="70"/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  <row r="139" spans="3:9" s="65" customFormat="1" ht="12.75" customHeight="1">
      <c r="C139" s="70"/>
      <c r="D139" s="70"/>
      <c r="E139" s="70"/>
      <c r="F139" s="70"/>
      <c r="G139" s="70"/>
      <c r="I139" s="73"/>
    </row>
    <row r="140" spans="3:9" s="65" customFormat="1" ht="12.75" customHeight="1">
      <c r="C140" s="70"/>
      <c r="D140" s="70"/>
      <c r="E140" s="70"/>
      <c r="F140" s="70"/>
      <c r="G140" s="70"/>
      <c r="I140" s="73"/>
    </row>
    <row r="141" spans="3:9" s="65" customFormat="1" ht="12.75" customHeight="1">
      <c r="C141" s="70"/>
      <c r="D141" s="70"/>
      <c r="E141" s="70"/>
      <c r="F141" s="70"/>
      <c r="G141" s="70"/>
      <c r="I141" s="73"/>
    </row>
  </sheetData>
  <mergeCells count="2">
    <mergeCell ref="A8:I8"/>
    <mergeCell ref="G5:I5"/>
  </mergeCells>
  <phoneticPr fontId="0" type="noConversion"/>
  <conditionalFormatting sqref="G40">
    <cfRule type="cellIs" dxfId="26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L144"/>
  <sheetViews>
    <sheetView topLeftCell="A3"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9.140625" style="23"/>
    <col min="11" max="11" width="13.5703125" style="23" bestFit="1" customWidth="1"/>
    <col min="12" max="12" width="12.42578125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128</v>
      </c>
      <c r="G5" s="505" t="str">
        <f>VLOOKUP($F5,District,2,FALSE)</f>
        <v>Clark College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6877</v>
      </c>
      <c r="D10" s="48"/>
      <c r="E10" s="48">
        <f>IF(ISNA(VLOOKUP($F$5,Student,14,FALSE)),0,VLOOKUP($F$5,Student,14,FALSE))</f>
        <v>40</v>
      </c>
      <c r="F10" s="48"/>
      <c r="G10" s="48">
        <f>$E$10+$C$10+$A$10</f>
        <v>6917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24" si="0">IF(ISNA(VLOOKUP($F$5 &amp;A16, AllocSched,12,FALSE)),"-",VLOOKUP($F$5 &amp;A16, AllocSched,12,FALSE))</f>
        <v>21756183</v>
      </c>
      <c r="D16" s="112" t="s">
        <v>51</v>
      </c>
      <c r="E16" s="16">
        <f t="shared" ref="E16:E24" si="1">IF(ISNA(VLOOKUP($F$5 &amp; A16, AllocSched,13,FALSE)),"-",VLOOKUP($F$5 &amp; A16, AllocSched,13,FALSE))</f>
        <v>-26124</v>
      </c>
      <c r="F16" s="16" t="s">
        <v>51</v>
      </c>
      <c r="G16" s="16">
        <f>IF(C16="-",E16,C16+E16)</f>
        <v>21730059</v>
      </c>
      <c r="H16" s="55" t="str">
        <f t="shared" ref="H16:H40" si="2">IF(ISNA(VLOOKUP($F$5 &amp; A16, AllocSched,9,FALSE))," ",VLOOKUP($F$5 &amp; A16, AllocSched,9,FALSE))</f>
        <v>001-011</v>
      </c>
      <c r="I16" s="56">
        <f t="shared" ref="I16:I41" si="3">IF(ISNA(VLOOKUP($F$5 &amp; A16, AllocSched,14,FALSE))," ",VLOOKUP($F$5 &amp; A16, AllocSched,14,FALSE))</f>
        <v>101</v>
      </c>
    </row>
    <row r="17" spans="1:9" ht="12.75" customHeight="1">
      <c r="A17" s="115" t="s">
        <v>171</v>
      </c>
      <c r="B17" s="54"/>
      <c r="C17" s="16">
        <f t="shared" si="0"/>
        <v>1757000</v>
      </c>
      <c r="D17" s="112"/>
      <c r="E17" s="16">
        <f t="shared" si="1"/>
        <v>26124</v>
      </c>
      <c r="F17" s="16"/>
      <c r="G17" s="16">
        <f t="shared" ref="G17" si="4">IF(C17="-",E17,C17+E17)</f>
        <v>1783124</v>
      </c>
      <c r="H17" s="55" t="str">
        <f t="shared" si="2"/>
        <v>08A-3E0</v>
      </c>
      <c r="I17" s="56" t="str">
        <f t="shared" si="3"/>
        <v>3E0</v>
      </c>
    </row>
    <row r="18" spans="1:9" s="272" customFormat="1" ht="12.75" customHeight="1">
      <c r="A18" s="38" t="s">
        <v>781</v>
      </c>
      <c r="B18" s="54"/>
      <c r="C18" s="16">
        <f t="shared" si="0"/>
        <v>0</v>
      </c>
      <c r="D18" s="112"/>
      <c r="E18" s="16">
        <f t="shared" si="1"/>
        <v>182624</v>
      </c>
      <c r="F18" s="16"/>
      <c r="G18" s="16">
        <f t="shared" ref="G18:G24" si="5">IF(C18="-",E18,C18+E18)</f>
        <v>182624</v>
      </c>
      <c r="H18" s="55" t="str">
        <f>IF(ISNA(VLOOKUP($F$5 &amp; A18, AllocSched,9,FALSE))," ",VLOOKUP($F$5 &amp; A18, AllocSched,9,FALSE))</f>
        <v>001-011</v>
      </c>
      <c r="I18" s="56">
        <f t="shared" si="3"/>
        <v>101</v>
      </c>
    </row>
    <row r="19" spans="1:9" s="272" customFormat="1" ht="12.75" customHeight="1">
      <c r="A19" s="115" t="s">
        <v>448</v>
      </c>
      <c r="B19" s="54"/>
      <c r="C19" s="16">
        <f t="shared" si="0"/>
        <v>0</v>
      </c>
      <c r="D19" s="112"/>
      <c r="E19" s="16">
        <f t="shared" si="1"/>
        <v>573266</v>
      </c>
      <c r="F19" s="16"/>
      <c r="G19" s="16">
        <f t="shared" si="5"/>
        <v>573266</v>
      </c>
      <c r="H19" s="55" t="str">
        <f>IF(ISNA(VLOOKUP($F$5 &amp; A19, AllocSched,9,FALSE))," ",VLOOKUP($F$5 &amp; A19, AllocSched,9,FALSE))</f>
        <v>001-011</v>
      </c>
      <c r="I19" s="56">
        <f t="shared" si="3"/>
        <v>101</v>
      </c>
    </row>
    <row r="20" spans="1:9" s="269" customFormat="1" ht="12.75" customHeight="1">
      <c r="A20" s="115" t="s">
        <v>340</v>
      </c>
      <c r="B20" s="54"/>
      <c r="C20" s="16">
        <f t="shared" si="0"/>
        <v>0</v>
      </c>
      <c r="D20" s="112"/>
      <c r="E20" s="16">
        <f t="shared" si="1"/>
        <v>1606722</v>
      </c>
      <c r="F20" s="16"/>
      <c r="G20" s="16">
        <f t="shared" si="5"/>
        <v>1606722</v>
      </c>
      <c r="H20" s="55" t="str">
        <f>IF(ISNA(VLOOKUP($F$5 &amp; A20, AllocSched,9,FALSE))," ",VLOOKUP($F$5 &amp; A20, AllocSched,9,FALSE))</f>
        <v>001-011</v>
      </c>
      <c r="I20" s="56">
        <f t="shared" si="3"/>
        <v>101</v>
      </c>
    </row>
    <row r="21" spans="1:9" s="272" customFormat="1" ht="12.75" customHeight="1">
      <c r="A21" s="115" t="s">
        <v>253</v>
      </c>
      <c r="B21" s="54"/>
      <c r="C21" s="16">
        <f t="shared" si="0"/>
        <v>0</v>
      </c>
      <c r="D21" s="112"/>
      <c r="E21" s="16">
        <f t="shared" si="1"/>
        <v>209000</v>
      </c>
      <c r="F21" s="16"/>
      <c r="G21" s="16">
        <f t="shared" si="5"/>
        <v>209000</v>
      </c>
      <c r="H21" s="55" t="str">
        <f>IF(ISNA(VLOOKUP($F$5 &amp; A21, AllocSched,9,FALSE))," ",VLOOKUP($F$5 &amp; A21, AllocSched,9,FALSE))</f>
        <v>001-011</v>
      </c>
      <c r="I21" s="56">
        <f t="shared" si="3"/>
        <v>101</v>
      </c>
    </row>
    <row r="22" spans="1:9" ht="12.75" customHeight="1">
      <c r="A22" s="115" t="s">
        <v>207</v>
      </c>
      <c r="B22" s="54"/>
      <c r="C22" s="16">
        <f t="shared" si="0"/>
        <v>0</v>
      </c>
      <c r="D22" s="112"/>
      <c r="E22" s="16">
        <f t="shared" si="1"/>
        <v>161564</v>
      </c>
      <c r="F22" s="16"/>
      <c r="G22" s="16">
        <f t="shared" si="5"/>
        <v>161564</v>
      </c>
      <c r="H22" s="55" t="str">
        <f t="shared" si="2"/>
        <v>001-011</v>
      </c>
      <c r="I22" s="56">
        <f t="shared" si="3"/>
        <v>101</v>
      </c>
    </row>
    <row r="23" spans="1:9" s="272" customFormat="1" ht="12.75" customHeight="1">
      <c r="A23" s="115" t="s">
        <v>203</v>
      </c>
      <c r="B23" s="54"/>
      <c r="C23" s="16">
        <f t="shared" si="0"/>
        <v>0</v>
      </c>
      <c r="D23" s="112"/>
      <c r="E23" s="16">
        <f t="shared" si="1"/>
        <v>-6556</v>
      </c>
      <c r="F23" s="16"/>
      <c r="G23" s="16">
        <f t="shared" si="5"/>
        <v>-6556</v>
      </c>
      <c r="H23" s="55" t="str">
        <f>IF(ISNA(VLOOKUP($F$5 &amp; A23, AllocSched,9,FALSE))," ",VLOOKUP($F$5 &amp; A23, AllocSched,9,FALSE))</f>
        <v>001-011</v>
      </c>
      <c r="I23" s="56">
        <f t="shared" si="3"/>
        <v>101</v>
      </c>
    </row>
    <row r="24" spans="1:9" s="272" customFormat="1" ht="12.75" customHeight="1">
      <c r="A24" s="115" t="s">
        <v>454</v>
      </c>
      <c r="B24" s="54"/>
      <c r="C24" s="16">
        <f t="shared" si="0"/>
        <v>0</v>
      </c>
      <c r="D24" s="112"/>
      <c r="E24" s="16">
        <f t="shared" si="1"/>
        <v>-5722</v>
      </c>
      <c r="F24" s="16"/>
      <c r="G24" s="16">
        <f t="shared" si="5"/>
        <v>-5722</v>
      </c>
      <c r="H24" s="55" t="str">
        <f>IF(ISNA(VLOOKUP($F$5 &amp; A24, AllocSched,9,FALSE))," ",VLOOKUP($F$5 &amp; A24, AllocSched,9,FALSE))</f>
        <v>001-011</v>
      </c>
      <c r="I24" s="56">
        <f t="shared" si="3"/>
        <v>101</v>
      </c>
    </row>
    <row r="25" spans="1:9" ht="12.75" customHeight="1">
      <c r="A25" s="115"/>
      <c r="B25" s="54"/>
      <c r="C25" s="16"/>
      <c r="D25" s="112"/>
      <c r="E25" s="16"/>
      <c r="F25" s="16"/>
      <c r="G25" s="16"/>
      <c r="H25" s="55" t="str">
        <f t="shared" si="2"/>
        <v xml:space="preserve"> </v>
      </c>
      <c r="I25" s="56" t="str">
        <f t="shared" si="3"/>
        <v xml:space="preserve"> </v>
      </c>
    </row>
    <row r="26" spans="1:9" s="83" customFormat="1">
      <c r="A26" s="114" t="s">
        <v>168</v>
      </c>
      <c r="B26" s="84"/>
      <c r="C26" s="16"/>
      <c r="D26" s="112"/>
      <c r="E26" s="16"/>
      <c r="F26" s="16"/>
      <c r="G26" s="16"/>
      <c r="H26" s="55" t="str">
        <f t="shared" si="2"/>
        <v xml:space="preserve"> </v>
      </c>
      <c r="I26" s="56" t="str">
        <f t="shared" si="3"/>
        <v xml:space="preserve"> </v>
      </c>
    </row>
    <row r="27" spans="1:9" s="83" customFormat="1">
      <c r="A27" s="38" t="s">
        <v>345</v>
      </c>
      <c r="B27" s="272"/>
      <c r="C27" s="16">
        <f t="shared" ref="C27:C41" si="6">IF(ISNA(VLOOKUP($F$5 &amp;A27, AllocSched,12,FALSE)),"-",VLOOKUP($F$5 &amp;A27, AllocSched,12,FALSE))</f>
        <v>315501</v>
      </c>
      <c r="D27" s="112"/>
      <c r="E27" s="16">
        <f>IF(ISNA(VLOOKUP($F$5 &amp; A27, AllocSched,13,FALSE)),"-",VLOOKUP($F$5 &amp; A27, AllocSched,13,FALSE))</f>
        <v>0</v>
      </c>
      <c r="F27" s="16"/>
      <c r="G27" s="16">
        <f>IF(C27="-",E27,C27+E27)</f>
        <v>315501</v>
      </c>
      <c r="H27" s="55" t="str">
        <f>IF(ISNA(VLOOKUP($F$5 &amp; A27, AllocSched,9,FALSE))," ",VLOOKUP($F$5 &amp; A27, AllocSched,9,FALSE))</f>
        <v>001-011</v>
      </c>
      <c r="I27" s="56">
        <f t="shared" si="3"/>
        <v>101</v>
      </c>
    </row>
    <row r="28" spans="1:9" ht="12.75" customHeight="1">
      <c r="A28" s="38" t="s">
        <v>222</v>
      </c>
      <c r="C28" s="16">
        <f t="shared" si="6"/>
        <v>130256</v>
      </c>
      <c r="D28" s="112"/>
      <c r="E28" s="16">
        <f>IF(ISNA(VLOOKUP($F$5 &amp; A28, AllocSched,13,FALSE)),"-",VLOOKUP($F$5 &amp; A28, AllocSched,13,FALSE))</f>
        <v>-130256</v>
      </c>
      <c r="F28" s="16"/>
      <c r="G28" s="16">
        <f>IF(C28="-",E28,C28+E28)</f>
        <v>0</v>
      </c>
      <c r="H28" s="55" t="str">
        <f>IF(ISNA(VLOOKUP($F$5 &amp; A28, AllocSched,9,FALSE))," ",VLOOKUP($F$5 &amp; A28, AllocSched,9,FALSE))</f>
        <v>08A-3E0</v>
      </c>
      <c r="I28" s="56" t="str">
        <f t="shared" si="3"/>
        <v>3E0</v>
      </c>
    </row>
    <row r="29" spans="1:9" ht="12.75" customHeight="1">
      <c r="A29" s="38" t="s">
        <v>170</v>
      </c>
      <c r="C29" s="16">
        <f t="shared" si="6"/>
        <v>67087</v>
      </c>
      <c r="D29" s="112"/>
      <c r="E29" s="16">
        <f t="shared" ref="E29:E40" si="7">IF(ISNA(VLOOKUP($F$5 &amp; A29, AllocSched,13,FALSE)),"-",VLOOKUP($F$5 &amp; A29, AllocSched,13,FALSE))</f>
        <v>34244</v>
      </c>
      <c r="F29" s="16"/>
      <c r="G29" s="16">
        <f t="shared" ref="G29:G40" si="8">IF(C29="-",E29,C29+E29)</f>
        <v>101331</v>
      </c>
      <c r="H29" s="55" t="str">
        <f t="shared" si="2"/>
        <v>001-011</v>
      </c>
      <c r="I29" s="56">
        <f t="shared" si="3"/>
        <v>101</v>
      </c>
    </row>
    <row r="30" spans="1:9" s="272" customFormat="1" ht="12.75" customHeight="1">
      <c r="A30" s="115" t="s">
        <v>162</v>
      </c>
      <c r="C30" s="16">
        <f t="shared" si="6"/>
        <v>71127</v>
      </c>
      <c r="D30" s="112"/>
      <c r="E30" s="16">
        <f>IF(ISNA(VLOOKUP($F$5 &amp; A30, AllocSched,13,FALSE)),"-",VLOOKUP($F$5 &amp; A30, AllocSched,13,FALSE))</f>
        <v>-71127</v>
      </c>
      <c r="F30" s="16"/>
      <c r="G30" s="16">
        <f>IF(C30="-",E30,C30+E30)</f>
        <v>0</v>
      </c>
      <c r="H30" s="55" t="str">
        <f>IF(ISNA(VLOOKUP($F$5 &amp; A30, AllocSched,9,FALSE))," ",VLOOKUP($F$5 &amp; A30, AllocSched,9,FALSE))</f>
        <v>001-011</v>
      </c>
      <c r="I30" s="56">
        <f t="shared" si="3"/>
        <v>101</v>
      </c>
    </row>
    <row r="31" spans="1:9" ht="12.75" customHeight="1">
      <c r="A31" s="115" t="s">
        <v>151</v>
      </c>
      <c r="B31" s="54"/>
      <c r="C31" s="16">
        <f t="shared" si="6"/>
        <v>250000</v>
      </c>
      <c r="D31" s="112"/>
      <c r="E31" s="16">
        <f t="shared" si="7"/>
        <v>0</v>
      </c>
      <c r="F31" s="16"/>
      <c r="G31" s="16">
        <f t="shared" si="8"/>
        <v>250000</v>
      </c>
      <c r="H31" s="55" t="str">
        <f t="shared" si="2"/>
        <v>08A-3E0</v>
      </c>
      <c r="I31" s="56" t="str">
        <f t="shared" si="3"/>
        <v>3E0</v>
      </c>
    </row>
    <row r="32" spans="1:9" ht="12.75" customHeight="1">
      <c r="A32" s="115" t="s">
        <v>150</v>
      </c>
      <c r="B32" s="54"/>
      <c r="C32" s="16">
        <f t="shared" si="6"/>
        <v>29412</v>
      </c>
      <c r="D32" s="112"/>
      <c r="E32" s="16">
        <f t="shared" si="7"/>
        <v>0</v>
      </c>
      <c r="F32" s="16"/>
      <c r="G32" s="16">
        <f t="shared" si="8"/>
        <v>29412</v>
      </c>
      <c r="H32" s="55" t="str">
        <f t="shared" si="2"/>
        <v>001-011</v>
      </c>
      <c r="I32" s="56">
        <f t="shared" si="3"/>
        <v>101</v>
      </c>
    </row>
    <row r="33" spans="1:12" ht="12.75" customHeight="1">
      <c r="A33" s="115" t="s">
        <v>272</v>
      </c>
      <c r="B33" s="54"/>
      <c r="C33" s="16">
        <f t="shared" si="6"/>
        <v>12180</v>
      </c>
      <c r="D33" s="112"/>
      <c r="E33" s="16">
        <f t="shared" si="7"/>
        <v>0</v>
      </c>
      <c r="F33" s="16"/>
      <c r="G33" s="16">
        <f t="shared" si="8"/>
        <v>12180</v>
      </c>
      <c r="H33" s="55" t="str">
        <f t="shared" si="2"/>
        <v>001-BD1</v>
      </c>
      <c r="I33" s="56" t="str">
        <f t="shared" si="3"/>
        <v>BD1</v>
      </c>
    </row>
    <row r="34" spans="1:12" ht="12.75" customHeight="1">
      <c r="A34" s="115" t="s">
        <v>273</v>
      </c>
      <c r="B34" s="54"/>
      <c r="C34" s="16">
        <f t="shared" si="6"/>
        <v>207904</v>
      </c>
      <c r="D34" s="112"/>
      <c r="E34" s="16">
        <f>IF(ISNA(VLOOKUP($F$5 &amp; A34, AllocSched,13,FALSE)),"-",VLOOKUP($F$5 &amp; A34, AllocSched,13,FALSE))</f>
        <v>-207904</v>
      </c>
      <c r="F34" s="16"/>
      <c r="G34" s="16">
        <f>IF(C34="-",E34,C34+E34)</f>
        <v>0</v>
      </c>
      <c r="H34" s="55" t="str">
        <f>IF(ISNA(VLOOKUP($F$5 &amp; A34, AllocSched,9,FALSE))," ",VLOOKUP($F$5 &amp; A34, AllocSched,9,FALSE))</f>
        <v>001-BD1</v>
      </c>
      <c r="I34" s="56" t="str">
        <f t="shared" si="3"/>
        <v>BD1</v>
      </c>
    </row>
    <row r="35" spans="1:12" ht="12.75" customHeight="1">
      <c r="A35" s="115" t="s">
        <v>6</v>
      </c>
      <c r="B35" s="54"/>
      <c r="C35" s="16">
        <f t="shared" si="6"/>
        <v>34849</v>
      </c>
      <c r="D35" s="112"/>
      <c r="E35" s="16">
        <f t="shared" si="7"/>
        <v>11861</v>
      </c>
      <c r="F35" s="16"/>
      <c r="G35" s="16">
        <f t="shared" si="8"/>
        <v>46710</v>
      </c>
      <c r="H35" s="55" t="str">
        <f t="shared" si="2"/>
        <v>001-011</v>
      </c>
      <c r="I35" s="56">
        <f t="shared" si="3"/>
        <v>101</v>
      </c>
    </row>
    <row r="36" spans="1:12" ht="12.75" customHeight="1">
      <c r="A36" s="115" t="s">
        <v>66</v>
      </c>
      <c r="B36" s="54"/>
      <c r="C36" s="16">
        <f t="shared" si="6"/>
        <v>83514</v>
      </c>
      <c r="D36" s="112"/>
      <c r="E36" s="16">
        <f t="shared" si="7"/>
        <v>0</v>
      </c>
      <c r="F36" s="16"/>
      <c r="G36" s="16">
        <f t="shared" si="8"/>
        <v>83514</v>
      </c>
      <c r="H36" s="55" t="str">
        <f t="shared" si="2"/>
        <v>08A-3E0</v>
      </c>
      <c r="I36" s="56" t="str">
        <f t="shared" si="3"/>
        <v>3E0</v>
      </c>
    </row>
    <row r="37" spans="1:12" ht="12.75" customHeight="1">
      <c r="A37" s="115" t="s">
        <v>65</v>
      </c>
      <c r="B37" s="54"/>
      <c r="C37" s="16">
        <f t="shared" si="6"/>
        <v>13604</v>
      </c>
      <c r="D37" s="112"/>
      <c r="E37" s="16">
        <f t="shared" si="7"/>
        <v>0</v>
      </c>
      <c r="F37" s="16"/>
      <c r="G37" s="16">
        <f t="shared" si="8"/>
        <v>13604</v>
      </c>
      <c r="H37" s="55" t="str">
        <f t="shared" si="2"/>
        <v>001-011</v>
      </c>
      <c r="I37" s="56">
        <f t="shared" si="3"/>
        <v>101</v>
      </c>
    </row>
    <row r="38" spans="1:12" ht="12.75" customHeight="1">
      <c r="A38" s="115" t="s">
        <v>333</v>
      </c>
      <c r="B38" s="54"/>
      <c r="C38" s="16">
        <f t="shared" si="6"/>
        <v>126473</v>
      </c>
      <c r="D38" s="112"/>
      <c r="E38" s="16">
        <f t="shared" si="7"/>
        <v>-15000</v>
      </c>
      <c r="F38" s="16"/>
      <c r="G38" s="16">
        <f t="shared" si="8"/>
        <v>111473</v>
      </c>
      <c r="H38" s="55" t="str">
        <f t="shared" si="2"/>
        <v>001-011</v>
      </c>
      <c r="I38" s="56">
        <f t="shared" si="3"/>
        <v>101</v>
      </c>
    </row>
    <row r="39" spans="1:12" ht="12.75" customHeight="1">
      <c r="A39" s="115" t="s">
        <v>332</v>
      </c>
      <c r="B39" s="54"/>
      <c r="C39" s="16">
        <f t="shared" si="6"/>
        <v>532475</v>
      </c>
      <c r="D39" s="112"/>
      <c r="E39" s="16">
        <f t="shared" si="7"/>
        <v>0</v>
      </c>
      <c r="F39" s="16"/>
      <c r="G39" s="16">
        <f t="shared" si="8"/>
        <v>532475</v>
      </c>
      <c r="H39" s="55" t="str">
        <f t="shared" si="2"/>
        <v>001-AC1</v>
      </c>
      <c r="I39" s="56">
        <f t="shared" si="3"/>
        <v>123</v>
      </c>
    </row>
    <row r="40" spans="1:12" ht="12.75" customHeight="1">
      <c r="A40" s="115" t="s">
        <v>215</v>
      </c>
      <c r="B40" s="54"/>
      <c r="C40" s="16">
        <f t="shared" si="6"/>
        <v>440750</v>
      </c>
      <c r="D40" s="112"/>
      <c r="E40" s="16">
        <f t="shared" si="7"/>
        <v>-440750</v>
      </c>
      <c r="F40" s="16"/>
      <c r="G40" s="16">
        <f t="shared" si="8"/>
        <v>0</v>
      </c>
      <c r="H40" s="55" t="str">
        <f t="shared" si="2"/>
        <v>001-AC1</v>
      </c>
      <c r="I40" s="56">
        <f t="shared" si="3"/>
        <v>123</v>
      </c>
    </row>
    <row r="41" spans="1:12" s="272" customFormat="1" ht="12.75" customHeight="1">
      <c r="A41" s="281" t="s">
        <v>451</v>
      </c>
      <c r="B41" s="54"/>
      <c r="C41" s="16">
        <f t="shared" si="6"/>
        <v>0</v>
      </c>
      <c r="D41" s="112"/>
      <c r="E41" s="16">
        <f>IF(ISNA(VLOOKUP($F$5 &amp; A41, AllocSched,13,FALSE)),"-",VLOOKUP($F$5 &amp; A41, AllocSched,13,FALSE))</f>
        <v>257891</v>
      </c>
      <c r="F41" s="16"/>
      <c r="G41" s="16">
        <f>IF(C41="-",E41,C41+E41)</f>
        <v>257891</v>
      </c>
      <c r="H41" s="55" t="str">
        <f>IF(ISNA(VLOOKUP($F$5 &amp; A41, AllocSched,9,FALSE))," ",VLOOKUP($F$5 &amp; A41, AllocSched,9,FALSE))</f>
        <v>001-011</v>
      </c>
      <c r="I41" s="56">
        <f t="shared" si="3"/>
        <v>101</v>
      </c>
    </row>
    <row r="42" spans="1:12" ht="12.75" customHeight="1">
      <c r="A42" s="54"/>
      <c r="B42" s="54"/>
      <c r="C42" s="16"/>
      <c r="D42" s="112"/>
      <c r="E42" s="16"/>
      <c r="F42" s="16"/>
      <c r="G42" s="16"/>
      <c r="H42" s="55"/>
      <c r="I42" s="56"/>
    </row>
    <row r="43" spans="1:12" ht="13.5" thickBot="1">
      <c r="A43" s="89" t="s">
        <v>174</v>
      </c>
      <c r="B43" s="57" t="s">
        <v>51</v>
      </c>
      <c r="C43" s="111">
        <f>SUM(C16:C40)</f>
        <v>25828315</v>
      </c>
      <c r="D43" s="113" t="s">
        <v>51</v>
      </c>
      <c r="E43" s="111">
        <f>SUM(E16:E42)</f>
        <v>2159857</v>
      </c>
      <c r="F43" s="113" t="s">
        <v>51</v>
      </c>
      <c r="G43" s="111">
        <f>SUM(G16:G42)</f>
        <v>27988172</v>
      </c>
      <c r="K43" s="25"/>
      <c r="L43" s="30"/>
    </row>
    <row r="44" spans="1:12" ht="12.75" customHeight="1" thickTop="1">
      <c r="A44" s="84"/>
      <c r="B44" s="84"/>
      <c r="C44" s="58">
        <v>0</v>
      </c>
      <c r="D44" s="58"/>
      <c r="E44" s="90"/>
      <c r="F44" s="90"/>
      <c r="G44" s="90"/>
    </row>
    <row r="45" spans="1:12" s="65" customFormat="1" ht="25.5">
      <c r="A45" s="59" t="s">
        <v>156</v>
      </c>
      <c r="B45" s="60"/>
      <c r="C45" s="61"/>
      <c r="D45" s="62"/>
      <c r="E45" s="63" t="s">
        <v>67</v>
      </c>
      <c r="F45" s="62"/>
      <c r="G45" s="64" t="s">
        <v>163</v>
      </c>
      <c r="H45" s="64" t="s">
        <v>164</v>
      </c>
      <c r="I45" s="98" t="s">
        <v>70</v>
      </c>
    </row>
    <row r="46" spans="1:12" s="65" customFormat="1" ht="12.75" customHeight="1">
      <c r="A46" s="66" t="s">
        <v>240</v>
      </c>
      <c r="B46" s="67"/>
      <c r="C46" s="68"/>
      <c r="E46" s="66" t="s">
        <v>355</v>
      </c>
      <c r="G46" s="30">
        <f t="shared" ref="G46:G56" si="9">VLOOKUP($F$5 &amp; $A46 &amp; $E46,AddRes,7,FALSE)</f>
        <v>0</v>
      </c>
      <c r="H46" s="30">
        <f t="shared" ref="H46" si="10">VLOOKUP($F$5 &amp; $A46 &amp; $E46,AddRes,8,FALSE)</f>
        <v>0</v>
      </c>
      <c r="I46" s="69">
        <f t="shared" ref="I46" si="11">VLOOKUP($F$5 &amp; $A46 &amp; $E46,AddRes,10,FALSE)</f>
        <v>42277</v>
      </c>
    </row>
    <row r="47" spans="1:12" s="65" customFormat="1" ht="12.75" customHeight="1">
      <c r="A47" s="66" t="s">
        <v>497</v>
      </c>
      <c r="B47" s="67"/>
      <c r="C47" s="68"/>
      <c r="E47" s="66" t="s">
        <v>544</v>
      </c>
      <c r="G47" s="270">
        <f t="shared" si="9"/>
        <v>0</v>
      </c>
      <c r="H47" s="270">
        <f t="shared" ref="H47:H56" si="12">VLOOKUP($F$5 &amp; $A47 &amp; $E47,AddRes,8,FALSE)</f>
        <v>0</v>
      </c>
      <c r="I47" s="69">
        <f t="shared" ref="I47:I56" si="13">VLOOKUP($F$5 &amp; $A47 &amp; $E47,AddRes,10,FALSE)</f>
        <v>42551</v>
      </c>
    </row>
    <row r="48" spans="1:12" s="65" customFormat="1" ht="12.75" customHeight="1">
      <c r="A48" s="66" t="s">
        <v>498</v>
      </c>
      <c r="B48" s="67"/>
      <c r="C48" s="68"/>
      <c r="E48" s="66" t="s">
        <v>545</v>
      </c>
      <c r="G48" s="270">
        <f t="shared" si="9"/>
        <v>0</v>
      </c>
      <c r="H48" s="270">
        <f t="shared" si="12"/>
        <v>0</v>
      </c>
      <c r="I48" s="69">
        <f t="shared" si="13"/>
        <v>42551</v>
      </c>
    </row>
    <row r="49" spans="1:12" s="65" customFormat="1" ht="12.75" customHeight="1">
      <c r="A49" s="66" t="s">
        <v>505</v>
      </c>
      <c r="B49" s="67"/>
      <c r="C49" s="68"/>
      <c r="E49" s="66" t="s">
        <v>546</v>
      </c>
      <c r="G49" s="270">
        <f t="shared" si="9"/>
        <v>0</v>
      </c>
      <c r="H49" s="270">
        <f t="shared" si="12"/>
        <v>0</v>
      </c>
      <c r="I49" s="69">
        <f t="shared" si="13"/>
        <v>42551</v>
      </c>
    </row>
    <row r="50" spans="1:12" s="65" customFormat="1" ht="12.75" customHeight="1">
      <c r="A50" s="66" t="s">
        <v>267</v>
      </c>
      <c r="B50" s="67"/>
      <c r="C50" s="68"/>
      <c r="E50" s="66" t="s">
        <v>547</v>
      </c>
      <c r="G50" s="30">
        <f t="shared" si="9"/>
        <v>0</v>
      </c>
      <c r="H50" s="30">
        <f t="shared" si="12"/>
        <v>0</v>
      </c>
      <c r="I50" s="69">
        <f t="shared" si="13"/>
        <v>42551</v>
      </c>
    </row>
    <row r="51" spans="1:12" s="65" customFormat="1" ht="12.75" customHeight="1">
      <c r="A51" s="66" t="s">
        <v>241</v>
      </c>
      <c r="B51" s="67"/>
      <c r="C51" s="68"/>
      <c r="E51" s="66" t="s">
        <v>548</v>
      </c>
      <c r="G51" s="30">
        <f t="shared" si="9"/>
        <v>0</v>
      </c>
      <c r="H51" s="30">
        <f t="shared" si="12"/>
        <v>0</v>
      </c>
      <c r="I51" s="69">
        <f t="shared" si="13"/>
        <v>42551</v>
      </c>
      <c r="K51" s="75"/>
      <c r="L51" s="75"/>
    </row>
    <row r="52" spans="1:12" s="65" customFormat="1" ht="12.75" customHeight="1">
      <c r="A52" s="66" t="s">
        <v>274</v>
      </c>
      <c r="B52" s="67"/>
      <c r="C52" s="68"/>
      <c r="E52" s="66" t="s">
        <v>549</v>
      </c>
      <c r="G52" s="30">
        <f t="shared" si="9"/>
        <v>0</v>
      </c>
      <c r="H52" s="30">
        <f t="shared" si="12"/>
        <v>0</v>
      </c>
      <c r="I52" s="69">
        <f t="shared" si="13"/>
        <v>42551</v>
      </c>
    </row>
    <row r="53" spans="1:12" s="65" customFormat="1" ht="12.75" customHeight="1">
      <c r="A53" s="66" t="s">
        <v>242</v>
      </c>
      <c r="B53" s="67"/>
      <c r="C53" s="68"/>
      <c r="E53" s="66" t="s">
        <v>356</v>
      </c>
      <c r="G53" s="30">
        <f t="shared" si="9"/>
        <v>0</v>
      </c>
      <c r="H53" s="30">
        <f t="shared" si="12"/>
        <v>0</v>
      </c>
      <c r="I53" s="69">
        <f t="shared" si="13"/>
        <v>42551</v>
      </c>
    </row>
    <row r="54" spans="1:12" s="65" customFormat="1" ht="12.75" customHeight="1">
      <c r="A54" s="66" t="s">
        <v>233</v>
      </c>
      <c r="B54" s="67"/>
      <c r="C54" s="68"/>
      <c r="E54" s="66" t="s">
        <v>550</v>
      </c>
      <c r="G54" s="270">
        <f t="shared" si="9"/>
        <v>0</v>
      </c>
      <c r="H54" s="270">
        <f t="shared" si="12"/>
        <v>0</v>
      </c>
      <c r="I54" s="69">
        <f t="shared" si="13"/>
        <v>42551</v>
      </c>
    </row>
    <row r="55" spans="1:12" s="65" customFormat="1" ht="12.75" customHeight="1">
      <c r="A55" s="66" t="s">
        <v>231</v>
      </c>
      <c r="B55" s="67"/>
      <c r="C55" s="68"/>
      <c r="E55" s="66" t="s">
        <v>551</v>
      </c>
      <c r="G55" s="30">
        <f t="shared" si="9"/>
        <v>0</v>
      </c>
      <c r="H55" s="30">
        <f t="shared" si="12"/>
        <v>0</v>
      </c>
      <c r="I55" s="69">
        <f t="shared" si="13"/>
        <v>42551</v>
      </c>
    </row>
    <row r="56" spans="1:12" s="65" customFormat="1" ht="12.75" customHeight="1">
      <c r="A56" s="66" t="s">
        <v>232</v>
      </c>
      <c r="B56" s="67"/>
      <c r="C56" s="68"/>
      <c r="E56" s="66" t="s">
        <v>552</v>
      </c>
      <c r="G56" s="30">
        <f t="shared" si="9"/>
        <v>0</v>
      </c>
      <c r="H56" s="30">
        <f t="shared" si="12"/>
        <v>0</v>
      </c>
      <c r="I56" s="69">
        <f t="shared" si="13"/>
        <v>42551</v>
      </c>
    </row>
    <row r="57" spans="1:12" s="65" customFormat="1" ht="12.75" customHeight="1">
      <c r="C57" s="70"/>
      <c r="D57" s="70"/>
      <c r="E57" s="70"/>
      <c r="F57" s="70"/>
      <c r="G57" s="71"/>
      <c r="H57" s="72"/>
      <c r="I57" s="73"/>
    </row>
    <row r="58" spans="1:12" s="65" customFormat="1" ht="12.75" customHeight="1">
      <c r="C58" s="74" t="s">
        <v>71</v>
      </c>
      <c r="D58" s="70"/>
      <c r="E58" s="70"/>
      <c r="F58" s="70"/>
      <c r="G58" s="75">
        <f>SUM(G46:G56)</f>
        <v>0</v>
      </c>
      <c r="H58" s="75">
        <f>SUM(H46:H56)</f>
        <v>0</v>
      </c>
      <c r="I58" s="73"/>
    </row>
    <row r="59" spans="1:12" s="65" customFormat="1" ht="12.75" customHeight="1">
      <c r="C59" s="70"/>
      <c r="D59" s="70"/>
      <c r="E59" s="70"/>
      <c r="F59" s="70"/>
      <c r="G59" s="70"/>
      <c r="I59" s="73"/>
    </row>
    <row r="60" spans="1:12" s="65" customFormat="1" ht="12.75" customHeight="1">
      <c r="C60" s="70"/>
      <c r="D60" s="70"/>
      <c r="E60" s="70"/>
      <c r="F60" s="70"/>
      <c r="G60" s="70"/>
      <c r="I60" s="73"/>
    </row>
    <row r="61" spans="1:12" s="65" customFormat="1" ht="12.75" customHeight="1">
      <c r="C61" s="70"/>
      <c r="D61" s="70"/>
      <c r="E61" s="70"/>
      <c r="F61" s="70"/>
      <c r="G61" s="70"/>
      <c r="I61" s="73"/>
    </row>
    <row r="62" spans="1:12" s="65" customFormat="1" ht="12.75" customHeight="1">
      <c r="C62" s="70"/>
      <c r="D62" s="70"/>
      <c r="E62" s="70"/>
      <c r="F62" s="70"/>
      <c r="G62" s="70"/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  <row r="139" spans="3:9" s="65" customFormat="1" ht="12.75" customHeight="1">
      <c r="C139" s="70"/>
      <c r="D139" s="70"/>
      <c r="E139" s="70"/>
      <c r="F139" s="70"/>
      <c r="G139" s="70"/>
      <c r="I139" s="73"/>
    </row>
    <row r="140" spans="3:9" s="65" customFormat="1" ht="12.75" customHeight="1">
      <c r="C140" s="70"/>
      <c r="D140" s="70"/>
      <c r="E140" s="70"/>
      <c r="F140" s="70"/>
      <c r="G140" s="70"/>
      <c r="I140" s="73"/>
    </row>
    <row r="141" spans="3:9" s="65" customFormat="1" ht="12.75" customHeight="1">
      <c r="C141" s="70"/>
      <c r="D141" s="70"/>
      <c r="E141" s="70"/>
      <c r="F141" s="70"/>
      <c r="G141" s="70"/>
      <c r="I141" s="73"/>
    </row>
    <row r="142" spans="3:9" s="65" customFormat="1" ht="12.75" customHeight="1">
      <c r="C142" s="70"/>
      <c r="D142" s="70"/>
      <c r="E142" s="70"/>
      <c r="F142" s="70"/>
      <c r="G142" s="70"/>
      <c r="I142" s="73"/>
    </row>
    <row r="143" spans="3:9" s="65" customFormat="1" ht="12.75" customHeight="1">
      <c r="C143" s="70"/>
      <c r="D143" s="70"/>
      <c r="E143" s="70"/>
      <c r="F143" s="70"/>
      <c r="G143" s="70"/>
      <c r="I143" s="73"/>
    </row>
    <row r="144" spans="3:9" s="65" customFormat="1" ht="12.75" customHeight="1">
      <c r="C144" s="70"/>
      <c r="D144" s="70"/>
      <c r="E144" s="70"/>
      <c r="F144" s="70"/>
      <c r="G144" s="70"/>
      <c r="I144" s="73"/>
    </row>
  </sheetData>
  <mergeCells count="2">
    <mergeCell ref="A8:I8"/>
    <mergeCell ref="G5:I5"/>
  </mergeCells>
  <phoneticPr fontId="0" type="noConversion"/>
  <conditionalFormatting sqref="G43">
    <cfRule type="cellIs" dxfId="25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L139"/>
  <sheetViews>
    <sheetView topLeftCell="A6"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3.5703125" style="23" bestFit="1" customWidth="1"/>
    <col min="11" max="12" width="11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142</v>
      </c>
      <c r="G5" s="505" t="str">
        <f>VLOOKUP($F5,District,2,FALSE)</f>
        <v>Clover Park Technical College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4168</v>
      </c>
      <c r="D10" s="48"/>
      <c r="E10" s="48">
        <f>IF(ISNA(VLOOKUP($F$5,Student,14,FALSE)),0,VLOOKUP($F$5,Student,14,FALSE))</f>
        <v>77</v>
      </c>
      <c r="F10" s="48"/>
      <c r="G10" s="48">
        <f>$E$10+$C$10+$A$10</f>
        <v>4245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24" si="0">IF(ISNA(VLOOKUP($F$5 &amp;A16, AllocSched,12,FALSE)),"-",VLOOKUP($F$5 &amp;A16, AllocSched,12,FALSE))</f>
        <v>13517424</v>
      </c>
      <c r="D16" s="112" t="s">
        <v>51</v>
      </c>
      <c r="E16" s="16">
        <f t="shared" ref="E16:E24" si="1">IF(ISNA(VLOOKUP($F$5 &amp; A16, AllocSched,13,FALSE)),"-",VLOOKUP($F$5 &amp; A16, AllocSched,13,FALSE))</f>
        <v>-10606</v>
      </c>
      <c r="F16" s="16" t="s">
        <v>51</v>
      </c>
      <c r="G16" s="16">
        <f t="shared" ref="G16:G17" si="2">IF(C16="-",E16,C16+E16)</f>
        <v>13506818</v>
      </c>
      <c r="H16" s="55" t="str">
        <f t="shared" ref="H16:H24" si="3">IF(ISNA(VLOOKUP($F$5 &amp; A16, AllocSched,9,FALSE))," ",VLOOKUP($F$5 &amp; A16, AllocSched,9,FALSE))</f>
        <v>001-011</v>
      </c>
      <c r="I16" s="56">
        <f t="shared" ref="I16:I39" si="4">IF(ISNA(VLOOKUP($F$5 &amp; A16, AllocSched,14,FALSE))," ",VLOOKUP($F$5 &amp; A16, AllocSched,14,FALSE))</f>
        <v>101</v>
      </c>
    </row>
    <row r="17" spans="1:9" ht="12.75" customHeight="1">
      <c r="A17" s="115" t="s">
        <v>171</v>
      </c>
      <c r="B17" s="54"/>
      <c r="C17" s="16">
        <f t="shared" si="0"/>
        <v>1206184</v>
      </c>
      <c r="D17" s="112"/>
      <c r="E17" s="16">
        <f t="shared" si="1"/>
        <v>10606</v>
      </c>
      <c r="F17" s="16"/>
      <c r="G17" s="16">
        <f t="shared" si="2"/>
        <v>1216790</v>
      </c>
      <c r="H17" s="55" t="str">
        <f t="shared" si="3"/>
        <v>08A-3E0</v>
      </c>
      <c r="I17" s="56" t="str">
        <f t="shared" si="4"/>
        <v>3E0</v>
      </c>
    </row>
    <row r="18" spans="1:9" s="272" customFormat="1" ht="12.75" customHeight="1">
      <c r="A18" s="38" t="s">
        <v>781</v>
      </c>
      <c r="B18" s="54"/>
      <c r="C18" s="16">
        <f t="shared" si="0"/>
        <v>0</v>
      </c>
      <c r="D18" s="112"/>
      <c r="E18" s="16">
        <f t="shared" si="1"/>
        <v>59542</v>
      </c>
      <c r="F18" s="16"/>
      <c r="G18" s="16">
        <f t="shared" ref="G18:G24" si="5">IF(C18="-",E18,C18+E18)</f>
        <v>59542</v>
      </c>
      <c r="H18" s="55" t="str">
        <f t="shared" si="3"/>
        <v>001-011</v>
      </c>
      <c r="I18" s="56">
        <f t="shared" si="4"/>
        <v>101</v>
      </c>
    </row>
    <row r="19" spans="1:9" s="272" customFormat="1" ht="12.75" customHeight="1">
      <c r="A19" s="115" t="s">
        <v>448</v>
      </c>
      <c r="B19" s="54"/>
      <c r="C19" s="16">
        <f t="shared" si="0"/>
        <v>0</v>
      </c>
      <c r="D19" s="112"/>
      <c r="E19" s="16">
        <f t="shared" si="1"/>
        <v>331509</v>
      </c>
      <c r="F19" s="16"/>
      <c r="G19" s="16">
        <f t="shared" si="5"/>
        <v>331509</v>
      </c>
      <c r="H19" s="55" t="str">
        <f t="shared" si="3"/>
        <v>001-011</v>
      </c>
      <c r="I19" s="56">
        <f t="shared" si="4"/>
        <v>101</v>
      </c>
    </row>
    <row r="20" spans="1:9" s="269" customFormat="1" ht="12.75" customHeight="1">
      <c r="A20" s="115" t="s">
        <v>340</v>
      </c>
      <c r="B20" s="54"/>
      <c r="C20" s="16">
        <f t="shared" si="0"/>
        <v>0</v>
      </c>
      <c r="D20" s="112"/>
      <c r="E20" s="16">
        <f t="shared" si="1"/>
        <v>645053</v>
      </c>
      <c r="F20" s="16"/>
      <c r="G20" s="16">
        <f t="shared" si="5"/>
        <v>645053</v>
      </c>
      <c r="H20" s="55" t="str">
        <f t="shared" si="3"/>
        <v>001-011</v>
      </c>
      <c r="I20" s="56">
        <f t="shared" si="4"/>
        <v>101</v>
      </c>
    </row>
    <row r="21" spans="1:9" s="272" customFormat="1" ht="12.75" customHeight="1">
      <c r="A21" s="115" t="s">
        <v>253</v>
      </c>
      <c r="B21" s="54"/>
      <c r="C21" s="16">
        <f t="shared" si="0"/>
        <v>0</v>
      </c>
      <c r="D21" s="112"/>
      <c r="E21" s="16">
        <f t="shared" si="1"/>
        <v>244000</v>
      </c>
      <c r="F21" s="16"/>
      <c r="G21" s="16">
        <f t="shared" si="5"/>
        <v>244000</v>
      </c>
      <c r="H21" s="55" t="str">
        <f t="shared" si="3"/>
        <v>001-011</v>
      </c>
      <c r="I21" s="56">
        <f t="shared" si="4"/>
        <v>101</v>
      </c>
    </row>
    <row r="22" spans="1:9" ht="12.75" customHeight="1">
      <c r="A22" s="115" t="s">
        <v>207</v>
      </c>
      <c r="B22" s="54"/>
      <c r="C22" s="16">
        <f t="shared" si="0"/>
        <v>0</v>
      </c>
      <c r="D22" s="112"/>
      <c r="E22" s="16">
        <f t="shared" si="1"/>
        <v>64574</v>
      </c>
      <c r="F22" s="16"/>
      <c r="G22" s="16">
        <f t="shared" si="5"/>
        <v>64574</v>
      </c>
      <c r="H22" s="55" t="str">
        <f t="shared" si="3"/>
        <v>001-011</v>
      </c>
      <c r="I22" s="56">
        <f t="shared" si="4"/>
        <v>101</v>
      </c>
    </row>
    <row r="23" spans="1:9" s="272" customFormat="1" ht="12.75" customHeight="1">
      <c r="A23" s="115" t="s">
        <v>203</v>
      </c>
      <c r="B23" s="54"/>
      <c r="C23" s="16">
        <f t="shared" si="0"/>
        <v>0</v>
      </c>
      <c r="D23" s="112"/>
      <c r="E23" s="16">
        <f t="shared" si="1"/>
        <v>-4320</v>
      </c>
      <c r="F23" s="16"/>
      <c r="G23" s="16">
        <f t="shared" si="5"/>
        <v>-4320</v>
      </c>
      <c r="H23" s="55" t="str">
        <f t="shared" si="3"/>
        <v>001-011</v>
      </c>
      <c r="I23" s="56">
        <f t="shared" si="4"/>
        <v>101</v>
      </c>
    </row>
    <row r="24" spans="1:9" s="272" customFormat="1" ht="12.75" customHeight="1">
      <c r="A24" s="115" t="s">
        <v>454</v>
      </c>
      <c r="B24" s="54"/>
      <c r="C24" s="16">
        <f t="shared" si="0"/>
        <v>0</v>
      </c>
      <c r="D24" s="112"/>
      <c r="E24" s="16">
        <f t="shared" si="1"/>
        <v>-2909</v>
      </c>
      <c r="F24" s="16"/>
      <c r="G24" s="16">
        <f t="shared" si="5"/>
        <v>-2909</v>
      </c>
      <c r="H24" s="55" t="str">
        <f t="shared" si="3"/>
        <v>001-011</v>
      </c>
      <c r="I24" s="56">
        <f t="shared" si="4"/>
        <v>101</v>
      </c>
    </row>
    <row r="25" spans="1:9" ht="12.75" customHeight="1">
      <c r="A25" s="115"/>
      <c r="B25" s="54"/>
      <c r="C25" s="16"/>
      <c r="D25" s="112"/>
      <c r="E25" s="16"/>
      <c r="F25" s="16"/>
      <c r="G25" s="16"/>
      <c r="H25" s="55" t="str">
        <f t="shared" ref="H25:H39" si="6">IF(ISNA(VLOOKUP($F$5 &amp; A25, AllocSched,9,FALSE))," ",VLOOKUP($F$5 &amp; A25, AllocSched,9,FALSE))</f>
        <v xml:space="preserve"> </v>
      </c>
      <c r="I25" s="56" t="str">
        <f t="shared" si="4"/>
        <v xml:space="preserve"> </v>
      </c>
    </row>
    <row r="26" spans="1:9" s="83" customFormat="1">
      <c r="A26" s="114" t="s">
        <v>168</v>
      </c>
      <c r="B26" s="84"/>
      <c r="C26" s="16"/>
      <c r="D26" s="112"/>
      <c r="E26" s="16"/>
      <c r="F26" s="16"/>
      <c r="G26" s="16"/>
      <c r="H26" s="55" t="str">
        <f t="shared" si="6"/>
        <v xml:space="preserve"> </v>
      </c>
      <c r="I26" s="56" t="str">
        <f t="shared" si="4"/>
        <v xml:space="preserve"> </v>
      </c>
    </row>
    <row r="27" spans="1:9" s="83" customFormat="1">
      <c r="A27" s="38" t="s">
        <v>345</v>
      </c>
      <c r="B27" s="84"/>
      <c r="C27" s="16">
        <f>IF(ISNA(VLOOKUP($F$5 &amp;A27, AllocSched,12,FALSE)),"-",VLOOKUP($F$5 &amp;A27, AllocSched,12,FALSE))</f>
        <v>603161</v>
      </c>
      <c r="D27" s="112"/>
      <c r="E27" s="16">
        <f>IF(ISNA(VLOOKUP($F$5 &amp; A27, AllocSched,13,FALSE)),"-",VLOOKUP($F$5 &amp; A27, AllocSched,13,FALSE))</f>
        <v>0</v>
      </c>
      <c r="F27" s="16"/>
      <c r="G27" s="16">
        <f>IF(C27="-",E27,C27+E27)</f>
        <v>603161</v>
      </c>
      <c r="H27" s="55" t="str">
        <f t="shared" si="6"/>
        <v>001-011</v>
      </c>
      <c r="I27" s="56">
        <f t="shared" si="4"/>
        <v>101</v>
      </c>
    </row>
    <row r="28" spans="1:9" ht="12.75" customHeight="1">
      <c r="A28" s="38" t="s">
        <v>211</v>
      </c>
      <c r="C28" s="16">
        <f t="shared" ref="C28:C39" si="7">IF(ISNA(VLOOKUP($F$5 &amp;A28, AllocSched,12,FALSE)),"-",VLOOKUP($F$5 &amp;A28, AllocSched,12,FALSE))</f>
        <v>169713</v>
      </c>
      <c r="D28" s="112"/>
      <c r="E28" s="16">
        <f t="shared" ref="E28:E39" si="8">IF(ISNA(VLOOKUP($F$5 &amp; A28, AllocSched,13,FALSE)),"-",VLOOKUP($F$5 &amp; A28, AllocSched,13,FALSE))</f>
        <v>-169713</v>
      </c>
      <c r="F28" s="16"/>
      <c r="G28" s="16">
        <f t="shared" ref="G28:G39" si="9">IF(C28="-",E28,C28+E28)</f>
        <v>0</v>
      </c>
      <c r="H28" s="55" t="str">
        <f t="shared" ref="H28:H34" si="10">IF(ISNA(VLOOKUP($F$5 &amp; A28, AllocSched,9,FALSE))," ",VLOOKUP($F$5 &amp; A28, AllocSched,9,FALSE))</f>
        <v>001-011</v>
      </c>
      <c r="I28" s="56">
        <f t="shared" si="4"/>
        <v>101</v>
      </c>
    </row>
    <row r="29" spans="1:9" ht="12.75" customHeight="1">
      <c r="A29" s="38" t="s">
        <v>222</v>
      </c>
      <c r="C29" s="16">
        <f>IF(ISNA(VLOOKUP($F$5 &amp;A29, AllocSched,12,FALSE)),"-",VLOOKUP($F$5 &amp;A29, AllocSched,12,FALSE))</f>
        <v>46936</v>
      </c>
      <c r="D29" s="112"/>
      <c r="E29" s="16">
        <f>IF(ISNA(VLOOKUP($F$5 &amp; A29, AllocSched,13,FALSE)),"-",VLOOKUP($F$5 &amp; A29, AllocSched,13,FALSE))</f>
        <v>-46936</v>
      </c>
      <c r="F29" s="16"/>
      <c r="G29" s="16">
        <f>IF(C29="-",E29,C29+E29)</f>
        <v>0</v>
      </c>
      <c r="H29" s="55" t="str">
        <f t="shared" si="10"/>
        <v>08A-3E0</v>
      </c>
      <c r="I29" s="56" t="str">
        <f t="shared" si="4"/>
        <v>3E0</v>
      </c>
    </row>
    <row r="30" spans="1:9" ht="12.75" customHeight="1">
      <c r="A30" s="38" t="s">
        <v>170</v>
      </c>
      <c r="C30" s="16">
        <f t="shared" si="7"/>
        <v>42793</v>
      </c>
      <c r="D30" s="112"/>
      <c r="E30" s="16">
        <f t="shared" si="8"/>
        <v>-7783</v>
      </c>
      <c r="F30" s="16"/>
      <c r="G30" s="16">
        <f t="shared" si="9"/>
        <v>35010</v>
      </c>
      <c r="H30" s="55" t="str">
        <f t="shared" si="10"/>
        <v>001-011</v>
      </c>
      <c r="I30" s="56">
        <f t="shared" si="4"/>
        <v>101</v>
      </c>
    </row>
    <row r="31" spans="1:9" ht="12.75" customHeight="1">
      <c r="A31" s="115" t="s">
        <v>151</v>
      </c>
      <c r="B31" s="54"/>
      <c r="C31" s="16">
        <f>IF(ISNA(VLOOKUP($F$5 &amp;A31, AllocSched,12,FALSE)),"-",VLOOKUP($F$5 &amp;A31, AllocSched,12,FALSE))</f>
        <v>34500</v>
      </c>
      <c r="D31" s="112"/>
      <c r="E31" s="16">
        <f>IF(ISNA(VLOOKUP($F$5 &amp; A31, AllocSched,13,FALSE)),"-",VLOOKUP($F$5 &amp; A31, AllocSched,13,FALSE))</f>
        <v>-34500</v>
      </c>
      <c r="F31" s="16"/>
      <c r="G31" s="16">
        <f>IF(C31="-",E31,C31+E31)</f>
        <v>0</v>
      </c>
      <c r="H31" s="55" t="str">
        <f>IF(ISNA(VLOOKUP($F$5 &amp; A31, AllocSched,9,FALSE))," ",VLOOKUP($F$5 &amp; A31, AllocSched,9,FALSE))</f>
        <v>08A-3E0</v>
      </c>
      <c r="I31" s="56" t="str">
        <f t="shared" si="4"/>
        <v>3E0</v>
      </c>
    </row>
    <row r="32" spans="1:9" ht="12.75" customHeight="1">
      <c r="A32" s="115" t="s">
        <v>150</v>
      </c>
      <c r="B32" s="54"/>
      <c r="C32" s="16">
        <f t="shared" si="7"/>
        <v>448412</v>
      </c>
      <c r="D32" s="112"/>
      <c r="E32" s="16">
        <f t="shared" si="8"/>
        <v>0</v>
      </c>
      <c r="F32" s="16"/>
      <c r="G32" s="16">
        <f t="shared" si="9"/>
        <v>448412</v>
      </c>
      <c r="H32" s="55" t="str">
        <f t="shared" si="10"/>
        <v>001-011</v>
      </c>
      <c r="I32" s="56">
        <f t="shared" si="4"/>
        <v>101</v>
      </c>
    </row>
    <row r="33" spans="1:11" ht="12.75" customHeight="1">
      <c r="A33" s="115" t="s">
        <v>272</v>
      </c>
      <c r="B33" s="54"/>
      <c r="C33" s="16">
        <f t="shared" si="7"/>
        <v>33382</v>
      </c>
      <c r="D33" s="112"/>
      <c r="E33" s="16">
        <f t="shared" si="8"/>
        <v>0</v>
      </c>
      <c r="F33" s="16"/>
      <c r="G33" s="16">
        <f t="shared" si="9"/>
        <v>33382</v>
      </c>
      <c r="H33" s="55" t="str">
        <f t="shared" si="10"/>
        <v>001-BD1</v>
      </c>
      <c r="I33" s="56" t="str">
        <f t="shared" si="4"/>
        <v>BD1</v>
      </c>
    </row>
    <row r="34" spans="1:11" ht="12.75" customHeight="1">
      <c r="A34" s="115" t="s">
        <v>273</v>
      </c>
      <c r="B34" s="54"/>
      <c r="C34" s="16">
        <f>IF(ISNA(VLOOKUP($F$5 &amp;A34, AllocSched,12,FALSE)),"-",VLOOKUP($F$5 &amp;A34, AllocSched,12,FALSE))</f>
        <v>136792</v>
      </c>
      <c r="D34" s="112"/>
      <c r="E34" s="16">
        <f>IF(ISNA(VLOOKUP($F$5 &amp; A34, AllocSched,13,FALSE)),"-",VLOOKUP($F$5 &amp; A34, AllocSched,13,FALSE))</f>
        <v>-136792</v>
      </c>
      <c r="F34" s="16"/>
      <c r="G34" s="16">
        <f>IF(C34="-",E34,C34+E34)</f>
        <v>0</v>
      </c>
      <c r="H34" s="55" t="str">
        <f t="shared" si="10"/>
        <v>001-BD1</v>
      </c>
      <c r="I34" s="56" t="str">
        <f t="shared" si="4"/>
        <v>BD1</v>
      </c>
    </row>
    <row r="35" spans="1:11" ht="12.75" customHeight="1">
      <c r="A35" s="115" t="s">
        <v>6</v>
      </c>
      <c r="B35" s="54"/>
      <c r="C35" s="16">
        <f t="shared" si="7"/>
        <v>28973</v>
      </c>
      <c r="D35" s="112"/>
      <c r="E35" s="16">
        <f t="shared" si="8"/>
        <v>-4653</v>
      </c>
      <c r="F35" s="16"/>
      <c r="G35" s="16">
        <f t="shared" si="9"/>
        <v>24320</v>
      </c>
      <c r="H35" s="55" t="str">
        <f t="shared" si="6"/>
        <v>001-011</v>
      </c>
      <c r="I35" s="56">
        <f t="shared" si="4"/>
        <v>101</v>
      </c>
    </row>
    <row r="36" spans="1:11" s="272" customFormat="1" ht="12.75" customHeight="1">
      <c r="A36" s="115" t="s">
        <v>64</v>
      </c>
      <c r="B36" s="54"/>
      <c r="C36" s="16" t="str">
        <f t="shared" ref="C36" si="11">IF(ISNA(VLOOKUP($F$5 &amp;A36, AllocSched,12,FALSE)),"-",VLOOKUP($F$5 &amp;A36, AllocSched,12,FALSE))</f>
        <v>-</v>
      </c>
      <c r="D36" s="112"/>
      <c r="E36" s="16" t="str">
        <f t="shared" ref="E36" si="12">IF(ISNA(VLOOKUP($F$5 &amp; A36, AllocSched,13,FALSE)),"-",VLOOKUP($F$5 &amp; A36, AllocSched,13,FALSE))</f>
        <v>-</v>
      </c>
      <c r="F36" s="16"/>
      <c r="G36" s="16" t="str">
        <f t="shared" ref="G36" si="13">IF(C36="-",E36,C36+E36)</f>
        <v>-</v>
      </c>
      <c r="H36" s="55" t="str">
        <f t="shared" ref="H36" si="14">IF(ISNA(VLOOKUP($F$5 &amp; A36, AllocSched,9,FALSE))," ",VLOOKUP($F$5 &amp; A36, AllocSched,9,FALSE))</f>
        <v xml:space="preserve"> </v>
      </c>
      <c r="I36" s="56" t="str">
        <f t="shared" ref="I36" si="15">IF(ISNA(VLOOKUP($F$5 &amp; A36, AllocSched,14,FALSE))," ",VLOOKUP($F$5 &amp; A36, AllocSched,14,FALSE))</f>
        <v xml:space="preserve"> </v>
      </c>
    </row>
    <row r="37" spans="1:11" ht="12.75" customHeight="1">
      <c r="A37" s="115" t="s">
        <v>333</v>
      </c>
      <c r="B37" s="54"/>
      <c r="C37" s="16">
        <f t="shared" si="7"/>
        <v>160268</v>
      </c>
      <c r="D37" s="112"/>
      <c r="E37" s="16">
        <f t="shared" si="8"/>
        <v>0</v>
      </c>
      <c r="F37" s="16"/>
      <c r="G37" s="16">
        <f t="shared" si="9"/>
        <v>160268</v>
      </c>
      <c r="H37" s="55" t="str">
        <f t="shared" si="6"/>
        <v>001-011</v>
      </c>
      <c r="I37" s="56">
        <f t="shared" si="4"/>
        <v>101</v>
      </c>
    </row>
    <row r="38" spans="1:11" ht="12.75" customHeight="1">
      <c r="A38" s="115" t="s">
        <v>332</v>
      </c>
      <c r="B38" s="54"/>
      <c r="C38" s="16">
        <f t="shared" si="7"/>
        <v>765555</v>
      </c>
      <c r="D38" s="112"/>
      <c r="E38" s="16">
        <f t="shared" si="8"/>
        <v>0</v>
      </c>
      <c r="F38" s="16"/>
      <c r="G38" s="16">
        <f t="shared" si="9"/>
        <v>765555</v>
      </c>
      <c r="H38" s="55" t="str">
        <f t="shared" si="6"/>
        <v>001-AC1</v>
      </c>
      <c r="I38" s="56">
        <f t="shared" si="4"/>
        <v>123</v>
      </c>
    </row>
    <row r="39" spans="1:11" ht="12.75" customHeight="1">
      <c r="A39" s="115" t="s">
        <v>215</v>
      </c>
      <c r="B39" s="54"/>
      <c r="C39" s="16">
        <f t="shared" si="7"/>
        <v>522750</v>
      </c>
      <c r="D39" s="112"/>
      <c r="E39" s="16">
        <f t="shared" si="8"/>
        <v>-522750</v>
      </c>
      <c r="F39" s="16"/>
      <c r="G39" s="16">
        <f t="shared" si="9"/>
        <v>0</v>
      </c>
      <c r="H39" s="55" t="str">
        <f t="shared" si="6"/>
        <v>001-AC1</v>
      </c>
      <c r="I39" s="56">
        <f t="shared" si="4"/>
        <v>123</v>
      </c>
    </row>
    <row r="40" spans="1:11" ht="12.75" customHeight="1">
      <c r="A40" s="54"/>
      <c r="B40" s="54"/>
      <c r="C40" s="16"/>
      <c r="D40" s="112"/>
      <c r="E40" s="16"/>
      <c r="F40" s="16"/>
      <c r="G40" s="16"/>
      <c r="H40" s="55"/>
      <c r="I40" s="56"/>
    </row>
    <row r="41" spans="1:11" ht="13.5" thickBot="1">
      <c r="A41" s="89" t="s">
        <v>174</v>
      </c>
      <c r="B41" s="57" t="s">
        <v>51</v>
      </c>
      <c r="C41" s="111">
        <f>SUM(C16:C39)</f>
        <v>17716843</v>
      </c>
      <c r="D41" s="113" t="s">
        <v>51</v>
      </c>
      <c r="E41" s="111">
        <f>SUM(E16:E39)</f>
        <v>414322</v>
      </c>
      <c r="F41" s="113" t="s">
        <v>51</v>
      </c>
      <c r="G41" s="111">
        <f>SUM(G16:G39)</f>
        <v>18131165</v>
      </c>
      <c r="J41" s="25"/>
      <c r="K41" s="30"/>
    </row>
    <row r="42" spans="1:11" ht="12.75" customHeight="1" thickTop="1">
      <c r="A42" s="84"/>
      <c r="B42" s="84"/>
      <c r="C42" s="58">
        <v>0</v>
      </c>
      <c r="D42" s="58"/>
      <c r="E42" s="90"/>
      <c r="F42" s="90"/>
      <c r="G42" s="90"/>
    </row>
    <row r="43" spans="1:11" s="65" customFormat="1" ht="25.5">
      <c r="A43" s="59" t="s">
        <v>156</v>
      </c>
      <c r="B43" s="60"/>
      <c r="C43" s="61"/>
      <c r="D43" s="62"/>
      <c r="E43" s="63" t="s">
        <v>67</v>
      </c>
      <c r="F43" s="62"/>
      <c r="G43" s="64" t="s">
        <v>163</v>
      </c>
      <c r="H43" s="64" t="s">
        <v>164</v>
      </c>
      <c r="I43" s="98" t="s">
        <v>70</v>
      </c>
    </row>
    <row r="44" spans="1:11" s="65" customFormat="1" ht="12.75" customHeight="1">
      <c r="A44" s="66" t="s">
        <v>240</v>
      </c>
      <c r="B44" s="67"/>
      <c r="C44" s="68"/>
      <c r="E44" s="66" t="s">
        <v>357</v>
      </c>
      <c r="G44" s="150">
        <f t="shared" ref="G44:G51" si="16">VLOOKUP($F$5 &amp; $A44 &amp; $E44,AddRes,7,FALSE)</f>
        <v>0</v>
      </c>
      <c r="H44" s="150">
        <f t="shared" ref="H44:H51" si="17">VLOOKUP($F$5 &amp; $A44 &amp; $E44,AddRes,8,FALSE)</f>
        <v>0</v>
      </c>
      <c r="I44" s="69">
        <f t="shared" ref="I44:I51" si="18">VLOOKUP($F$5 &amp; $A44 &amp; $E44,AddRes,10,FALSE)</f>
        <v>42277</v>
      </c>
    </row>
    <row r="45" spans="1:11" s="65" customFormat="1" ht="12.75" customHeight="1">
      <c r="A45" s="66" t="s">
        <v>497</v>
      </c>
      <c r="B45" s="67"/>
      <c r="C45" s="68"/>
      <c r="E45" s="66" t="s">
        <v>553</v>
      </c>
      <c r="G45" s="150">
        <f t="shared" si="16"/>
        <v>0</v>
      </c>
      <c r="H45" s="150">
        <f t="shared" si="17"/>
        <v>0</v>
      </c>
      <c r="I45" s="69">
        <f t="shared" si="18"/>
        <v>42551</v>
      </c>
    </row>
    <row r="46" spans="1:11" s="65" customFormat="1" ht="12.75" customHeight="1">
      <c r="A46" s="66" t="s">
        <v>498</v>
      </c>
      <c r="B46" s="67"/>
      <c r="C46" s="68"/>
      <c r="E46" s="66" t="s">
        <v>554</v>
      </c>
      <c r="G46" s="150">
        <f t="shared" si="16"/>
        <v>0</v>
      </c>
      <c r="H46" s="150">
        <f t="shared" si="17"/>
        <v>0</v>
      </c>
      <c r="I46" s="69">
        <f t="shared" si="18"/>
        <v>42551</v>
      </c>
    </row>
    <row r="47" spans="1:11" s="65" customFormat="1" ht="12.75" customHeight="1">
      <c r="A47" s="66" t="s">
        <v>505</v>
      </c>
      <c r="B47" s="67"/>
      <c r="C47" s="68"/>
      <c r="E47" s="66" t="s">
        <v>555</v>
      </c>
      <c r="G47" s="150">
        <f t="shared" si="16"/>
        <v>0</v>
      </c>
      <c r="H47" s="150">
        <f t="shared" si="17"/>
        <v>0</v>
      </c>
      <c r="I47" s="69">
        <f t="shared" si="18"/>
        <v>42551</v>
      </c>
    </row>
    <row r="48" spans="1:11" s="65" customFormat="1" ht="12.75" customHeight="1">
      <c r="A48" s="66" t="s">
        <v>412</v>
      </c>
      <c r="B48" s="67"/>
      <c r="C48" s="68"/>
      <c r="E48" s="66" t="s">
        <v>415</v>
      </c>
      <c r="G48" s="150">
        <f t="shared" si="16"/>
        <v>0</v>
      </c>
      <c r="H48" s="150">
        <f t="shared" si="17"/>
        <v>0</v>
      </c>
      <c r="I48" s="69">
        <f t="shared" si="18"/>
        <v>42551</v>
      </c>
    </row>
    <row r="49" spans="1:12" s="65" customFormat="1" ht="12.75" customHeight="1">
      <c r="A49" s="66" t="s">
        <v>231</v>
      </c>
      <c r="B49" s="67"/>
      <c r="C49" s="68"/>
      <c r="E49" s="66" t="s">
        <v>556</v>
      </c>
      <c r="G49" s="150">
        <f t="shared" si="16"/>
        <v>0</v>
      </c>
      <c r="H49" s="150">
        <f t="shared" si="17"/>
        <v>0</v>
      </c>
      <c r="I49" s="69">
        <f t="shared" si="18"/>
        <v>42551</v>
      </c>
    </row>
    <row r="50" spans="1:12" s="65" customFormat="1" ht="12.75" customHeight="1">
      <c r="A50" s="66" t="s">
        <v>506</v>
      </c>
      <c r="B50" s="67"/>
      <c r="C50" s="68"/>
      <c r="E50" s="66" t="s">
        <v>557</v>
      </c>
      <c r="G50" s="150">
        <f t="shared" si="16"/>
        <v>0</v>
      </c>
      <c r="H50" s="150">
        <f t="shared" si="17"/>
        <v>0</v>
      </c>
      <c r="I50" s="69">
        <f t="shared" si="18"/>
        <v>42551</v>
      </c>
    </row>
    <row r="51" spans="1:12" s="65" customFormat="1" ht="12.75" customHeight="1">
      <c r="A51" s="66" t="s">
        <v>232</v>
      </c>
      <c r="B51" s="67"/>
      <c r="C51" s="68"/>
      <c r="E51" s="66" t="s">
        <v>558</v>
      </c>
      <c r="G51" s="150">
        <f t="shared" si="16"/>
        <v>0</v>
      </c>
      <c r="H51" s="150">
        <f t="shared" si="17"/>
        <v>0</v>
      </c>
      <c r="I51" s="69">
        <f t="shared" si="18"/>
        <v>42551</v>
      </c>
    </row>
    <row r="52" spans="1:12" s="65" customFormat="1" ht="12.75" customHeight="1">
      <c r="A52" s="66"/>
      <c r="C52" s="70"/>
      <c r="D52" s="70"/>
      <c r="E52" s="70"/>
      <c r="F52" s="70"/>
      <c r="G52" s="71"/>
      <c r="H52" s="72"/>
      <c r="I52" s="73"/>
    </row>
    <row r="53" spans="1:12" s="65" customFormat="1" ht="12.75" customHeight="1">
      <c r="A53" s="66"/>
      <c r="C53" s="74" t="s">
        <v>71</v>
      </c>
      <c r="D53" s="70"/>
      <c r="E53" s="70"/>
      <c r="F53" s="70"/>
      <c r="G53" s="75">
        <f>SUM(G44:G51)</f>
        <v>0</v>
      </c>
      <c r="H53" s="75">
        <f>SUM(H44:H51)</f>
        <v>0</v>
      </c>
      <c r="I53" s="73"/>
    </row>
    <row r="54" spans="1:12" s="65" customFormat="1" ht="12.75" customHeight="1">
      <c r="A54" s="66"/>
      <c r="C54" s="70"/>
      <c r="D54" s="70"/>
      <c r="E54" s="70"/>
      <c r="F54" s="70"/>
      <c r="G54" s="70"/>
      <c r="I54" s="73"/>
    </row>
    <row r="55" spans="1:12" s="65" customFormat="1" ht="12.75" customHeight="1">
      <c r="A55" s="66"/>
      <c r="C55" s="70"/>
      <c r="D55" s="70"/>
      <c r="E55" s="70"/>
      <c r="F55" s="70"/>
      <c r="G55" s="70"/>
      <c r="I55" s="73"/>
      <c r="K55" s="75"/>
      <c r="L55" s="75"/>
    </row>
    <row r="56" spans="1:12" s="65" customFormat="1" ht="12.75" customHeight="1">
      <c r="A56" s="66"/>
      <c r="C56" s="70"/>
      <c r="D56" s="70"/>
      <c r="E56" s="70"/>
      <c r="F56" s="70"/>
      <c r="G56" s="70"/>
      <c r="I56" s="73"/>
    </row>
    <row r="57" spans="1:12" s="65" customFormat="1" ht="12.75" customHeight="1">
      <c r="A57" s="66"/>
      <c r="C57" s="70"/>
      <c r="D57" s="70"/>
      <c r="E57" s="70"/>
      <c r="F57" s="70"/>
      <c r="G57" s="70"/>
      <c r="I57" s="73"/>
    </row>
    <row r="58" spans="1:12" s="65" customFormat="1" ht="12.75" customHeight="1">
      <c r="C58" s="70"/>
      <c r="D58" s="70"/>
      <c r="E58" s="70"/>
      <c r="F58" s="70"/>
      <c r="G58" s="70"/>
      <c r="I58" s="73"/>
    </row>
    <row r="59" spans="1:12" s="65" customFormat="1" ht="12.75" customHeight="1">
      <c r="C59" s="70"/>
      <c r="D59" s="70"/>
      <c r="E59" s="70"/>
      <c r="F59" s="70"/>
      <c r="G59" s="70"/>
      <c r="I59" s="73"/>
    </row>
    <row r="60" spans="1:12" s="65" customFormat="1" ht="12.75" customHeight="1">
      <c r="C60" s="70"/>
      <c r="D60" s="70"/>
      <c r="E60" s="70"/>
      <c r="F60" s="70"/>
      <c r="G60" s="70"/>
      <c r="I60" s="73"/>
    </row>
    <row r="61" spans="1:12" s="65" customFormat="1" ht="12.75" customHeight="1">
      <c r="C61" s="70"/>
      <c r="D61" s="70"/>
      <c r="E61" s="70"/>
      <c r="F61" s="70"/>
      <c r="G61" s="70"/>
      <c r="I61" s="73"/>
    </row>
    <row r="62" spans="1:12" s="65" customFormat="1" ht="12.75" customHeight="1">
      <c r="C62" s="70"/>
      <c r="D62" s="70"/>
      <c r="E62" s="70"/>
      <c r="F62" s="70"/>
      <c r="G62" s="70"/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  <row r="139" spans="3:9" s="65" customFormat="1" ht="12.75" customHeight="1">
      <c r="C139" s="70"/>
      <c r="D139" s="70"/>
      <c r="E139" s="70"/>
      <c r="F139" s="70"/>
      <c r="G139" s="70"/>
      <c r="I139" s="73"/>
    </row>
  </sheetData>
  <mergeCells count="2">
    <mergeCell ref="A8:I8"/>
    <mergeCell ref="G5:I5"/>
  </mergeCells>
  <phoneticPr fontId="0" type="noConversion"/>
  <conditionalFormatting sqref="G41">
    <cfRule type="cellIs" dxfId="24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L137"/>
  <sheetViews>
    <sheetView topLeftCell="A13"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3.5703125" style="23" bestFit="1" customWidth="1"/>
    <col min="11" max="11" width="12.42578125" style="23" bestFit="1" customWidth="1"/>
    <col min="12" max="12" width="11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133</v>
      </c>
      <c r="G5" s="505" t="str">
        <f>VLOOKUP($F5,District,2,FALSE)</f>
        <v>Columbia Basin College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4822</v>
      </c>
      <c r="D10" s="48"/>
      <c r="E10" s="48">
        <f>IF(ISNA(VLOOKUP($F$5,Student,14,FALSE)),0,VLOOKUP($F$5,Student,14,FALSE))</f>
        <v>0</v>
      </c>
      <c r="F10" s="48"/>
      <c r="G10" s="48">
        <f>$E$10+$C$10+$A$10</f>
        <v>4822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23" si="0">IF(ISNA(VLOOKUP($F$5 &amp;A16, AllocSched,12,FALSE)),"-",VLOOKUP($F$5 &amp;A16, AllocSched,12,FALSE))</f>
        <v>15074670</v>
      </c>
      <c r="D16" s="112" t="s">
        <v>51</v>
      </c>
      <c r="E16" s="16">
        <f t="shared" ref="E16:E23" si="1">IF(ISNA(VLOOKUP($F$5 &amp; A16, AllocSched,13,FALSE)),"-",VLOOKUP($F$5 &amp; A16, AllocSched,13,FALSE))</f>
        <v>-11667</v>
      </c>
      <c r="F16" s="16" t="s">
        <v>51</v>
      </c>
      <c r="G16" s="16">
        <f t="shared" ref="G16:G23" si="2">IF(C16="-",E16,C16+E16)</f>
        <v>15063003</v>
      </c>
      <c r="H16" s="55" t="str">
        <f t="shared" ref="H16:H37" si="3">IF(ISNA(VLOOKUP($F$5 &amp; A16, AllocSched,9,FALSE))," ",VLOOKUP($F$5 &amp; A16, AllocSched,9,FALSE))</f>
        <v>001-011</v>
      </c>
      <c r="I16" s="56">
        <f t="shared" ref="I16:I37" si="4">IF(ISNA(VLOOKUP($F$5 &amp; A16, AllocSched,14,FALSE))," ",VLOOKUP($F$5 &amp; A16, AllocSched,14,FALSE))</f>
        <v>101</v>
      </c>
    </row>
    <row r="17" spans="1:9" ht="12.75" customHeight="1">
      <c r="A17" s="115" t="s">
        <v>171</v>
      </c>
      <c r="B17" s="54"/>
      <c r="C17" s="16">
        <f t="shared" si="0"/>
        <v>1327003</v>
      </c>
      <c r="D17" s="112"/>
      <c r="E17" s="16">
        <f t="shared" si="1"/>
        <v>11667</v>
      </c>
      <c r="F17" s="16"/>
      <c r="G17" s="21">
        <f t="shared" si="2"/>
        <v>1338670</v>
      </c>
      <c r="H17" s="55" t="str">
        <f t="shared" si="3"/>
        <v>08A-3E0</v>
      </c>
      <c r="I17" s="56" t="str">
        <f t="shared" si="4"/>
        <v>3E0</v>
      </c>
    </row>
    <row r="18" spans="1:9" s="272" customFormat="1" ht="12.75" customHeight="1">
      <c r="A18" s="38" t="s">
        <v>781</v>
      </c>
      <c r="B18" s="54"/>
      <c r="C18" s="16">
        <f t="shared" si="0"/>
        <v>0</v>
      </c>
      <c r="D18" s="112"/>
      <c r="E18" s="16">
        <f t="shared" si="1"/>
        <v>88082</v>
      </c>
      <c r="F18" s="16"/>
      <c r="G18" s="21">
        <f t="shared" si="2"/>
        <v>88082</v>
      </c>
      <c r="H18" s="55" t="str">
        <f>IF(ISNA(VLOOKUP($F$5 &amp; A18, AllocSched,9,FALSE))," ",VLOOKUP($F$5 &amp; A18, AllocSched,9,FALSE))</f>
        <v>001-011</v>
      </c>
      <c r="I18" s="56">
        <f>IF(ISNA(VLOOKUP($F$5 &amp; A18, AllocSched,14,FALSE))," ",VLOOKUP($F$5 &amp; A18, AllocSched,14,FALSE))</f>
        <v>101</v>
      </c>
    </row>
    <row r="19" spans="1:9" s="272" customFormat="1" ht="12.75" customHeight="1">
      <c r="A19" s="115" t="s">
        <v>448</v>
      </c>
      <c r="B19" s="54"/>
      <c r="C19" s="16">
        <f t="shared" si="0"/>
        <v>0</v>
      </c>
      <c r="D19" s="112"/>
      <c r="E19" s="16">
        <f t="shared" si="1"/>
        <v>303440</v>
      </c>
      <c r="F19" s="16"/>
      <c r="G19" s="21">
        <f t="shared" si="2"/>
        <v>303440</v>
      </c>
      <c r="H19" s="55" t="str">
        <f>IF(ISNA(VLOOKUP($F$5 &amp; A19, AllocSched,9,FALSE))," ",VLOOKUP($F$5 &amp; A19, AllocSched,9,FALSE))</f>
        <v>001-011</v>
      </c>
      <c r="I19" s="56">
        <f>IF(ISNA(VLOOKUP($F$5 &amp; A19, AllocSched,14,FALSE))," ",VLOOKUP($F$5 &amp; A19, AllocSched,14,FALSE))</f>
        <v>101</v>
      </c>
    </row>
    <row r="20" spans="1:9" s="269" customFormat="1" ht="12.75" customHeight="1">
      <c r="A20" s="115" t="s">
        <v>340</v>
      </c>
      <c r="B20" s="54"/>
      <c r="C20" s="16">
        <f t="shared" si="0"/>
        <v>0</v>
      </c>
      <c r="D20" s="112"/>
      <c r="E20" s="16">
        <f t="shared" si="1"/>
        <v>742343</v>
      </c>
      <c r="F20" s="16"/>
      <c r="G20" s="21">
        <f t="shared" si="2"/>
        <v>742343</v>
      </c>
      <c r="H20" s="55" t="str">
        <f>IF(ISNA(VLOOKUP($F$5 &amp; A20, AllocSched,9,FALSE))," ",VLOOKUP($F$5 &amp; A20, AllocSched,9,FALSE))</f>
        <v>001-011</v>
      </c>
      <c r="I20" s="56">
        <f>IF(ISNA(VLOOKUP($F$5 &amp; A20, AllocSched,14,FALSE))," ",VLOOKUP($F$5 &amp; A20, AllocSched,14,FALSE))</f>
        <v>101</v>
      </c>
    </row>
    <row r="21" spans="1:9" ht="12.75" customHeight="1">
      <c r="A21" s="115" t="s">
        <v>207</v>
      </c>
      <c r="B21" s="54"/>
      <c r="C21" s="16">
        <f t="shared" si="0"/>
        <v>0</v>
      </c>
      <c r="D21" s="112"/>
      <c r="E21" s="16">
        <f t="shared" si="1"/>
        <v>57009</v>
      </c>
      <c r="F21" s="16"/>
      <c r="G21" s="21">
        <f t="shared" si="2"/>
        <v>57009</v>
      </c>
      <c r="H21" s="55" t="str">
        <f t="shared" si="3"/>
        <v>001-011</v>
      </c>
      <c r="I21" s="56">
        <f t="shared" si="4"/>
        <v>101</v>
      </c>
    </row>
    <row r="22" spans="1:9" s="272" customFormat="1" ht="12.75" customHeight="1">
      <c r="A22" s="115" t="s">
        <v>203</v>
      </c>
      <c r="B22" s="54"/>
      <c r="C22" s="16">
        <f t="shared" si="0"/>
        <v>0</v>
      </c>
      <c r="D22" s="112"/>
      <c r="E22" s="16">
        <f t="shared" si="1"/>
        <v>-4541</v>
      </c>
      <c r="F22" s="16"/>
      <c r="G22" s="21">
        <f t="shared" si="2"/>
        <v>-4541</v>
      </c>
      <c r="H22" s="55" t="str">
        <f>IF(ISNA(VLOOKUP($F$5 &amp; A22, AllocSched,9,FALSE))," ",VLOOKUP($F$5 &amp; A22, AllocSched,9,FALSE))</f>
        <v>001-011</v>
      </c>
      <c r="I22" s="56">
        <f>IF(ISNA(VLOOKUP($F$5 &amp; A22, AllocSched,14,FALSE))," ",VLOOKUP($F$5 &amp; A22, AllocSched,14,FALSE))</f>
        <v>101</v>
      </c>
    </row>
    <row r="23" spans="1:9" s="272" customFormat="1" ht="12.75" customHeight="1">
      <c r="A23" s="115" t="s">
        <v>454</v>
      </c>
      <c r="B23" s="54"/>
      <c r="C23" s="16">
        <f t="shared" si="0"/>
        <v>0</v>
      </c>
      <c r="D23" s="112"/>
      <c r="E23" s="16">
        <f t="shared" si="1"/>
        <v>-4187</v>
      </c>
      <c r="F23" s="16"/>
      <c r="G23" s="21">
        <f t="shared" si="2"/>
        <v>-4187</v>
      </c>
      <c r="H23" s="55" t="str">
        <f>IF(ISNA(VLOOKUP($F$5 &amp; A23, AllocSched,9,FALSE))," ",VLOOKUP($F$5 &amp; A23, AllocSched,9,FALSE))</f>
        <v>001-011</v>
      </c>
      <c r="I23" s="56">
        <f>IF(ISNA(VLOOKUP($F$5 &amp; A23, AllocSched,14,FALSE))," ",VLOOKUP($F$5 &amp; A23, AllocSched,14,FALSE))</f>
        <v>101</v>
      </c>
    </row>
    <row r="24" spans="1:9" ht="12.75" customHeight="1">
      <c r="A24" s="115"/>
      <c r="B24" s="54"/>
      <c r="C24" s="16"/>
      <c r="D24" s="112"/>
      <c r="E24" s="16"/>
      <c r="F24" s="16"/>
      <c r="G24" s="21"/>
      <c r="H24" s="55" t="str">
        <f t="shared" si="3"/>
        <v xml:space="preserve"> </v>
      </c>
      <c r="I24" s="56" t="str">
        <f t="shared" si="4"/>
        <v xml:space="preserve"> </v>
      </c>
    </row>
    <row r="25" spans="1:9" s="83" customFormat="1">
      <c r="A25" s="114" t="s">
        <v>168</v>
      </c>
      <c r="B25" s="84"/>
      <c r="C25" s="16"/>
      <c r="D25" s="112"/>
      <c r="E25" s="16"/>
      <c r="F25" s="16"/>
      <c r="G25" s="21"/>
      <c r="H25" s="55" t="str">
        <f t="shared" si="3"/>
        <v xml:space="preserve"> </v>
      </c>
      <c r="I25" s="56" t="str">
        <f t="shared" si="4"/>
        <v xml:space="preserve"> </v>
      </c>
    </row>
    <row r="26" spans="1:9" ht="12.75" customHeight="1">
      <c r="A26" s="38" t="s">
        <v>160</v>
      </c>
      <c r="C26" s="16">
        <f t="shared" ref="C26:C38" si="5">IF(ISNA(VLOOKUP($F$5 &amp;A26, AllocSched,12,FALSE)),"-",VLOOKUP($F$5 &amp;A26, AllocSched,12,FALSE))</f>
        <v>29237</v>
      </c>
      <c r="D26" s="112"/>
      <c r="E26" s="16">
        <f t="shared" ref="E26:E38" si="6">IF(ISNA(VLOOKUP($F$5 &amp; A26, AllocSched,13,FALSE)),"-",VLOOKUP($F$5 &amp; A26, AllocSched,13,FALSE))</f>
        <v>0</v>
      </c>
      <c r="F26" s="16"/>
      <c r="G26" s="21">
        <f t="shared" ref="G26:G38" si="7">IF(C26="-",E26,C26+E26)</f>
        <v>29237</v>
      </c>
      <c r="H26" s="55" t="str">
        <f>IF(ISNA(VLOOKUP($F$5 &amp; A26, AllocSched,9,FALSE))," ",VLOOKUP($F$5 &amp; A26, AllocSched,9,FALSE))</f>
        <v>001-011</v>
      </c>
      <c r="I26" s="56">
        <f t="shared" si="4"/>
        <v>101</v>
      </c>
    </row>
    <row r="27" spans="1:9" ht="12.75" customHeight="1">
      <c r="A27" s="38" t="s">
        <v>172</v>
      </c>
      <c r="C27" s="16" t="str">
        <f t="shared" si="5"/>
        <v>-</v>
      </c>
      <c r="D27" s="112"/>
      <c r="E27" s="16" t="str">
        <f t="shared" si="6"/>
        <v>-</v>
      </c>
      <c r="F27" s="16"/>
      <c r="G27" s="21" t="str">
        <f t="shared" si="7"/>
        <v>-</v>
      </c>
      <c r="H27" s="55" t="str">
        <f t="shared" si="3"/>
        <v xml:space="preserve"> </v>
      </c>
      <c r="I27" s="56" t="str">
        <f t="shared" si="4"/>
        <v xml:space="preserve"> </v>
      </c>
    </row>
    <row r="28" spans="1:9" ht="12.75" customHeight="1">
      <c r="A28" s="38" t="s">
        <v>222</v>
      </c>
      <c r="C28" s="16">
        <f>IF(ISNA(VLOOKUP($F$5 &amp;A28, AllocSched,12,FALSE)),"-",VLOOKUP($F$5 &amp;A28, AllocSched,12,FALSE))</f>
        <v>107050</v>
      </c>
      <c r="D28" s="112"/>
      <c r="E28" s="16">
        <f>IF(ISNA(VLOOKUP($F$5 &amp; A28, AllocSched,13,FALSE)),"-",VLOOKUP($F$5 &amp; A28, AllocSched,13,FALSE))</f>
        <v>-107050</v>
      </c>
      <c r="F28" s="16"/>
      <c r="G28" s="21">
        <f>IF(C28="-",E28,C28+E28)</f>
        <v>0</v>
      </c>
      <c r="H28" s="55" t="str">
        <f>IF(ISNA(VLOOKUP($F$5 &amp; A28, AllocSched,9,FALSE))," ",VLOOKUP($F$5 &amp; A28, AllocSched,9,FALSE))</f>
        <v>08A-3E0</v>
      </c>
      <c r="I28" s="56" t="str">
        <f t="shared" si="4"/>
        <v>3E0</v>
      </c>
    </row>
    <row r="29" spans="1:9" ht="12.75" customHeight="1">
      <c r="A29" s="38" t="s">
        <v>170</v>
      </c>
      <c r="C29" s="16">
        <f t="shared" si="5"/>
        <v>69260</v>
      </c>
      <c r="D29" s="112"/>
      <c r="E29" s="16">
        <f t="shared" si="6"/>
        <v>-12143</v>
      </c>
      <c r="F29" s="16"/>
      <c r="G29" s="21">
        <f t="shared" si="7"/>
        <v>57117</v>
      </c>
      <c r="H29" s="55" t="str">
        <f t="shared" si="3"/>
        <v>001-011</v>
      </c>
      <c r="I29" s="56">
        <f t="shared" si="4"/>
        <v>101</v>
      </c>
    </row>
    <row r="30" spans="1:9" s="272" customFormat="1" ht="12.75" customHeight="1">
      <c r="A30" s="38" t="s">
        <v>397</v>
      </c>
      <c r="C30" s="16">
        <f>IF(ISNA(VLOOKUP($F$5 &amp;A30, AllocSched,12,FALSE)),"-",VLOOKUP($F$5 &amp;A30, AllocSched,12,FALSE))</f>
        <v>58570</v>
      </c>
      <c r="D30" s="112"/>
      <c r="E30" s="16">
        <f>IF(ISNA(VLOOKUP($F$5 &amp; A30, AllocSched,13,FALSE)),"-",VLOOKUP($F$5 &amp; A30, AllocSched,13,FALSE))</f>
        <v>0</v>
      </c>
      <c r="F30" s="16"/>
      <c r="G30" s="21">
        <f>IF(C30="-",E30,C30+E30)</f>
        <v>58570</v>
      </c>
      <c r="H30" s="55" t="str">
        <f>IF(ISNA(VLOOKUP($F$5 &amp; A30, AllocSched,9,FALSE))," ",VLOOKUP($F$5 &amp; A30, AllocSched,9,FALSE))</f>
        <v>001-BK1</v>
      </c>
      <c r="I30" s="56" t="str">
        <f>IF(ISNA(VLOOKUP($F$5 &amp; A30, AllocSched,14,FALSE))," ",VLOOKUP($F$5 &amp; A30, AllocSched,14,FALSE))</f>
        <v>BK1</v>
      </c>
    </row>
    <row r="31" spans="1:9" ht="12.75" customHeight="1">
      <c r="A31" s="115" t="s">
        <v>151</v>
      </c>
      <c r="B31" s="54"/>
      <c r="C31" s="16">
        <f t="shared" si="5"/>
        <v>250000</v>
      </c>
      <c r="D31" s="112"/>
      <c r="E31" s="16">
        <f t="shared" si="6"/>
        <v>0</v>
      </c>
      <c r="F31" s="16"/>
      <c r="G31" s="21">
        <f t="shared" si="7"/>
        <v>250000</v>
      </c>
      <c r="H31" s="55" t="str">
        <f t="shared" si="3"/>
        <v>08A-3E0</v>
      </c>
      <c r="I31" s="56" t="str">
        <f t="shared" si="4"/>
        <v>3E0</v>
      </c>
    </row>
    <row r="32" spans="1:9" ht="12.75" customHeight="1">
      <c r="A32" s="115" t="s">
        <v>150</v>
      </c>
      <c r="B32" s="54"/>
      <c r="C32" s="16">
        <f t="shared" si="5"/>
        <v>29412</v>
      </c>
      <c r="D32" s="112"/>
      <c r="E32" s="16">
        <f t="shared" si="6"/>
        <v>0</v>
      </c>
      <c r="F32" s="16"/>
      <c r="G32" s="21">
        <f t="shared" si="7"/>
        <v>29412</v>
      </c>
      <c r="H32" s="55" t="str">
        <f t="shared" si="3"/>
        <v>001-011</v>
      </c>
      <c r="I32" s="56">
        <f t="shared" si="4"/>
        <v>101</v>
      </c>
    </row>
    <row r="33" spans="1:11" ht="12.75" customHeight="1">
      <c r="A33" s="115" t="s">
        <v>273</v>
      </c>
      <c r="B33" s="54"/>
      <c r="C33" s="16">
        <f>IF(ISNA(VLOOKUP($F$5 &amp;A33, AllocSched,12,FALSE)),"-",VLOOKUP($F$5 &amp;A33, AllocSched,12,FALSE))</f>
        <v>153939</v>
      </c>
      <c r="D33" s="112"/>
      <c r="E33" s="16">
        <f>IF(ISNA(VLOOKUP($F$5 &amp; A33, AllocSched,13,FALSE)),"-",VLOOKUP($F$5 &amp; A33, AllocSched,13,FALSE))</f>
        <v>-153939</v>
      </c>
      <c r="F33" s="16"/>
      <c r="G33" s="21">
        <f>IF(C33="-",E33,C33+E33)</f>
        <v>0</v>
      </c>
      <c r="H33" s="55" t="str">
        <f>IF(ISNA(VLOOKUP($F$5 &amp; A33, AllocSched,9,FALSE))," ",VLOOKUP($F$5 &amp; A33, AllocSched,9,FALSE))</f>
        <v>001-BD1</v>
      </c>
      <c r="I33" s="56" t="str">
        <f t="shared" si="4"/>
        <v>BD1</v>
      </c>
    </row>
    <row r="34" spans="1:11" ht="12.75" customHeight="1">
      <c r="A34" s="115" t="s">
        <v>6</v>
      </c>
      <c r="B34" s="54"/>
      <c r="C34" s="16">
        <f t="shared" si="5"/>
        <v>43390</v>
      </c>
      <c r="D34" s="112"/>
      <c r="E34" s="16">
        <f t="shared" si="6"/>
        <v>1100</v>
      </c>
      <c r="F34" s="16"/>
      <c r="G34" s="21">
        <f t="shared" si="7"/>
        <v>44490</v>
      </c>
      <c r="H34" s="55" t="str">
        <f t="shared" si="3"/>
        <v>001-011</v>
      </c>
      <c r="I34" s="56">
        <f t="shared" si="4"/>
        <v>101</v>
      </c>
    </row>
    <row r="35" spans="1:11" ht="12.75" customHeight="1">
      <c r="A35" s="115" t="s">
        <v>333</v>
      </c>
      <c r="B35" s="54"/>
      <c r="C35" s="16">
        <f t="shared" si="5"/>
        <v>200192</v>
      </c>
      <c r="D35" s="112"/>
      <c r="E35" s="16">
        <f t="shared" si="6"/>
        <v>0</v>
      </c>
      <c r="F35" s="16"/>
      <c r="G35" s="21">
        <f t="shared" si="7"/>
        <v>200192</v>
      </c>
      <c r="H35" s="55" t="str">
        <f t="shared" si="3"/>
        <v>001-011</v>
      </c>
      <c r="I35" s="56">
        <f t="shared" si="4"/>
        <v>101</v>
      </c>
    </row>
    <row r="36" spans="1:11" ht="12.75" customHeight="1">
      <c r="A36" s="115" t="s">
        <v>332</v>
      </c>
      <c r="B36" s="54"/>
      <c r="C36" s="16">
        <f t="shared" si="5"/>
        <v>956256</v>
      </c>
      <c r="D36" s="112"/>
      <c r="E36" s="16">
        <f t="shared" si="6"/>
        <v>0</v>
      </c>
      <c r="F36" s="16"/>
      <c r="G36" s="21">
        <f t="shared" si="7"/>
        <v>956256</v>
      </c>
      <c r="H36" s="55" t="str">
        <f t="shared" si="3"/>
        <v>001-AC1</v>
      </c>
      <c r="I36" s="56">
        <f t="shared" si="4"/>
        <v>123</v>
      </c>
    </row>
    <row r="37" spans="1:11" ht="12.75" customHeight="1">
      <c r="A37" s="115" t="s">
        <v>215</v>
      </c>
      <c r="B37" s="54"/>
      <c r="C37" s="16">
        <f t="shared" si="5"/>
        <v>348500</v>
      </c>
      <c r="D37" s="112"/>
      <c r="E37" s="16">
        <f t="shared" si="6"/>
        <v>-348500</v>
      </c>
      <c r="F37" s="16"/>
      <c r="G37" s="21">
        <f t="shared" si="7"/>
        <v>0</v>
      </c>
      <c r="H37" s="55" t="str">
        <f t="shared" si="3"/>
        <v>001-AC1</v>
      </c>
      <c r="I37" s="56">
        <f t="shared" si="4"/>
        <v>123</v>
      </c>
    </row>
    <row r="38" spans="1:11" s="272" customFormat="1" ht="12.75" customHeight="1">
      <c r="A38" s="281" t="s">
        <v>451</v>
      </c>
      <c r="B38" s="54"/>
      <c r="C38" s="16">
        <f t="shared" si="5"/>
        <v>0</v>
      </c>
      <c r="D38" s="112"/>
      <c r="E38" s="16">
        <f t="shared" si="6"/>
        <v>91113</v>
      </c>
      <c r="F38" s="16"/>
      <c r="G38" s="21">
        <f t="shared" si="7"/>
        <v>91113</v>
      </c>
      <c r="H38" s="55" t="str">
        <f>IF(ISNA(VLOOKUP($F$5 &amp; A38, AllocSched,9,FALSE))," ",VLOOKUP($F$5 &amp; A38, AllocSched,9,FALSE))</f>
        <v>001-011</v>
      </c>
      <c r="I38" s="56">
        <f>IF(ISNA(VLOOKUP($F$5 &amp; A38, AllocSched,14,FALSE))," ",VLOOKUP($F$5 &amp; A38, AllocSched,14,FALSE))</f>
        <v>101</v>
      </c>
    </row>
    <row r="39" spans="1:11" ht="12.75" customHeight="1">
      <c r="A39" s="54"/>
      <c r="B39" s="54"/>
      <c r="C39" s="16"/>
      <c r="D39" s="112"/>
      <c r="E39" s="16"/>
      <c r="F39" s="16"/>
      <c r="G39" s="21"/>
      <c r="H39" s="55"/>
      <c r="I39" s="56"/>
    </row>
    <row r="40" spans="1:11" ht="13.5" thickBot="1">
      <c r="A40" s="89" t="s">
        <v>174</v>
      </c>
      <c r="B40" s="57" t="s">
        <v>51</v>
      </c>
      <c r="C40" s="111">
        <f>SUM(C16:C38)</f>
        <v>18647479</v>
      </c>
      <c r="D40" s="113" t="s">
        <v>51</v>
      </c>
      <c r="E40" s="111">
        <f>SUM(E16:E38)</f>
        <v>652727</v>
      </c>
      <c r="F40" s="113" t="s">
        <v>51</v>
      </c>
      <c r="G40" s="111">
        <f>SUM(G16:G38)</f>
        <v>19300206</v>
      </c>
      <c r="J40" s="25"/>
      <c r="K40" s="30"/>
    </row>
    <row r="41" spans="1:11" ht="12.75" customHeight="1" thickTop="1">
      <c r="A41" s="84"/>
      <c r="B41" s="84"/>
      <c r="C41" s="58">
        <v>0</v>
      </c>
      <c r="D41" s="58"/>
      <c r="E41" s="90"/>
      <c r="F41" s="90"/>
      <c r="G41" s="90"/>
    </row>
    <row r="42" spans="1:11" s="65" customFormat="1" ht="25.5">
      <c r="A42" s="59" t="s">
        <v>156</v>
      </c>
      <c r="B42" s="60"/>
      <c r="C42" s="61"/>
      <c r="D42" s="62"/>
      <c r="E42" s="63" t="s">
        <v>67</v>
      </c>
      <c r="F42" s="62"/>
      <c r="G42" s="64" t="s">
        <v>163</v>
      </c>
      <c r="H42" s="64" t="s">
        <v>164</v>
      </c>
      <c r="I42" s="98" t="s">
        <v>70</v>
      </c>
    </row>
    <row r="43" spans="1:11" s="65" customFormat="1" ht="12.75" customHeight="1">
      <c r="A43" s="66" t="s">
        <v>240</v>
      </c>
      <c r="B43" s="67"/>
      <c r="C43" s="68"/>
      <c r="E43" s="66" t="s">
        <v>358</v>
      </c>
      <c r="G43" s="150">
        <f t="shared" ref="G43:G49" si="8">VLOOKUP($F$5 &amp; $A43 &amp; $E43,AddRes,7,FALSE)</f>
        <v>0</v>
      </c>
      <c r="H43" s="150">
        <f t="shared" ref="H43:H49" si="9">VLOOKUP($F$5 &amp; $A43 &amp; $E43,AddRes,8,FALSE)</f>
        <v>0</v>
      </c>
      <c r="I43" s="69">
        <f t="shared" ref="I43:I49" si="10">VLOOKUP($F$5 &amp; $A43 &amp; $E43,AddRes,10,FALSE)</f>
        <v>42277</v>
      </c>
    </row>
    <row r="44" spans="1:11" s="65" customFormat="1" ht="12.75" customHeight="1">
      <c r="A44" s="66" t="s">
        <v>497</v>
      </c>
      <c r="B44" s="67"/>
      <c r="C44" s="68"/>
      <c r="E44" s="66" t="s">
        <v>559</v>
      </c>
      <c r="G44" s="150">
        <f t="shared" si="8"/>
        <v>0</v>
      </c>
      <c r="H44" s="150">
        <f t="shared" si="9"/>
        <v>0</v>
      </c>
      <c r="I44" s="69">
        <f t="shared" si="10"/>
        <v>42551</v>
      </c>
    </row>
    <row r="45" spans="1:11" s="65" customFormat="1" ht="12.75" customHeight="1">
      <c r="A45" s="66" t="s">
        <v>498</v>
      </c>
      <c r="B45" s="67"/>
      <c r="C45" s="68"/>
      <c r="E45" s="66" t="s">
        <v>560</v>
      </c>
      <c r="G45" s="150">
        <f t="shared" si="8"/>
        <v>0</v>
      </c>
      <c r="H45" s="150">
        <f t="shared" si="9"/>
        <v>0</v>
      </c>
      <c r="I45" s="69">
        <f t="shared" si="10"/>
        <v>42551</v>
      </c>
    </row>
    <row r="46" spans="1:11" s="65" customFormat="1" ht="12.75" customHeight="1">
      <c r="A46" s="66" t="s">
        <v>505</v>
      </c>
      <c r="B46" s="67"/>
      <c r="C46" s="68"/>
      <c r="E46" s="66" t="s">
        <v>561</v>
      </c>
      <c r="G46" s="150">
        <f t="shared" si="8"/>
        <v>0</v>
      </c>
      <c r="H46" s="150">
        <f t="shared" si="9"/>
        <v>0</v>
      </c>
      <c r="I46" s="69">
        <f t="shared" si="10"/>
        <v>42551</v>
      </c>
    </row>
    <row r="47" spans="1:11" s="65" customFormat="1" ht="12.75" customHeight="1">
      <c r="A47" s="66" t="s">
        <v>231</v>
      </c>
      <c r="B47" s="67"/>
      <c r="C47" s="68"/>
      <c r="E47" s="66" t="s">
        <v>562</v>
      </c>
      <c r="G47" s="150">
        <f t="shared" si="8"/>
        <v>0</v>
      </c>
      <c r="H47" s="150">
        <f t="shared" si="9"/>
        <v>0</v>
      </c>
      <c r="I47" s="69">
        <f t="shared" si="10"/>
        <v>42551</v>
      </c>
    </row>
    <row r="48" spans="1:11" s="65" customFormat="1" ht="12.75" customHeight="1">
      <c r="A48" s="66" t="s">
        <v>506</v>
      </c>
      <c r="B48" s="67"/>
      <c r="C48" s="68"/>
      <c r="E48" s="66" t="s">
        <v>563</v>
      </c>
      <c r="G48" s="150">
        <f t="shared" si="8"/>
        <v>0</v>
      </c>
      <c r="H48" s="150">
        <f t="shared" si="9"/>
        <v>0</v>
      </c>
      <c r="I48" s="69">
        <f t="shared" si="10"/>
        <v>42551</v>
      </c>
    </row>
    <row r="49" spans="1:12" s="65" customFormat="1" ht="12.75" customHeight="1">
      <c r="A49" s="66" t="s">
        <v>232</v>
      </c>
      <c r="B49" s="67"/>
      <c r="C49" s="68"/>
      <c r="E49" s="66" t="s">
        <v>564</v>
      </c>
      <c r="G49" s="150">
        <f t="shared" si="8"/>
        <v>0</v>
      </c>
      <c r="H49" s="150">
        <f t="shared" si="9"/>
        <v>0</v>
      </c>
      <c r="I49" s="69">
        <f t="shared" si="10"/>
        <v>42551</v>
      </c>
    </row>
    <row r="50" spans="1:12" s="65" customFormat="1" ht="12.75" customHeight="1">
      <c r="A50" s="66"/>
      <c r="C50" s="70"/>
      <c r="D50" s="70"/>
      <c r="E50" s="70"/>
      <c r="F50" s="70"/>
      <c r="G50" s="71"/>
      <c r="H50" s="72"/>
      <c r="I50" s="73"/>
      <c r="K50" s="75"/>
      <c r="L50" s="75"/>
    </row>
    <row r="51" spans="1:12" s="65" customFormat="1" ht="12.75" customHeight="1">
      <c r="A51" s="66"/>
      <c r="C51" s="74" t="s">
        <v>71</v>
      </c>
      <c r="D51" s="70"/>
      <c r="E51" s="70"/>
      <c r="F51" s="70"/>
      <c r="G51" s="75">
        <f>SUM(G43:G49)</f>
        <v>0</v>
      </c>
      <c r="H51" s="75">
        <f>SUM(H43:H49)</f>
        <v>0</v>
      </c>
      <c r="I51" s="73"/>
    </row>
    <row r="52" spans="1:12" s="65" customFormat="1" ht="12.75" customHeight="1">
      <c r="A52" s="66"/>
      <c r="C52" s="70"/>
      <c r="D52" s="70"/>
      <c r="E52" s="70"/>
      <c r="F52" s="70"/>
      <c r="G52" s="70"/>
      <c r="I52" s="73"/>
    </row>
    <row r="53" spans="1:12" s="65" customFormat="1" ht="12.75" customHeight="1">
      <c r="C53" s="70"/>
      <c r="D53" s="70"/>
      <c r="E53" s="70"/>
      <c r="F53" s="70"/>
      <c r="G53" s="70"/>
      <c r="I53" s="73"/>
    </row>
    <row r="54" spans="1:12" s="65" customFormat="1" ht="12.75" customHeight="1">
      <c r="C54" s="70"/>
      <c r="D54" s="70"/>
      <c r="E54" s="70"/>
      <c r="F54" s="70"/>
      <c r="G54" s="70"/>
      <c r="I54" s="73"/>
    </row>
    <row r="55" spans="1:12" s="65" customFormat="1" ht="12.75" customHeight="1">
      <c r="C55" s="70"/>
      <c r="D55" s="70"/>
      <c r="E55" s="70"/>
      <c r="F55" s="70"/>
      <c r="G55" s="70"/>
      <c r="I55" s="73"/>
    </row>
    <row r="56" spans="1:12" s="65" customFormat="1" ht="12.75" customHeight="1">
      <c r="C56" s="70"/>
      <c r="D56" s="70"/>
      <c r="E56" s="70"/>
      <c r="F56" s="70"/>
      <c r="G56" s="70"/>
      <c r="I56" s="73"/>
    </row>
    <row r="57" spans="1:12" s="65" customFormat="1" ht="12.75" customHeight="1">
      <c r="C57" s="70"/>
      <c r="D57" s="70"/>
      <c r="E57" s="70"/>
      <c r="F57" s="70"/>
      <c r="G57" s="70"/>
      <c r="I57" s="73"/>
    </row>
    <row r="58" spans="1:12" s="65" customFormat="1" ht="12.75" customHeight="1">
      <c r="C58" s="70"/>
      <c r="D58" s="70"/>
      <c r="E58" s="70"/>
      <c r="F58" s="70"/>
      <c r="G58" s="70"/>
      <c r="I58" s="73"/>
    </row>
    <row r="59" spans="1:12" s="65" customFormat="1" ht="12.75" customHeight="1">
      <c r="C59" s="70"/>
      <c r="D59" s="70"/>
      <c r="E59" s="70"/>
      <c r="F59" s="70"/>
      <c r="G59" s="70"/>
      <c r="I59" s="73"/>
    </row>
    <row r="60" spans="1:12" s="65" customFormat="1" ht="12.75" customHeight="1">
      <c r="C60" s="70"/>
      <c r="D60" s="70"/>
      <c r="E60" s="70"/>
      <c r="F60" s="70"/>
      <c r="G60" s="70"/>
      <c r="I60" s="73"/>
    </row>
    <row r="61" spans="1:12" s="65" customFormat="1" ht="12.75" customHeight="1">
      <c r="C61" s="70"/>
      <c r="D61" s="70"/>
      <c r="E61" s="70"/>
      <c r="F61" s="70"/>
      <c r="G61" s="70"/>
      <c r="I61" s="73"/>
    </row>
    <row r="62" spans="1:12" s="65" customFormat="1" ht="12.75" customHeight="1">
      <c r="C62" s="70"/>
      <c r="D62" s="70"/>
      <c r="E62" s="70"/>
      <c r="F62" s="70"/>
      <c r="G62" s="70"/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</sheetData>
  <mergeCells count="2">
    <mergeCell ref="A8:I8"/>
    <mergeCell ref="G5:I5"/>
  </mergeCells>
  <phoneticPr fontId="0" type="noConversion"/>
  <conditionalFormatting sqref="G40">
    <cfRule type="cellIs" dxfId="23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K146"/>
  <sheetViews>
    <sheetView topLeftCell="A8"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3.5703125" style="23" bestFit="1" customWidth="1"/>
    <col min="11" max="12" width="11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137</v>
      </c>
      <c r="G5" s="505" t="str">
        <f>VLOOKUP($F5,District,2,FALSE)</f>
        <v>Edmonds Community College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5037</v>
      </c>
      <c r="D10" s="48"/>
      <c r="E10" s="48">
        <f>IF(ISNA(VLOOKUP($F$5,Student,14,FALSE)),0,VLOOKUP($F$5,Student,14,FALSE))</f>
        <v>65</v>
      </c>
      <c r="F10" s="48"/>
      <c r="G10" s="48">
        <f>$E$10+$C$10+$A$10</f>
        <v>5102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17" si="0">IF(ISNA(VLOOKUP($F$5 &amp;A16, AllocSched,12,FALSE)),"-",VLOOKUP($F$5 &amp;A16, AllocSched,12,FALSE))</f>
        <v>17957602</v>
      </c>
      <c r="D16" s="112" t="s">
        <v>51</v>
      </c>
      <c r="E16" s="16">
        <f>IF(ISNA(VLOOKUP($F$5 &amp; A16, AllocSched,13,FALSE)),"-",VLOOKUP($F$5 &amp; A16, AllocSched,13,FALSE))</f>
        <v>-19568</v>
      </c>
      <c r="F16" s="16" t="s">
        <v>51</v>
      </c>
      <c r="G16" s="16">
        <f t="shared" ref="G16:G24" si="1">IF(C16="-",E16,C16+E16)</f>
        <v>17938034</v>
      </c>
      <c r="H16" s="55" t="str">
        <f t="shared" ref="H16:H22" si="2">IF(ISNA(VLOOKUP($F$5 &amp; A16, AllocSched,9,FALSE))," ",VLOOKUP($F$5 &amp; A16, AllocSched,9,FALSE))</f>
        <v>001-011</v>
      </c>
      <c r="I16" s="56">
        <f t="shared" ref="I16:I43" si="3">IF(ISNA(VLOOKUP($F$5 &amp; A16, AllocSched,14,FALSE))," ",VLOOKUP($F$5 &amp; A16, AllocSched,14,FALSE))</f>
        <v>101</v>
      </c>
    </row>
    <row r="17" spans="1:9" ht="12.75" customHeight="1">
      <c r="A17" s="115" t="s">
        <v>171</v>
      </c>
      <c r="B17" s="54"/>
      <c r="C17" s="16">
        <f t="shared" si="0"/>
        <v>799873</v>
      </c>
      <c r="D17" s="112"/>
      <c r="E17" s="16">
        <f t="shared" ref="E17:E22" si="4">IF(ISNA(VLOOKUP($F$5 &amp; A17, AllocSched,13,FALSE)),"-",VLOOKUP($F$5 &amp; A17, AllocSched,13,FALSE))</f>
        <v>19568</v>
      </c>
      <c r="F17" s="16"/>
      <c r="G17" s="16">
        <f t="shared" si="1"/>
        <v>819441</v>
      </c>
      <c r="H17" s="55" t="str">
        <f t="shared" si="2"/>
        <v>08A-3E0</v>
      </c>
      <c r="I17" s="56" t="str">
        <f t="shared" si="3"/>
        <v>3E0</v>
      </c>
    </row>
    <row r="18" spans="1:9" s="272" customFormat="1" ht="12.75" customHeight="1">
      <c r="A18" s="38" t="s">
        <v>781</v>
      </c>
      <c r="B18" s="54"/>
      <c r="C18" s="16">
        <f t="shared" ref="C18:C24" si="5">IF(ISNA(VLOOKUP($F$5 &amp;A18, AllocSched,12,FALSE)),"-",VLOOKUP($F$5 &amp;A18, AllocSched,12,FALSE))</f>
        <v>0</v>
      </c>
      <c r="D18" s="112"/>
      <c r="E18" s="16">
        <f>IF(ISNA(VLOOKUP($F$5 &amp; A18, AllocSched,13,FALSE)),"-",VLOOKUP($F$5 &amp; A18, AllocSched,13,FALSE))</f>
        <v>151028</v>
      </c>
      <c r="F18" s="16"/>
      <c r="G18" s="16">
        <f t="shared" si="1"/>
        <v>151028</v>
      </c>
      <c r="H18" s="55" t="str">
        <f>IF(ISNA(VLOOKUP($F$5 &amp; A18, AllocSched,9,FALSE))," ",VLOOKUP($F$5 &amp; A18, AllocSched,9,FALSE))</f>
        <v>001-011</v>
      </c>
      <c r="I18" s="56">
        <f t="shared" si="3"/>
        <v>101</v>
      </c>
    </row>
    <row r="19" spans="1:9" s="272" customFormat="1" ht="12.75" customHeight="1">
      <c r="A19" s="115" t="s">
        <v>448</v>
      </c>
      <c r="B19" s="54"/>
      <c r="C19" s="16">
        <f t="shared" si="5"/>
        <v>0</v>
      </c>
      <c r="D19" s="112"/>
      <c r="E19" s="16">
        <f>IF(ISNA(VLOOKUP($F$5 &amp; A19, AllocSched,13,FALSE)),"-",VLOOKUP($F$5 &amp; A19, AllocSched,13,FALSE))</f>
        <v>467106</v>
      </c>
      <c r="F19" s="16"/>
      <c r="G19" s="16">
        <f t="shared" si="1"/>
        <v>467106</v>
      </c>
      <c r="H19" s="55" t="str">
        <f>IF(ISNA(VLOOKUP($F$5 &amp; A19, AllocSched,9,FALSE))," ",VLOOKUP($F$5 &amp; A19, AllocSched,9,FALSE))</f>
        <v>001-011</v>
      </c>
      <c r="I19" s="56">
        <f t="shared" si="3"/>
        <v>101</v>
      </c>
    </row>
    <row r="20" spans="1:9" s="269" customFormat="1" ht="12.75" customHeight="1">
      <c r="A20" s="115" t="s">
        <v>340</v>
      </c>
      <c r="B20" s="54"/>
      <c r="C20" s="16">
        <f t="shared" si="5"/>
        <v>0</v>
      </c>
      <c r="D20" s="112"/>
      <c r="E20" s="16">
        <f>IF(ISNA(VLOOKUP($F$5 &amp; A20, AllocSched,13,FALSE)),"-",VLOOKUP($F$5 &amp; A20, AllocSched,13,FALSE))</f>
        <v>1236060</v>
      </c>
      <c r="F20" s="16"/>
      <c r="G20" s="16">
        <f t="shared" si="1"/>
        <v>1236060</v>
      </c>
      <c r="H20" s="55" t="str">
        <f>IF(ISNA(VLOOKUP($F$5 &amp; A20, AllocSched,9,FALSE))," ",VLOOKUP($F$5 &amp; A20, AllocSched,9,FALSE))</f>
        <v>001-011</v>
      </c>
      <c r="I20" s="56">
        <f t="shared" si="3"/>
        <v>101</v>
      </c>
    </row>
    <row r="21" spans="1:9" ht="12.75" customHeight="1">
      <c r="A21" s="115" t="s">
        <v>253</v>
      </c>
      <c r="B21" s="54"/>
      <c r="C21" s="16">
        <f t="shared" si="5"/>
        <v>0</v>
      </c>
      <c r="D21" s="112"/>
      <c r="E21" s="16">
        <f t="shared" si="4"/>
        <v>64000</v>
      </c>
      <c r="F21" s="16"/>
      <c r="G21" s="16">
        <f t="shared" si="1"/>
        <v>64000</v>
      </c>
      <c r="H21" s="55" t="str">
        <f>IF(ISNA(VLOOKUP($F$5 &amp; A21, AllocSched,9,FALSE))," ",VLOOKUP($F$5 &amp; A21, AllocSched,9,FALSE))</f>
        <v>001-011</v>
      </c>
      <c r="I21" s="56">
        <f t="shared" si="3"/>
        <v>101</v>
      </c>
    </row>
    <row r="22" spans="1:9" ht="12.75" customHeight="1">
      <c r="A22" s="115" t="s">
        <v>207</v>
      </c>
      <c r="B22" s="54"/>
      <c r="C22" s="16">
        <f t="shared" si="5"/>
        <v>0</v>
      </c>
      <c r="D22" s="112"/>
      <c r="E22" s="16">
        <f t="shared" si="4"/>
        <v>121581</v>
      </c>
      <c r="F22" s="16"/>
      <c r="G22" s="16">
        <f t="shared" si="1"/>
        <v>121581</v>
      </c>
      <c r="H22" s="55" t="str">
        <f t="shared" si="2"/>
        <v>001-011</v>
      </c>
      <c r="I22" s="56">
        <f t="shared" si="3"/>
        <v>101</v>
      </c>
    </row>
    <row r="23" spans="1:9" s="272" customFormat="1" ht="12.75" customHeight="1">
      <c r="A23" s="115" t="s">
        <v>203</v>
      </c>
      <c r="B23" s="54"/>
      <c r="C23" s="16">
        <f t="shared" si="5"/>
        <v>0</v>
      </c>
      <c r="D23" s="112"/>
      <c r="E23" s="16">
        <f>IF(ISNA(VLOOKUP($F$5 &amp; A23, AllocSched,13,FALSE)),"-",VLOOKUP($F$5 &amp; A23, AllocSched,13,FALSE))</f>
        <v>-5535</v>
      </c>
      <c r="F23" s="16"/>
      <c r="G23" s="16">
        <f t="shared" si="1"/>
        <v>-5535</v>
      </c>
      <c r="H23" s="55" t="str">
        <f>IF(ISNA(VLOOKUP($F$5 &amp; A23, AllocSched,9,FALSE))," ",VLOOKUP($F$5 &amp; A23, AllocSched,9,FALSE))</f>
        <v>001-011</v>
      </c>
      <c r="I23" s="56">
        <f t="shared" si="3"/>
        <v>101</v>
      </c>
    </row>
    <row r="24" spans="1:9" s="272" customFormat="1" ht="12.75" customHeight="1">
      <c r="A24" s="115" t="s">
        <v>487</v>
      </c>
      <c r="B24" s="54"/>
      <c r="C24" s="16">
        <f t="shared" si="5"/>
        <v>0</v>
      </c>
      <c r="D24" s="112"/>
      <c r="E24" s="16">
        <f>IF(ISNA(VLOOKUP($F$5 &amp; A24, AllocSched,13,FALSE)),"-",VLOOKUP($F$5 &amp; A24, AllocSched,13,FALSE))</f>
        <v>-10369</v>
      </c>
      <c r="F24" s="16"/>
      <c r="G24" s="16">
        <f t="shared" si="1"/>
        <v>-10369</v>
      </c>
      <c r="H24" s="55" t="str">
        <f>IF(ISNA(VLOOKUP($F$5 &amp; A24, AllocSched,9,FALSE))," ",VLOOKUP($F$5 &amp; A24, AllocSched,9,FALSE))</f>
        <v>001-011</v>
      </c>
      <c r="I24" s="56">
        <f t="shared" si="3"/>
        <v>101</v>
      </c>
    </row>
    <row r="25" spans="1:9" ht="12.75" customHeight="1">
      <c r="A25" s="115"/>
      <c r="B25" s="54"/>
      <c r="C25" s="16"/>
      <c r="D25" s="112"/>
      <c r="E25" s="16"/>
      <c r="F25" s="16"/>
      <c r="G25" s="16"/>
      <c r="H25" s="55" t="str">
        <f t="shared" ref="H25:H42" si="6">IF(ISNA(VLOOKUP($F$5 &amp; A25, AllocSched,9,FALSE))," ",VLOOKUP($F$5 &amp; A25, AllocSched,9,FALSE))</f>
        <v xml:space="preserve"> </v>
      </c>
      <c r="I25" s="56" t="str">
        <f t="shared" si="3"/>
        <v xml:space="preserve"> </v>
      </c>
    </row>
    <row r="26" spans="1:9" s="83" customFormat="1">
      <c r="A26" s="114" t="s">
        <v>168</v>
      </c>
      <c r="B26" s="84"/>
      <c r="C26" s="16"/>
      <c r="D26" s="112"/>
      <c r="E26" s="16"/>
      <c r="F26" s="16"/>
      <c r="G26" s="16"/>
      <c r="H26" s="55" t="str">
        <f t="shared" si="6"/>
        <v xml:space="preserve"> </v>
      </c>
      <c r="I26" s="56" t="str">
        <f t="shared" si="3"/>
        <v xml:space="preserve"> </v>
      </c>
    </row>
    <row r="27" spans="1:9" s="83" customFormat="1">
      <c r="A27" s="38" t="s">
        <v>345</v>
      </c>
      <c r="B27" s="84"/>
      <c r="C27" s="16">
        <f>IF(ISNA(VLOOKUP($F$5 &amp;A27, AllocSched,12,FALSE)),"-",VLOOKUP($F$5 &amp;A27, AllocSched,12,FALSE))</f>
        <v>512720</v>
      </c>
      <c r="D27" s="112"/>
      <c r="E27" s="16">
        <f>IF(ISNA(VLOOKUP($F$5 &amp; A27, AllocSched,13,FALSE)),"-",VLOOKUP($F$5 &amp; A27, AllocSched,13,FALSE))</f>
        <v>0</v>
      </c>
      <c r="F27" s="16"/>
      <c r="G27" s="16">
        <f>IF(C27="-",E27,C27+E27)</f>
        <v>512720</v>
      </c>
      <c r="H27" s="55" t="str">
        <f>IF(ISNA(VLOOKUP($F$5 &amp; A27, AllocSched,9,FALSE))," ",VLOOKUP($F$5 &amp; A27, AllocSched,9,FALSE))</f>
        <v>001-011</v>
      </c>
      <c r="I27" s="56">
        <f t="shared" si="3"/>
        <v>101</v>
      </c>
    </row>
    <row r="28" spans="1:9" ht="12.75" customHeight="1">
      <c r="A28" s="38" t="s">
        <v>222</v>
      </c>
      <c r="C28" s="16">
        <f>IF(ISNA(VLOOKUP($F$5 &amp;A28, AllocSched,12,FALSE)),"-",VLOOKUP($F$5 &amp;A28, AllocSched,12,FALSE))</f>
        <v>132776</v>
      </c>
      <c r="D28" s="112"/>
      <c r="E28" s="16">
        <f>IF(ISNA(VLOOKUP($F$5 &amp; A28, AllocSched,13,FALSE)),"-",VLOOKUP($F$5 &amp; A28, AllocSched,13,FALSE))</f>
        <v>-132776</v>
      </c>
      <c r="F28" s="16"/>
      <c r="G28" s="16">
        <f>IF(C28="-",E28,C28+E28)</f>
        <v>0</v>
      </c>
      <c r="H28" s="55" t="str">
        <f>IF(ISNA(VLOOKUP($F$5 &amp; A28, AllocSched,9,FALSE))," ",VLOOKUP($F$5 &amp; A28, AllocSched,9,FALSE))</f>
        <v>08A-3E0</v>
      </c>
      <c r="I28" s="56" t="str">
        <f t="shared" si="3"/>
        <v>3E0</v>
      </c>
    </row>
    <row r="29" spans="1:9" ht="12.75" customHeight="1">
      <c r="A29" s="38" t="s">
        <v>170</v>
      </c>
      <c r="C29" s="16">
        <f t="shared" ref="C29:C42" si="7">IF(ISNA(VLOOKUP($F$5 &amp;A29, AllocSched,12,FALSE)),"-",VLOOKUP($F$5 &amp;A29, AllocSched,12,FALSE))</f>
        <v>106712</v>
      </c>
      <c r="D29" s="112"/>
      <c r="E29" s="16">
        <f t="shared" ref="E29:E42" si="8">IF(ISNA(VLOOKUP($F$5 &amp; A29, AllocSched,13,FALSE)),"-",VLOOKUP($F$5 &amp; A29, AllocSched,13,FALSE))</f>
        <v>-22610</v>
      </c>
      <c r="F29" s="16"/>
      <c r="G29" s="16">
        <f t="shared" ref="G29:G42" si="9">IF(C29="-",E29,C29+E29)</f>
        <v>84102</v>
      </c>
      <c r="H29" s="55" t="str">
        <f t="shared" si="6"/>
        <v>001-011</v>
      </c>
      <c r="I29" s="56">
        <f t="shared" si="3"/>
        <v>101</v>
      </c>
    </row>
    <row r="30" spans="1:9" ht="12.75" customHeight="1">
      <c r="A30" s="115" t="s">
        <v>157</v>
      </c>
      <c r="B30" s="54"/>
      <c r="C30" s="16">
        <f t="shared" si="7"/>
        <v>1139716</v>
      </c>
      <c r="D30" s="112"/>
      <c r="E30" s="16">
        <f t="shared" si="8"/>
        <v>0</v>
      </c>
      <c r="F30" s="16"/>
      <c r="G30" s="16">
        <f t="shared" si="9"/>
        <v>1139716</v>
      </c>
      <c r="H30" s="55" t="str">
        <f t="shared" si="6"/>
        <v>001-011</v>
      </c>
      <c r="I30" s="56">
        <f t="shared" si="3"/>
        <v>101</v>
      </c>
    </row>
    <row r="31" spans="1:9" s="271" customFormat="1" ht="12.75" customHeight="1">
      <c r="A31" s="115" t="s">
        <v>341</v>
      </c>
      <c r="B31" s="54"/>
      <c r="C31" s="16">
        <f>IF(ISNA(VLOOKUP($F$5 &amp;A31, AllocSched,12,FALSE)),"-",VLOOKUP($F$5 &amp;A31, AllocSched,12,FALSE))</f>
        <v>500000</v>
      </c>
      <c r="D31" s="112"/>
      <c r="E31" s="16">
        <f>IF(ISNA(VLOOKUP($F$5 &amp; A31, AllocSched,13,FALSE)),"-",VLOOKUP($F$5 &amp; A31, AllocSched,13,FALSE))</f>
        <v>580000</v>
      </c>
      <c r="F31" s="16"/>
      <c r="G31" s="16">
        <f>IF(C31="-",E31,C31+E31)</f>
        <v>1080000</v>
      </c>
      <c r="H31" s="55" t="str">
        <f>IF(ISNA(VLOOKUP($F$5 &amp; A31, AllocSched,9,FALSE))," ",VLOOKUP($F$5 &amp; A31, AllocSched,9,FALSE))</f>
        <v>001-BJ1</v>
      </c>
      <c r="I31" s="56" t="str">
        <f t="shared" si="3"/>
        <v>BJ1</v>
      </c>
    </row>
    <row r="32" spans="1:9" s="272" customFormat="1" ht="12.75" customHeight="1">
      <c r="A32" s="115" t="s">
        <v>162</v>
      </c>
      <c r="B32" s="54"/>
      <c r="C32" s="16">
        <f>IF(ISNA(VLOOKUP($F$5 &amp;A32, AllocSched,12,FALSE)),"-",VLOOKUP($F$5 &amp;A32, AllocSched,12,FALSE))</f>
        <v>134220</v>
      </c>
      <c r="D32" s="112"/>
      <c r="E32" s="16">
        <f>IF(ISNA(VLOOKUP($F$5 &amp; A32, AllocSched,13,FALSE)),"-",VLOOKUP($F$5 &amp; A32, AllocSched,13,FALSE))</f>
        <v>-134220</v>
      </c>
      <c r="F32" s="16"/>
      <c r="G32" s="16">
        <f>IF(C32="-",E32,C32+E32)</f>
        <v>0</v>
      </c>
      <c r="H32" s="55" t="str">
        <f>IF(ISNA(VLOOKUP($F$5 &amp; A32, AllocSched,9,FALSE))," ",VLOOKUP($F$5 &amp; A32, AllocSched,9,FALSE))</f>
        <v>001-011</v>
      </c>
      <c r="I32" s="56">
        <f t="shared" si="3"/>
        <v>101</v>
      </c>
    </row>
    <row r="33" spans="1:11" s="272" customFormat="1" ht="12.75" customHeight="1">
      <c r="A33" s="38" t="s">
        <v>397</v>
      </c>
      <c r="B33" s="54"/>
      <c r="C33" s="16">
        <f>IF(ISNA(VLOOKUP($F$5 &amp;A33, AllocSched,12,FALSE)),"-",VLOOKUP($F$5 &amp;A33, AllocSched,12,FALSE))</f>
        <v>58570</v>
      </c>
      <c r="D33" s="112"/>
      <c r="E33" s="16">
        <f>IF(ISNA(VLOOKUP($F$5 &amp; A33, AllocSched,13,FALSE)),"-",VLOOKUP($F$5 &amp; A33, AllocSched,13,FALSE))</f>
        <v>0</v>
      </c>
      <c r="F33" s="16"/>
      <c r="G33" s="16">
        <f>IF(C33="-",E33,C33+E33)</f>
        <v>58570</v>
      </c>
      <c r="H33" s="55" t="str">
        <f>IF(ISNA(VLOOKUP($F$5 &amp; A33, AllocSched,9,FALSE))," ",VLOOKUP($F$5 &amp; A33, AllocSched,9,FALSE))</f>
        <v>001-BK1</v>
      </c>
      <c r="I33" s="56" t="str">
        <f t="shared" si="3"/>
        <v>BK1</v>
      </c>
    </row>
    <row r="34" spans="1:11" ht="12.75" customHeight="1">
      <c r="A34" s="115" t="s">
        <v>150</v>
      </c>
      <c r="B34" s="54"/>
      <c r="C34" s="16">
        <f t="shared" si="7"/>
        <v>461412</v>
      </c>
      <c r="D34" s="112"/>
      <c r="E34" s="16">
        <f t="shared" si="8"/>
        <v>0</v>
      </c>
      <c r="F34" s="16"/>
      <c r="G34" s="16">
        <f t="shared" si="9"/>
        <v>461412</v>
      </c>
      <c r="H34" s="55" t="str">
        <f t="shared" si="6"/>
        <v>001-011</v>
      </c>
      <c r="I34" s="56">
        <f t="shared" si="3"/>
        <v>101</v>
      </c>
    </row>
    <row r="35" spans="1:11" ht="12.75" customHeight="1">
      <c r="A35" s="115" t="s">
        <v>272</v>
      </c>
      <c r="B35" s="54"/>
      <c r="C35" s="16">
        <f t="shared" si="7"/>
        <v>20212</v>
      </c>
      <c r="D35" s="112"/>
      <c r="E35" s="16">
        <f t="shared" si="8"/>
        <v>0</v>
      </c>
      <c r="F35" s="16"/>
      <c r="G35" s="16">
        <f t="shared" si="9"/>
        <v>20212</v>
      </c>
      <c r="H35" s="55" t="str">
        <f t="shared" si="6"/>
        <v>001-BD1</v>
      </c>
      <c r="I35" s="56" t="str">
        <f t="shared" si="3"/>
        <v>BD1</v>
      </c>
    </row>
    <row r="36" spans="1:11" ht="12.75" customHeight="1">
      <c r="A36" s="115" t="s">
        <v>273</v>
      </c>
      <c r="B36" s="54"/>
      <c r="C36" s="16">
        <f>IF(ISNA(VLOOKUP($F$5 &amp;A36, AllocSched,12,FALSE)),"-",VLOOKUP($F$5 &amp;A36, AllocSched,12,FALSE))</f>
        <v>170780</v>
      </c>
      <c r="D36" s="112"/>
      <c r="E36" s="16">
        <f>IF(ISNA(VLOOKUP($F$5 &amp; A36, AllocSched,13,FALSE)),"-",VLOOKUP($F$5 &amp; A36, AllocSched,13,FALSE))</f>
        <v>-170780</v>
      </c>
      <c r="F36" s="16"/>
      <c r="G36" s="16">
        <f>IF(C36="-",E36,C36+E36)</f>
        <v>0</v>
      </c>
      <c r="H36" s="55" t="str">
        <f>IF(ISNA(VLOOKUP($F$5 &amp; A36, AllocSched,9,FALSE))," ",VLOOKUP($F$5 &amp; A36, AllocSched,9,FALSE))</f>
        <v>001-BD1</v>
      </c>
      <c r="I36" s="56" t="str">
        <f t="shared" si="3"/>
        <v>BD1</v>
      </c>
    </row>
    <row r="37" spans="1:11" ht="12.75" customHeight="1">
      <c r="A37" s="115" t="s">
        <v>6</v>
      </c>
      <c r="B37" s="54"/>
      <c r="C37" s="16">
        <f t="shared" si="7"/>
        <v>44088</v>
      </c>
      <c r="D37" s="112"/>
      <c r="E37" s="16">
        <f t="shared" si="8"/>
        <v>3362</v>
      </c>
      <c r="F37" s="16"/>
      <c r="G37" s="16">
        <f t="shared" si="9"/>
        <v>47450</v>
      </c>
      <c r="H37" s="55" t="str">
        <f t="shared" si="6"/>
        <v>001-011</v>
      </c>
      <c r="I37" s="56">
        <f t="shared" si="3"/>
        <v>101</v>
      </c>
    </row>
    <row r="38" spans="1:11" ht="12.75" customHeight="1">
      <c r="A38" s="115" t="s">
        <v>66</v>
      </c>
      <c r="B38" s="54"/>
      <c r="C38" s="16">
        <f t="shared" si="7"/>
        <v>99529</v>
      </c>
      <c r="D38" s="112"/>
      <c r="E38" s="16">
        <f t="shared" si="8"/>
        <v>0</v>
      </c>
      <c r="F38" s="16"/>
      <c r="G38" s="16">
        <f t="shared" si="9"/>
        <v>99529</v>
      </c>
      <c r="H38" s="55" t="str">
        <f t="shared" si="6"/>
        <v>08A-3E0</v>
      </c>
      <c r="I38" s="56" t="str">
        <f t="shared" si="3"/>
        <v>3E0</v>
      </c>
    </row>
    <row r="39" spans="1:11" ht="12.75" customHeight="1">
      <c r="A39" s="115" t="s">
        <v>65</v>
      </c>
      <c r="B39" s="54"/>
      <c r="C39" s="16">
        <f t="shared" si="7"/>
        <v>140411</v>
      </c>
      <c r="D39" s="112"/>
      <c r="E39" s="16">
        <f t="shared" si="8"/>
        <v>0</v>
      </c>
      <c r="F39" s="16"/>
      <c r="G39" s="16">
        <f t="shared" si="9"/>
        <v>140411</v>
      </c>
      <c r="H39" s="55" t="str">
        <f t="shared" si="6"/>
        <v>001-011</v>
      </c>
      <c r="I39" s="56">
        <f t="shared" si="3"/>
        <v>101</v>
      </c>
    </row>
    <row r="40" spans="1:11" ht="12.75" customHeight="1">
      <c r="A40" s="115" t="s">
        <v>333</v>
      </c>
      <c r="B40" s="54"/>
      <c r="C40" s="16">
        <f t="shared" si="7"/>
        <v>235268</v>
      </c>
      <c r="D40" s="112"/>
      <c r="E40" s="16">
        <f t="shared" si="8"/>
        <v>-75000</v>
      </c>
      <c r="F40" s="16"/>
      <c r="G40" s="16">
        <f t="shared" si="9"/>
        <v>160268</v>
      </c>
      <c r="H40" s="55" t="str">
        <f t="shared" si="6"/>
        <v>001-011</v>
      </c>
      <c r="I40" s="56">
        <f t="shared" si="3"/>
        <v>101</v>
      </c>
    </row>
    <row r="41" spans="1:11" ht="12.75" customHeight="1">
      <c r="A41" s="115" t="s">
        <v>332</v>
      </c>
      <c r="B41" s="54"/>
      <c r="C41" s="16">
        <f t="shared" si="7"/>
        <v>765555</v>
      </c>
      <c r="D41" s="112"/>
      <c r="E41" s="16">
        <f t="shared" si="8"/>
        <v>0</v>
      </c>
      <c r="F41" s="16"/>
      <c r="G41" s="16">
        <f t="shared" si="9"/>
        <v>765555</v>
      </c>
      <c r="H41" s="55" t="str">
        <f t="shared" si="6"/>
        <v>001-AC1</v>
      </c>
      <c r="I41" s="56">
        <f t="shared" si="3"/>
        <v>123</v>
      </c>
    </row>
    <row r="42" spans="1:11" ht="12.75" customHeight="1">
      <c r="A42" s="115" t="s">
        <v>215</v>
      </c>
      <c r="B42" s="54"/>
      <c r="C42" s="16">
        <f t="shared" si="7"/>
        <v>445875</v>
      </c>
      <c r="D42" s="112"/>
      <c r="E42" s="16">
        <f t="shared" si="8"/>
        <v>-445875</v>
      </c>
      <c r="F42" s="16"/>
      <c r="G42" s="16">
        <f t="shared" si="9"/>
        <v>0</v>
      </c>
      <c r="H42" s="55" t="str">
        <f t="shared" si="6"/>
        <v>001-AC1</v>
      </c>
      <c r="I42" s="56">
        <f t="shared" si="3"/>
        <v>123</v>
      </c>
    </row>
    <row r="43" spans="1:11" s="272" customFormat="1" ht="12.75" customHeight="1">
      <c r="A43" s="281" t="s">
        <v>451</v>
      </c>
      <c r="B43" s="54"/>
      <c r="C43" s="16">
        <f>IF(ISNA(VLOOKUP($F$5 &amp;A43, AllocSched,12,FALSE)),"-",VLOOKUP($F$5 &amp;A43, AllocSched,12,FALSE))</f>
        <v>0</v>
      </c>
      <c r="D43" s="112"/>
      <c r="E43" s="16">
        <f>IF(ISNA(VLOOKUP($F$5 &amp; A43, AllocSched,13,FALSE)),"-",VLOOKUP($F$5 &amp; A43, AllocSched,13,FALSE))</f>
        <v>179433</v>
      </c>
      <c r="F43" s="16"/>
      <c r="G43" s="16">
        <f>IF(C43="-",E43,C43+E43)</f>
        <v>179433</v>
      </c>
      <c r="H43" s="55" t="str">
        <f>IF(ISNA(VLOOKUP($F$5 &amp; A43, AllocSched,9,FALSE))," ",VLOOKUP($F$5 &amp; A43, AllocSched,9,FALSE))</f>
        <v>001-011</v>
      </c>
      <c r="I43" s="56">
        <f t="shared" si="3"/>
        <v>101</v>
      </c>
    </row>
    <row r="44" spans="1:11" ht="12.75" customHeight="1">
      <c r="A44" s="54"/>
      <c r="B44" s="54"/>
      <c r="C44" s="16"/>
      <c r="D44" s="112"/>
      <c r="E44" s="16"/>
      <c r="F44" s="16"/>
      <c r="G44" s="16"/>
      <c r="H44" s="55"/>
      <c r="I44" s="56"/>
    </row>
    <row r="45" spans="1:11" ht="13.5" thickBot="1">
      <c r="A45" s="89" t="s">
        <v>174</v>
      </c>
      <c r="B45" s="57" t="s">
        <v>51</v>
      </c>
      <c r="C45" s="111">
        <f>SUM(C16:C43)</f>
        <v>23725319</v>
      </c>
      <c r="D45" s="113" t="s">
        <v>51</v>
      </c>
      <c r="E45" s="111">
        <f>SUM(E16:E43)</f>
        <v>1805405</v>
      </c>
      <c r="F45" s="113" t="s">
        <v>51</v>
      </c>
      <c r="G45" s="111">
        <f>SUM(G16:G43)</f>
        <v>25530724</v>
      </c>
      <c r="J45" s="25"/>
      <c r="K45" s="30"/>
    </row>
    <row r="46" spans="1:11" ht="12.75" customHeight="1" thickTop="1">
      <c r="A46" s="84"/>
      <c r="B46" s="84"/>
      <c r="C46" s="58">
        <v>0</v>
      </c>
      <c r="D46" s="58"/>
      <c r="E46" s="90"/>
      <c r="F46" s="90"/>
      <c r="G46" s="90"/>
    </row>
    <row r="47" spans="1:11" s="65" customFormat="1" ht="25.5">
      <c r="A47" s="59" t="s">
        <v>156</v>
      </c>
      <c r="B47" s="60"/>
      <c r="C47" s="61"/>
      <c r="D47" s="62"/>
      <c r="E47" s="63" t="s">
        <v>67</v>
      </c>
      <c r="F47" s="62"/>
      <c r="G47" s="64" t="s">
        <v>163</v>
      </c>
      <c r="H47" s="64" t="s">
        <v>164</v>
      </c>
      <c r="I47" s="98" t="s">
        <v>70</v>
      </c>
    </row>
    <row r="48" spans="1:11" s="65" customFormat="1" ht="12.75" customHeight="1">
      <c r="A48" s="66" t="s">
        <v>240</v>
      </c>
      <c r="B48" s="67"/>
      <c r="C48" s="68"/>
      <c r="E48" s="66" t="s">
        <v>360</v>
      </c>
      <c r="G48" s="150">
        <f t="shared" ref="G48:G58" si="10">VLOOKUP($F$5 &amp; $A48 &amp; $E48,AddRes,7,FALSE)</f>
        <v>0</v>
      </c>
      <c r="H48" s="150">
        <f t="shared" ref="H48:H58" si="11">VLOOKUP($F$5 &amp; $A48 &amp; $E48,AddRes,8,FALSE)</f>
        <v>0</v>
      </c>
      <c r="I48" s="69">
        <f t="shared" ref="I48:I58" si="12">VLOOKUP($F$5 &amp; $A48 &amp; $E48,AddRes,10,FALSE)</f>
        <v>42277</v>
      </c>
      <c r="J48" s="198"/>
    </row>
    <row r="49" spans="1:10" s="65" customFormat="1" ht="12.75" customHeight="1">
      <c r="A49" s="66" t="s">
        <v>497</v>
      </c>
      <c r="B49" s="67"/>
      <c r="C49" s="68"/>
      <c r="E49" s="66" t="s">
        <v>565</v>
      </c>
      <c r="G49" s="150">
        <f t="shared" si="10"/>
        <v>0</v>
      </c>
      <c r="H49" s="150">
        <f t="shared" si="11"/>
        <v>0</v>
      </c>
      <c r="I49" s="69">
        <f t="shared" si="12"/>
        <v>42551</v>
      </c>
      <c r="J49" s="198"/>
    </row>
    <row r="50" spans="1:10" s="65" customFormat="1" ht="12.75" customHeight="1">
      <c r="A50" s="66" t="s">
        <v>498</v>
      </c>
      <c r="B50" s="67"/>
      <c r="C50" s="68"/>
      <c r="E50" s="66" t="s">
        <v>566</v>
      </c>
      <c r="G50" s="150">
        <f t="shared" si="10"/>
        <v>0</v>
      </c>
      <c r="H50" s="150">
        <f t="shared" si="11"/>
        <v>0</v>
      </c>
      <c r="I50" s="69">
        <f t="shared" si="12"/>
        <v>42551</v>
      </c>
      <c r="J50" s="198"/>
    </row>
    <row r="51" spans="1:10" s="65" customFormat="1" ht="12.75" customHeight="1">
      <c r="A51" s="66" t="s">
        <v>505</v>
      </c>
      <c r="B51" s="67"/>
      <c r="C51" s="68"/>
      <c r="E51" s="66" t="s">
        <v>567</v>
      </c>
      <c r="G51" s="150">
        <f t="shared" si="10"/>
        <v>0</v>
      </c>
      <c r="H51" s="150">
        <f t="shared" si="11"/>
        <v>0</v>
      </c>
      <c r="I51" s="69">
        <f t="shared" si="12"/>
        <v>42551</v>
      </c>
      <c r="J51" s="198"/>
    </row>
    <row r="52" spans="1:10" s="65" customFormat="1" ht="12.75" customHeight="1">
      <c r="A52" s="66" t="s">
        <v>267</v>
      </c>
      <c r="B52" s="67"/>
      <c r="C52" s="68"/>
      <c r="E52" s="66" t="s">
        <v>568</v>
      </c>
      <c r="G52" s="150">
        <f t="shared" si="10"/>
        <v>0</v>
      </c>
      <c r="H52" s="150">
        <f t="shared" si="11"/>
        <v>0</v>
      </c>
      <c r="I52" s="69">
        <f t="shared" si="12"/>
        <v>42551</v>
      </c>
    </row>
    <row r="53" spans="1:10" s="65" customFormat="1" ht="12.75" customHeight="1">
      <c r="A53" s="66" t="s">
        <v>241</v>
      </c>
      <c r="B53" s="67"/>
      <c r="C53" s="68"/>
      <c r="E53" s="66" t="s">
        <v>569</v>
      </c>
      <c r="G53" s="150">
        <f t="shared" si="10"/>
        <v>0</v>
      </c>
      <c r="H53" s="150">
        <f t="shared" si="11"/>
        <v>0</v>
      </c>
      <c r="I53" s="69">
        <f t="shared" si="12"/>
        <v>42551</v>
      </c>
    </row>
    <row r="54" spans="1:10" s="65" customFormat="1" ht="12.75" customHeight="1">
      <c r="A54" s="66" t="s">
        <v>242</v>
      </c>
      <c r="B54" s="67"/>
      <c r="C54" s="68"/>
      <c r="E54" s="66" t="s">
        <v>361</v>
      </c>
      <c r="G54" s="150">
        <f t="shared" si="10"/>
        <v>0</v>
      </c>
      <c r="H54" s="150">
        <f t="shared" si="11"/>
        <v>0</v>
      </c>
      <c r="I54" s="69">
        <f t="shared" si="12"/>
        <v>42551</v>
      </c>
    </row>
    <row r="55" spans="1:10" s="65" customFormat="1" ht="12.75" customHeight="1">
      <c r="A55" s="66" t="s">
        <v>244</v>
      </c>
      <c r="B55" s="67"/>
      <c r="C55" s="68"/>
      <c r="E55" s="66" t="s">
        <v>570</v>
      </c>
      <c r="G55" s="150">
        <f t="shared" si="10"/>
        <v>0</v>
      </c>
      <c r="H55" s="150">
        <f t="shared" si="11"/>
        <v>0</v>
      </c>
      <c r="I55" s="69">
        <f t="shared" si="12"/>
        <v>42551</v>
      </c>
    </row>
    <row r="56" spans="1:10" s="65" customFormat="1" ht="12.75" customHeight="1">
      <c r="A56" s="66" t="s">
        <v>233</v>
      </c>
      <c r="B56" s="67"/>
      <c r="C56" s="68"/>
      <c r="E56" s="66" t="s">
        <v>571</v>
      </c>
      <c r="G56" s="150">
        <f t="shared" si="10"/>
        <v>0</v>
      </c>
      <c r="H56" s="150">
        <f t="shared" si="11"/>
        <v>0</v>
      </c>
      <c r="I56" s="69">
        <f t="shared" si="12"/>
        <v>42551</v>
      </c>
    </row>
    <row r="57" spans="1:10" s="65" customFormat="1" ht="12.75" customHeight="1">
      <c r="A57" s="66" t="s">
        <v>231</v>
      </c>
      <c r="B57" s="67"/>
      <c r="C57" s="68"/>
      <c r="E57" s="207" t="s">
        <v>572</v>
      </c>
      <c r="G57" s="150">
        <f t="shared" si="10"/>
        <v>0</v>
      </c>
      <c r="H57" s="150">
        <f t="shared" si="11"/>
        <v>0</v>
      </c>
      <c r="I57" s="69">
        <f t="shared" si="12"/>
        <v>42551</v>
      </c>
    </row>
    <row r="58" spans="1:10" s="65" customFormat="1" ht="12.75" customHeight="1">
      <c r="A58" s="66" t="s">
        <v>232</v>
      </c>
      <c r="B58" s="67"/>
      <c r="C58" s="68"/>
      <c r="E58" s="208" t="s">
        <v>573</v>
      </c>
      <c r="G58" s="150">
        <f t="shared" si="10"/>
        <v>0</v>
      </c>
      <c r="H58" s="150">
        <f t="shared" si="11"/>
        <v>0</v>
      </c>
      <c r="I58" s="69">
        <f t="shared" si="12"/>
        <v>42551</v>
      </c>
    </row>
    <row r="59" spans="1:10" s="65" customFormat="1" ht="12.75" customHeight="1">
      <c r="C59" s="70"/>
      <c r="D59" s="70"/>
      <c r="E59" s="70"/>
      <c r="F59" s="70"/>
      <c r="G59" s="71"/>
      <c r="H59" s="72"/>
      <c r="I59" s="73"/>
    </row>
    <row r="60" spans="1:10" s="65" customFormat="1" ht="12.75" customHeight="1">
      <c r="C60" s="74" t="s">
        <v>71</v>
      </c>
      <c r="D60" s="70"/>
      <c r="E60" s="70"/>
      <c r="F60" s="70"/>
      <c r="G60" s="75">
        <f>SUM(G48:G58)</f>
        <v>0</v>
      </c>
      <c r="H60" s="75">
        <f>SUM(H48:H58)</f>
        <v>0</v>
      </c>
      <c r="I60" s="73"/>
    </row>
    <row r="61" spans="1:10" s="65" customFormat="1" ht="12.75" customHeight="1">
      <c r="C61" s="70"/>
      <c r="D61" s="70"/>
      <c r="E61" s="70"/>
      <c r="F61" s="70"/>
      <c r="G61" s="70"/>
      <c r="I61" s="73"/>
    </row>
    <row r="62" spans="1:10" s="65" customFormat="1" ht="12.75" customHeight="1">
      <c r="C62" s="70"/>
      <c r="D62" s="70"/>
      <c r="E62" s="70"/>
      <c r="F62" s="70"/>
      <c r="G62" s="70"/>
      <c r="I62" s="73"/>
    </row>
    <row r="63" spans="1:10" s="65" customFormat="1" ht="12.75" customHeight="1">
      <c r="C63" s="70"/>
      <c r="D63" s="70"/>
      <c r="E63" s="70"/>
      <c r="F63" s="70"/>
      <c r="G63" s="70"/>
      <c r="I63" s="73"/>
    </row>
    <row r="64" spans="1:10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  <row r="139" spans="3:9" s="65" customFormat="1" ht="12.75" customHeight="1">
      <c r="C139" s="70"/>
      <c r="D139" s="70"/>
      <c r="E139" s="70"/>
      <c r="F139" s="70"/>
      <c r="G139" s="70"/>
      <c r="I139" s="73"/>
    </row>
    <row r="140" spans="3:9" s="65" customFormat="1" ht="12.75" customHeight="1">
      <c r="C140" s="70"/>
      <c r="D140" s="70"/>
      <c r="E140" s="70"/>
      <c r="F140" s="70"/>
      <c r="G140" s="70"/>
      <c r="I140" s="73"/>
    </row>
    <row r="141" spans="3:9" s="65" customFormat="1" ht="12.75" customHeight="1">
      <c r="C141" s="70"/>
      <c r="D141" s="70"/>
      <c r="E141" s="70"/>
      <c r="F141" s="70"/>
      <c r="G141" s="70"/>
      <c r="I141" s="73"/>
    </row>
    <row r="142" spans="3:9" s="65" customFormat="1" ht="12.75" customHeight="1">
      <c r="C142" s="70"/>
      <c r="D142" s="70"/>
      <c r="E142" s="70"/>
      <c r="F142" s="70"/>
      <c r="G142" s="70"/>
      <c r="I142" s="73"/>
    </row>
    <row r="143" spans="3:9" s="65" customFormat="1" ht="12.75" customHeight="1">
      <c r="C143" s="70"/>
      <c r="D143" s="70"/>
      <c r="E143" s="70"/>
      <c r="F143" s="70"/>
      <c r="G143" s="70"/>
      <c r="I143" s="73"/>
    </row>
    <row r="144" spans="3:9" s="65" customFormat="1" ht="12.75" customHeight="1">
      <c r="C144" s="70"/>
      <c r="D144" s="70"/>
      <c r="E144" s="70"/>
      <c r="F144" s="70"/>
      <c r="G144" s="70"/>
      <c r="I144" s="73"/>
    </row>
    <row r="145" spans="3:9" s="65" customFormat="1" ht="12.75" customHeight="1">
      <c r="C145" s="70"/>
      <c r="D145" s="70"/>
      <c r="E145" s="70"/>
      <c r="F145" s="70"/>
      <c r="G145" s="70"/>
      <c r="I145" s="73"/>
    </row>
    <row r="146" spans="3:9" s="65" customFormat="1" ht="12.75" customHeight="1">
      <c r="C146" s="70"/>
      <c r="D146" s="70"/>
      <c r="E146" s="70"/>
      <c r="F146" s="70"/>
      <c r="G146" s="70"/>
      <c r="I146" s="73"/>
    </row>
  </sheetData>
  <mergeCells count="2">
    <mergeCell ref="A8:I8"/>
    <mergeCell ref="G5:I5"/>
  </mergeCells>
  <phoneticPr fontId="0" type="noConversion"/>
  <conditionalFormatting sqref="G45">
    <cfRule type="cellIs" dxfId="22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L148"/>
  <sheetViews>
    <sheetView topLeftCell="A12"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3.5703125" style="23" bestFit="1" customWidth="1"/>
    <col min="11" max="11" width="12.42578125" style="23" bestFit="1" customWidth="1"/>
    <col min="12" max="12" width="11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119</v>
      </c>
      <c r="G5" s="505" t="str">
        <f>VLOOKUP($F5,District,2,FALSE)</f>
        <v>Everett Community College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4839</v>
      </c>
      <c r="D10" s="48"/>
      <c r="E10" s="48">
        <f>IF(ISNA(VLOOKUP($F$5,Student,14,FALSE)),0,VLOOKUP($F$5,Student,14,FALSE))</f>
        <v>143</v>
      </c>
      <c r="F10" s="48"/>
      <c r="G10" s="48">
        <f>$E$10+$C$10+$A$10</f>
        <v>4982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17" si="0">IF(ISNA(VLOOKUP($F$5 &amp;A16, AllocSched,12,FALSE)),"-",VLOOKUP($F$5 &amp;A16, AllocSched,12,FALSE))</f>
        <v>15570945</v>
      </c>
      <c r="D16" s="112" t="s">
        <v>51</v>
      </c>
      <c r="E16" s="16">
        <f t="shared" ref="E16:E23" si="1">IF(ISNA(VLOOKUP($F$5 &amp; A16, AllocSched,13,FALSE)),"-",VLOOKUP($F$5 &amp; A16, AllocSched,13,FALSE))</f>
        <v>-20406</v>
      </c>
      <c r="F16" s="16" t="s">
        <v>51</v>
      </c>
      <c r="G16" s="16">
        <f t="shared" ref="G16:G23" si="2">IF(C16="-",E16,C16+E16)</f>
        <v>15550539</v>
      </c>
      <c r="H16" s="55" t="str">
        <f t="shared" ref="H16:H43" si="3">IF(ISNA(VLOOKUP($F$5 &amp; A16, AllocSched,9,FALSE))," ",VLOOKUP($F$5 &amp; A16, AllocSched,9,FALSE))</f>
        <v>001-011</v>
      </c>
      <c r="I16" s="56">
        <f t="shared" ref="I16:I39" si="4">IF(ISNA(VLOOKUP($F$5 &amp; A16, AllocSched,14,FALSE))," ",VLOOKUP($F$5 &amp; A16, AllocSched,14,FALSE))</f>
        <v>101</v>
      </c>
    </row>
    <row r="17" spans="1:9" ht="12.75" customHeight="1">
      <c r="A17" s="115" t="s">
        <v>171</v>
      </c>
      <c r="B17" s="54"/>
      <c r="C17" s="16">
        <f t="shared" si="0"/>
        <v>2501977</v>
      </c>
      <c r="D17" s="112"/>
      <c r="E17" s="16">
        <f t="shared" si="1"/>
        <v>20406</v>
      </c>
      <c r="F17" s="16"/>
      <c r="G17" s="16">
        <f t="shared" si="2"/>
        <v>2522383</v>
      </c>
      <c r="H17" s="55" t="str">
        <f t="shared" si="3"/>
        <v>08A-3E0</v>
      </c>
      <c r="I17" s="56" t="str">
        <f t="shared" si="4"/>
        <v>3E0</v>
      </c>
    </row>
    <row r="18" spans="1:9" s="272" customFormat="1" ht="12.75" customHeight="1">
      <c r="A18" s="38" t="s">
        <v>781</v>
      </c>
      <c r="B18" s="54"/>
      <c r="C18" s="16">
        <f t="shared" ref="C18:C23" si="5">IF(ISNA(VLOOKUP($F$5 &amp;A18, AllocSched,12,FALSE)),"-",VLOOKUP($F$5 &amp;A18, AllocSched,12,FALSE))</f>
        <v>0</v>
      </c>
      <c r="D18" s="112"/>
      <c r="E18" s="16">
        <f t="shared" si="1"/>
        <v>132713</v>
      </c>
      <c r="F18" s="16"/>
      <c r="G18" s="16">
        <f t="shared" si="2"/>
        <v>132713</v>
      </c>
      <c r="H18" s="55" t="str">
        <f>IF(ISNA(VLOOKUP($F$5 &amp; A18, AllocSched,9,FALSE))," ",VLOOKUP($F$5 &amp; A18, AllocSched,9,FALSE))</f>
        <v>001-011</v>
      </c>
      <c r="I18" s="56">
        <f>IF(ISNA(VLOOKUP($F$5 &amp; A18, AllocSched,14,FALSE))," ",VLOOKUP($F$5 &amp; A18, AllocSched,14,FALSE))</f>
        <v>101</v>
      </c>
    </row>
    <row r="19" spans="1:9" s="272" customFormat="1" ht="12.75" customHeight="1">
      <c r="A19" s="115" t="s">
        <v>448</v>
      </c>
      <c r="B19" s="54"/>
      <c r="C19" s="16">
        <f t="shared" si="5"/>
        <v>0</v>
      </c>
      <c r="D19" s="112"/>
      <c r="E19" s="16">
        <f t="shared" si="1"/>
        <v>388804</v>
      </c>
      <c r="F19" s="16"/>
      <c r="G19" s="16">
        <f t="shared" si="2"/>
        <v>388804</v>
      </c>
      <c r="H19" s="55" t="str">
        <f>IF(ISNA(VLOOKUP($F$5 &amp; A19, AllocSched,9,FALSE))," ",VLOOKUP($F$5 &amp; A19, AllocSched,9,FALSE))</f>
        <v>001-011</v>
      </c>
      <c r="I19" s="56">
        <f>IF(ISNA(VLOOKUP($F$5 &amp; A19, AllocSched,14,FALSE))," ",VLOOKUP($F$5 &amp; A19, AllocSched,14,FALSE))</f>
        <v>101</v>
      </c>
    </row>
    <row r="20" spans="1:9" s="269" customFormat="1" ht="12.75" customHeight="1">
      <c r="A20" s="115" t="s">
        <v>340</v>
      </c>
      <c r="B20" s="54"/>
      <c r="C20" s="16">
        <f t="shared" si="5"/>
        <v>0</v>
      </c>
      <c r="D20" s="112"/>
      <c r="E20" s="16">
        <f t="shared" si="1"/>
        <v>1050033</v>
      </c>
      <c r="F20" s="16"/>
      <c r="G20" s="16">
        <f t="shared" si="2"/>
        <v>1050033</v>
      </c>
      <c r="H20" s="55" t="str">
        <f>IF(ISNA(VLOOKUP($F$5 &amp; A20, AllocSched,9,FALSE))," ",VLOOKUP($F$5 &amp; A20, AllocSched,9,FALSE))</f>
        <v>001-011</v>
      </c>
      <c r="I20" s="56">
        <f>IF(ISNA(VLOOKUP($F$5 &amp; A20, AllocSched,14,FALSE))," ",VLOOKUP($F$5 &amp; A20, AllocSched,14,FALSE))</f>
        <v>101</v>
      </c>
    </row>
    <row r="21" spans="1:9" ht="12.75" customHeight="1">
      <c r="A21" s="115" t="s">
        <v>207</v>
      </c>
      <c r="B21" s="54"/>
      <c r="C21" s="16">
        <f t="shared" si="5"/>
        <v>0</v>
      </c>
      <c r="D21" s="112"/>
      <c r="E21" s="16">
        <f t="shared" si="1"/>
        <v>115839</v>
      </c>
      <c r="F21" s="16"/>
      <c r="G21" s="16">
        <f t="shared" si="2"/>
        <v>115839</v>
      </c>
      <c r="H21" s="55" t="str">
        <f t="shared" si="3"/>
        <v>001-011</v>
      </c>
      <c r="I21" s="56">
        <f t="shared" si="4"/>
        <v>101</v>
      </c>
    </row>
    <row r="22" spans="1:9" s="272" customFormat="1" ht="12.75" customHeight="1">
      <c r="A22" s="115" t="s">
        <v>203</v>
      </c>
      <c r="B22" s="54"/>
      <c r="C22" s="16">
        <f t="shared" si="5"/>
        <v>0</v>
      </c>
      <c r="D22" s="112"/>
      <c r="E22" s="16">
        <f t="shared" si="1"/>
        <v>-5392</v>
      </c>
      <c r="F22" s="16"/>
      <c r="G22" s="16">
        <f t="shared" si="2"/>
        <v>-5392</v>
      </c>
      <c r="H22" s="55" t="str">
        <f>IF(ISNA(VLOOKUP($F$5 &amp; A22, AllocSched,9,FALSE))," ",VLOOKUP($F$5 &amp; A22, AllocSched,9,FALSE))</f>
        <v>001-011</v>
      </c>
      <c r="I22" s="56">
        <f>IF(ISNA(VLOOKUP($F$5 &amp; A22, AllocSched,14,FALSE))," ",VLOOKUP($F$5 &amp; A22, AllocSched,14,FALSE))</f>
        <v>101</v>
      </c>
    </row>
    <row r="23" spans="1:9" s="272" customFormat="1" ht="12.75" customHeight="1">
      <c r="A23" s="115" t="s">
        <v>454</v>
      </c>
      <c r="B23" s="54"/>
      <c r="C23" s="16">
        <f t="shared" si="5"/>
        <v>0</v>
      </c>
      <c r="D23" s="112"/>
      <c r="E23" s="16">
        <f t="shared" si="1"/>
        <v>12172</v>
      </c>
      <c r="F23" s="16"/>
      <c r="G23" s="16">
        <f t="shared" si="2"/>
        <v>12172</v>
      </c>
      <c r="H23" s="55" t="str">
        <f>IF(ISNA(VLOOKUP($F$5 &amp; A23, AllocSched,9,FALSE))," ",VLOOKUP($F$5 &amp; A23, AllocSched,9,FALSE))</f>
        <v>001-011</v>
      </c>
      <c r="I23" s="56">
        <f>IF(ISNA(VLOOKUP($F$5 &amp; A23, AllocSched,14,FALSE))," ",VLOOKUP($F$5 &amp; A23, AllocSched,14,FALSE))</f>
        <v>101</v>
      </c>
    </row>
    <row r="24" spans="1:9" ht="12.75" customHeight="1">
      <c r="A24" s="115"/>
      <c r="B24" s="54"/>
      <c r="C24" s="16"/>
      <c r="D24" s="112"/>
      <c r="E24" s="16"/>
      <c r="F24" s="16"/>
      <c r="G24" s="16"/>
      <c r="H24" s="55" t="str">
        <f t="shared" si="3"/>
        <v xml:space="preserve"> </v>
      </c>
      <c r="I24" s="56" t="str">
        <f t="shared" si="4"/>
        <v xml:space="preserve"> </v>
      </c>
    </row>
    <row r="25" spans="1:9" s="83" customFormat="1">
      <c r="A25" s="114" t="s">
        <v>168</v>
      </c>
      <c r="B25" s="84"/>
      <c r="C25" s="16"/>
      <c r="D25" s="112"/>
      <c r="E25" s="16"/>
      <c r="F25" s="16"/>
      <c r="G25" s="16"/>
      <c r="H25" s="55" t="str">
        <f t="shared" si="3"/>
        <v xml:space="preserve"> </v>
      </c>
      <c r="I25" s="56" t="str">
        <f t="shared" si="4"/>
        <v xml:space="preserve"> </v>
      </c>
    </row>
    <row r="26" spans="1:9" ht="12.75" customHeight="1">
      <c r="A26" s="38" t="s">
        <v>160</v>
      </c>
      <c r="C26" s="16">
        <f>IF(ISNA(VLOOKUP($F$5 &amp;A26, AllocSched,12,FALSE)),"-",VLOOKUP($F$5 &amp;A26, AllocSched,12,FALSE))</f>
        <v>208497</v>
      </c>
      <c r="D26" s="112"/>
      <c r="E26" s="16">
        <f>IF(ISNA(VLOOKUP($F$5 &amp; A26, AllocSched,13,FALSE)),"-",VLOOKUP($F$5 &amp; A26, AllocSched,13,FALSE))</f>
        <v>-132484</v>
      </c>
      <c r="F26" s="16"/>
      <c r="G26" s="16">
        <f>IF(C26="-",E26,C26+E26)</f>
        <v>76013</v>
      </c>
      <c r="H26" s="55" t="str">
        <f t="shared" si="3"/>
        <v>001-011</v>
      </c>
      <c r="I26" s="56">
        <f>IF(ISNA(VLOOKUP($F$5 &amp; A26, AllocSched,14,FALSE))," ",VLOOKUP($F$5 &amp; A26, AllocSched,14,FALSE))</f>
        <v>101</v>
      </c>
    </row>
    <row r="27" spans="1:9" s="272" customFormat="1" ht="12.75" customHeight="1">
      <c r="A27" s="38" t="s">
        <v>345</v>
      </c>
      <c r="C27" s="16">
        <f>IF(ISNA(VLOOKUP($F$5 &amp;A27, AllocSched,12,FALSE)),"-",VLOOKUP($F$5 &amp;A27, AllocSched,12,FALSE))</f>
        <v>1127984</v>
      </c>
      <c r="D27" s="112"/>
      <c r="E27" s="16">
        <f>IF(ISNA(VLOOKUP($F$5 &amp; A27, AllocSched,13,FALSE)),"-",VLOOKUP($F$5 &amp; A27, AllocSched,13,FALSE))</f>
        <v>0</v>
      </c>
      <c r="F27" s="16"/>
      <c r="G27" s="16">
        <f>IF(C27="-",E27,C27+E27)</f>
        <v>1127984</v>
      </c>
      <c r="H27" s="55" t="str">
        <f>IF(ISNA(VLOOKUP($F$5 &amp; A27, AllocSched,9,FALSE))," ",VLOOKUP($F$5 &amp; A27, AllocSched,9,FALSE))</f>
        <v>001-011</v>
      </c>
      <c r="I27" s="56">
        <f>IF(ISNA(VLOOKUP($F$5 &amp; A27, AllocSched,14,FALSE))," ",VLOOKUP($F$5 &amp; A27, AllocSched,14,FALSE))</f>
        <v>101</v>
      </c>
    </row>
    <row r="28" spans="1:9" ht="12.75" customHeight="1">
      <c r="A28" s="38" t="s">
        <v>211</v>
      </c>
      <c r="C28" s="16">
        <f t="shared" ref="C28:C42" si="6">IF(ISNA(VLOOKUP($F$5 &amp;A28, AllocSched,12,FALSE)),"-",VLOOKUP($F$5 &amp;A28, AllocSched,12,FALSE))</f>
        <v>457599</v>
      </c>
      <c r="D28" s="112"/>
      <c r="E28" s="16">
        <f t="shared" ref="E28:E43" si="7">IF(ISNA(VLOOKUP($F$5 &amp; A28, AllocSched,13,FALSE)),"-",VLOOKUP($F$5 &amp; A28, AllocSched,13,FALSE))</f>
        <v>-457599</v>
      </c>
      <c r="F28" s="16"/>
      <c r="G28" s="16">
        <f t="shared" ref="G28:G41" si="8">IF(C28="-",E28,C28+E28)</f>
        <v>0</v>
      </c>
      <c r="H28" s="55" t="str">
        <f t="shared" si="3"/>
        <v>001-011</v>
      </c>
      <c r="I28" s="56">
        <f t="shared" si="4"/>
        <v>101</v>
      </c>
    </row>
    <row r="29" spans="1:9" ht="12.75" customHeight="1">
      <c r="A29" s="38" t="s">
        <v>222</v>
      </c>
      <c r="C29" s="16">
        <f>IF(ISNA(VLOOKUP($F$5 &amp;A29, AllocSched,12,FALSE)),"-",VLOOKUP($F$5 &amp;A29, AllocSched,12,FALSE))</f>
        <v>104320</v>
      </c>
      <c r="D29" s="112"/>
      <c r="E29" s="16">
        <f>IF(ISNA(VLOOKUP($F$5 &amp; A29, AllocSched,13,FALSE)),"-",VLOOKUP($F$5 &amp; A29, AllocSched,13,FALSE))</f>
        <v>-104320</v>
      </c>
      <c r="F29" s="16"/>
      <c r="G29" s="16">
        <f>IF(C29="-",E29,C29+E29)</f>
        <v>0</v>
      </c>
      <c r="H29" s="55" t="str">
        <f>IF(ISNA(VLOOKUP($F$5 &amp; A29, AllocSched,9,FALSE))," ",VLOOKUP($F$5 &amp; A29, AllocSched,9,FALSE))</f>
        <v>08A-3E0</v>
      </c>
      <c r="I29" s="56" t="str">
        <f>IF(ISNA(VLOOKUP($F$5 &amp; A29, AllocSched,14,FALSE))," ",VLOOKUP($F$5 &amp; A29, AllocSched,14,FALSE))</f>
        <v>3E0</v>
      </c>
    </row>
    <row r="30" spans="1:9" ht="12.75" customHeight="1">
      <c r="A30" s="38" t="s">
        <v>173</v>
      </c>
      <c r="C30" s="16">
        <f>IF(ISNA(VLOOKUP($F$5 &amp;A30, AllocSched,12,FALSE)),"-",VLOOKUP($F$5 &amp;A30, AllocSched,12,FALSE))</f>
        <v>204157</v>
      </c>
      <c r="D30" s="112"/>
      <c r="E30" s="16">
        <f>IF(ISNA(VLOOKUP($F$5 &amp; A30, AllocSched,13,FALSE)),"-",VLOOKUP($F$5 &amp; A30, AllocSched,13,FALSE))</f>
        <v>0</v>
      </c>
      <c r="F30" s="16"/>
      <c r="G30" s="16">
        <f>IF(C30="-",E30,C30+E30)</f>
        <v>204157</v>
      </c>
      <c r="H30" s="55" t="str">
        <f t="shared" si="3"/>
        <v>001-011</v>
      </c>
      <c r="I30" s="56">
        <f>IF(ISNA(VLOOKUP($F$5 &amp; A30, AllocSched,14,FALSE))," ",VLOOKUP($F$5 &amp; A30, AllocSched,14,FALSE))</f>
        <v>101</v>
      </c>
    </row>
    <row r="31" spans="1:9" ht="12.75" customHeight="1">
      <c r="A31" s="38" t="s">
        <v>254</v>
      </c>
      <c r="C31" s="16">
        <f>IF(ISNA(VLOOKUP($F$5 &amp;A31, AllocSched,12,FALSE)),"-",VLOOKUP($F$5 &amp;A31, AllocSched,12,FALSE))</f>
        <v>100000</v>
      </c>
      <c r="D31" s="112"/>
      <c r="E31" s="16">
        <f>IF(ISNA(VLOOKUP($F$5 &amp; A31, AllocSched,13,FALSE)),"-",VLOOKUP($F$5 &amp; A31, AllocSched,13,FALSE))</f>
        <v>0</v>
      </c>
      <c r="F31" s="16"/>
      <c r="G31" s="16">
        <f>IF(C31="-",E31,C31+E31)</f>
        <v>100000</v>
      </c>
      <c r="H31" s="55" t="str">
        <f>IF(ISNA(VLOOKUP($F$5 &amp; A31, AllocSched,9,FALSE))," ",VLOOKUP($F$5 &amp; A31, AllocSched,9,FALSE))</f>
        <v>001-BA1</v>
      </c>
      <c r="I31" s="56" t="str">
        <f>IF(ISNA(VLOOKUP($F$5 &amp; A31, AllocSched,14,FALSE))," ",VLOOKUP($F$5 &amp; A31, AllocSched,14,FALSE))</f>
        <v>BA1</v>
      </c>
    </row>
    <row r="32" spans="1:9" ht="12.75" customHeight="1">
      <c r="A32" s="38" t="s">
        <v>170</v>
      </c>
      <c r="C32" s="16">
        <f t="shared" si="6"/>
        <v>55628</v>
      </c>
      <c r="D32" s="112"/>
      <c r="E32" s="16">
        <f t="shared" si="7"/>
        <v>-5356</v>
      </c>
      <c r="F32" s="16"/>
      <c r="G32" s="16">
        <f t="shared" si="8"/>
        <v>50272</v>
      </c>
      <c r="H32" s="55" t="str">
        <f t="shared" si="3"/>
        <v>001-011</v>
      </c>
      <c r="I32" s="56">
        <f t="shared" si="4"/>
        <v>101</v>
      </c>
    </row>
    <row r="33" spans="1:11" ht="12.75" customHeight="1">
      <c r="A33" s="115" t="s">
        <v>175</v>
      </c>
      <c r="B33" s="54"/>
      <c r="C33" s="16" t="str">
        <f t="shared" si="6"/>
        <v>-</v>
      </c>
      <c r="D33" s="112"/>
      <c r="E33" s="16" t="str">
        <f t="shared" si="7"/>
        <v>-</v>
      </c>
      <c r="F33" s="16"/>
      <c r="G33" s="16" t="str">
        <f t="shared" si="8"/>
        <v>-</v>
      </c>
      <c r="H33" s="55" t="str">
        <f t="shared" si="3"/>
        <v xml:space="preserve"> </v>
      </c>
      <c r="I33" s="56" t="str">
        <f t="shared" si="4"/>
        <v xml:space="preserve"> </v>
      </c>
    </row>
    <row r="34" spans="1:11" ht="12.75" customHeight="1">
      <c r="A34" s="115" t="s">
        <v>176</v>
      </c>
      <c r="B34" s="54"/>
      <c r="C34" s="16" t="str">
        <f t="shared" si="6"/>
        <v>-</v>
      </c>
      <c r="D34" s="112"/>
      <c r="E34" s="16" t="str">
        <f t="shared" si="7"/>
        <v>-</v>
      </c>
      <c r="F34" s="16"/>
      <c r="G34" s="16" t="str">
        <f t="shared" si="8"/>
        <v>-</v>
      </c>
      <c r="H34" s="55" t="str">
        <f t="shared" si="3"/>
        <v xml:space="preserve"> </v>
      </c>
      <c r="I34" s="56" t="str">
        <f t="shared" si="4"/>
        <v xml:space="preserve"> </v>
      </c>
    </row>
    <row r="35" spans="1:11" ht="12.75" customHeight="1">
      <c r="A35" s="115" t="s">
        <v>151</v>
      </c>
      <c r="B35" s="54"/>
      <c r="C35" s="16">
        <f t="shared" si="6"/>
        <v>290000</v>
      </c>
      <c r="D35" s="112"/>
      <c r="E35" s="16">
        <f t="shared" si="7"/>
        <v>0</v>
      </c>
      <c r="F35" s="16"/>
      <c r="G35" s="16">
        <f t="shared" si="8"/>
        <v>290000</v>
      </c>
      <c r="H35" s="55" t="str">
        <f t="shared" si="3"/>
        <v>08A-3E0</v>
      </c>
      <c r="I35" s="56" t="str">
        <f t="shared" si="4"/>
        <v>3E0</v>
      </c>
    </row>
    <row r="36" spans="1:11" ht="12.75" customHeight="1">
      <c r="A36" s="115" t="s">
        <v>150</v>
      </c>
      <c r="B36" s="54"/>
      <c r="C36" s="16">
        <f t="shared" si="6"/>
        <v>29412</v>
      </c>
      <c r="D36" s="112"/>
      <c r="E36" s="16">
        <f t="shared" si="7"/>
        <v>0</v>
      </c>
      <c r="F36" s="16"/>
      <c r="G36" s="16">
        <f t="shared" si="8"/>
        <v>29412</v>
      </c>
      <c r="H36" s="55" t="str">
        <f t="shared" si="3"/>
        <v>001-011</v>
      </c>
      <c r="I36" s="56">
        <f t="shared" si="4"/>
        <v>101</v>
      </c>
    </row>
    <row r="37" spans="1:11" ht="12.75" customHeight="1">
      <c r="A37" s="115" t="s">
        <v>273</v>
      </c>
      <c r="B37" s="54"/>
      <c r="C37" s="16">
        <f>IF(ISNA(VLOOKUP($F$5 &amp;A37, AllocSched,12,FALSE)),"-",VLOOKUP($F$5 &amp;A37, AllocSched,12,FALSE))</f>
        <v>174460</v>
      </c>
      <c r="D37" s="112"/>
      <c r="E37" s="16">
        <f>IF(ISNA(VLOOKUP($F$5 &amp; A37, AllocSched,13,FALSE)),"-",VLOOKUP($F$5 &amp; A37, AllocSched,13,FALSE))</f>
        <v>-174460</v>
      </c>
      <c r="F37" s="16"/>
      <c r="G37" s="16">
        <f>IF(C37="-",E37,C37+E37)</f>
        <v>0</v>
      </c>
      <c r="H37" s="55" t="str">
        <f>IF(ISNA(VLOOKUP($F$5 &amp; A37, AllocSched,9,FALSE))," ",VLOOKUP($F$5 &amp; A37, AllocSched,9,FALSE))</f>
        <v>001-BD1</v>
      </c>
      <c r="I37" s="56" t="str">
        <f>IF(ISNA(VLOOKUP($F$5 &amp; A37, AllocSched,14,FALSE))," ",VLOOKUP($F$5 &amp; A37, AllocSched,14,FALSE))</f>
        <v>BD1</v>
      </c>
    </row>
    <row r="38" spans="1:11" ht="12.75" customHeight="1">
      <c r="A38" s="115" t="s">
        <v>6</v>
      </c>
      <c r="B38" s="54"/>
      <c r="C38" s="16">
        <f t="shared" si="6"/>
        <v>26868</v>
      </c>
      <c r="D38" s="112"/>
      <c r="E38" s="16">
        <f t="shared" si="7"/>
        <v>9292</v>
      </c>
      <c r="F38" s="16"/>
      <c r="G38" s="16">
        <f t="shared" si="8"/>
        <v>36160</v>
      </c>
      <c r="H38" s="55" t="str">
        <f t="shared" si="3"/>
        <v>001-011</v>
      </c>
      <c r="I38" s="56">
        <f t="shared" si="4"/>
        <v>101</v>
      </c>
    </row>
    <row r="39" spans="1:11" s="272" customFormat="1" ht="12.75" customHeight="1">
      <c r="A39" s="115" t="s">
        <v>66</v>
      </c>
      <c r="B39" s="54"/>
      <c r="C39" s="16">
        <f t="shared" si="6"/>
        <v>0</v>
      </c>
      <c r="D39" s="112"/>
      <c r="E39" s="16">
        <f t="shared" si="7"/>
        <v>0</v>
      </c>
      <c r="F39" s="16"/>
      <c r="G39" s="16">
        <f t="shared" si="8"/>
        <v>0</v>
      </c>
      <c r="H39" s="55" t="str">
        <f t="shared" si="3"/>
        <v>08A-3E0</v>
      </c>
      <c r="I39" s="56" t="str">
        <f t="shared" si="4"/>
        <v>3E0</v>
      </c>
    </row>
    <row r="40" spans="1:11" s="272" customFormat="1" ht="12.75" customHeight="1">
      <c r="A40" s="115" t="s">
        <v>64</v>
      </c>
      <c r="B40" s="54"/>
      <c r="C40" s="16" t="str">
        <f t="shared" ref="C40" si="9">IF(ISNA(VLOOKUP($F$5 &amp;A40, AllocSched,12,FALSE)),"-",VLOOKUP($F$5 &amp;A40, AllocSched,12,FALSE))</f>
        <v>-</v>
      </c>
      <c r="D40" s="112"/>
      <c r="E40" s="16" t="str">
        <f t="shared" ref="E40" si="10">IF(ISNA(VLOOKUP($F$5 &amp; A40, AllocSched,13,FALSE)),"-",VLOOKUP($F$5 &amp; A40, AllocSched,13,FALSE))</f>
        <v>-</v>
      </c>
      <c r="F40" s="16"/>
      <c r="G40" s="16" t="str">
        <f t="shared" ref="G40" si="11">IF(C40="-",E40,C40+E40)</f>
        <v>-</v>
      </c>
      <c r="H40" s="55" t="str">
        <f t="shared" ref="H40" si="12">IF(ISNA(VLOOKUP($F$5 &amp; A40, AllocSched,9,FALSE))," ",VLOOKUP($F$5 &amp; A40, AllocSched,9,FALSE))</f>
        <v xml:space="preserve"> </v>
      </c>
      <c r="I40" s="56" t="str">
        <f t="shared" ref="I40" si="13">IF(ISNA(VLOOKUP($F$5 &amp; A40, AllocSched,14,FALSE))," ",VLOOKUP($F$5 &amp; A40, AllocSched,14,FALSE))</f>
        <v xml:space="preserve"> </v>
      </c>
    </row>
    <row r="41" spans="1:11" ht="12.75" customHeight="1">
      <c r="A41" s="115" t="s">
        <v>333</v>
      </c>
      <c r="B41" s="54"/>
      <c r="C41" s="16">
        <f t="shared" si="6"/>
        <v>140586</v>
      </c>
      <c r="D41" s="112"/>
      <c r="E41" s="16">
        <f t="shared" si="7"/>
        <v>-30000</v>
      </c>
      <c r="F41" s="16"/>
      <c r="G41" s="16">
        <f t="shared" si="8"/>
        <v>110586</v>
      </c>
      <c r="H41" s="55" t="str">
        <f t="shared" si="3"/>
        <v>001-011</v>
      </c>
      <c r="I41" s="56">
        <f>IF(ISNA(VLOOKUP($F$5 &amp; A41, AllocSched,14,FALSE))," ",VLOOKUP($F$5 &amp; A41, AllocSched,14,FALSE))</f>
        <v>101</v>
      </c>
    </row>
    <row r="42" spans="1:11" ht="12.75" customHeight="1">
      <c r="A42" s="115" t="s">
        <v>332</v>
      </c>
      <c r="B42" s="54"/>
      <c r="C42" s="16">
        <f t="shared" si="6"/>
        <v>528237</v>
      </c>
      <c r="D42" s="112"/>
      <c r="E42" s="16">
        <f t="shared" si="7"/>
        <v>0</v>
      </c>
      <c r="F42" s="16"/>
      <c r="G42" s="16">
        <f>IF(C42="-",E42,C42+E42)</f>
        <v>528237</v>
      </c>
      <c r="H42" s="55" t="str">
        <f t="shared" si="3"/>
        <v>001-AC1</v>
      </c>
      <c r="I42" s="56">
        <f>IF(ISNA(VLOOKUP($F$5 &amp; A42, AllocSched,14,FALSE))," ",VLOOKUP($F$5 &amp; A42, AllocSched,14,FALSE))</f>
        <v>123</v>
      </c>
    </row>
    <row r="43" spans="1:11" ht="12.75" customHeight="1">
      <c r="A43" s="115" t="s">
        <v>215</v>
      </c>
      <c r="B43" s="54"/>
      <c r="C43" s="16">
        <f>IF(ISNA(VLOOKUP($F$5 &amp;A43, AllocSched,12,FALSE)),"-",VLOOKUP($F$5 &amp;A43, AllocSched,12,FALSE))</f>
        <v>184500</v>
      </c>
      <c r="D43" s="112"/>
      <c r="E43" s="16">
        <f t="shared" si="7"/>
        <v>-184500</v>
      </c>
      <c r="F43" s="16"/>
      <c r="G43" s="16">
        <f>IF(C43="-",E43,C43+E43)</f>
        <v>0</v>
      </c>
      <c r="H43" s="55" t="str">
        <f t="shared" si="3"/>
        <v>001-AC1</v>
      </c>
      <c r="I43" s="56">
        <f>IF(ISNA(VLOOKUP($F$5 &amp; A43, AllocSched,14,FALSE))," ",VLOOKUP($F$5 &amp; A43, AllocSched,14,FALSE))</f>
        <v>123</v>
      </c>
    </row>
    <row r="44" spans="1:11" s="272" customFormat="1" ht="12.75" customHeight="1">
      <c r="A44" s="115" t="s">
        <v>449</v>
      </c>
      <c r="B44" s="54"/>
      <c r="C44" s="16">
        <f>IF(ISNA(VLOOKUP($F$5 &amp;A44, AllocSched,12,FALSE)),"-",VLOOKUP($F$5 &amp;A44, AllocSched,12,FALSE))</f>
        <v>0</v>
      </c>
      <c r="D44" s="112"/>
      <c r="E44" s="16">
        <f>IF(ISNA(VLOOKUP($F$5 &amp; A44, AllocSched,13,FALSE)),"-",VLOOKUP($F$5 &amp; A44, AllocSched,13,FALSE))</f>
        <v>198346</v>
      </c>
      <c r="F44" s="16"/>
      <c r="G44" s="16">
        <f>IF(C44="-",E44,C44+E44)</f>
        <v>198346</v>
      </c>
      <c r="H44" s="55" t="str">
        <f>IF(ISNA(VLOOKUP($F$5 &amp; A44, AllocSched,9,FALSE))," ",VLOOKUP($F$5 &amp; A44, AllocSched,9,FALSE))</f>
        <v>001-011</v>
      </c>
      <c r="I44" s="56">
        <f>IF(ISNA(VLOOKUP($F$5 &amp; A44, AllocSched,14,FALSE))," ",VLOOKUP($F$5 &amp; A44, AllocSched,14,FALSE))</f>
        <v>101</v>
      </c>
    </row>
    <row r="45" spans="1:11" ht="12.75" customHeight="1">
      <c r="A45" s="54"/>
      <c r="B45" s="54"/>
      <c r="C45" s="16"/>
      <c r="D45" s="112"/>
      <c r="E45" s="16"/>
      <c r="F45" s="16"/>
      <c r="G45" s="16"/>
      <c r="H45" s="55"/>
      <c r="I45" s="56"/>
    </row>
    <row r="46" spans="1:11" ht="13.5" thickBot="1">
      <c r="A46" s="89" t="s">
        <v>174</v>
      </c>
      <c r="B46" s="57" t="s">
        <v>51</v>
      </c>
      <c r="C46" s="111">
        <f>SUM(C16:C44)</f>
        <v>21705170</v>
      </c>
      <c r="D46" s="113" t="s">
        <v>51</v>
      </c>
      <c r="E46" s="111">
        <f>SUM(E16:E44)</f>
        <v>813088</v>
      </c>
      <c r="F46" s="113" t="s">
        <v>51</v>
      </c>
      <c r="G46" s="111">
        <f>SUM(G16:G44)</f>
        <v>22518258</v>
      </c>
      <c r="J46" s="25"/>
      <c r="K46" s="30"/>
    </row>
    <row r="47" spans="1:11" ht="12.75" customHeight="1" thickTop="1">
      <c r="A47" s="84"/>
      <c r="B47" s="84"/>
      <c r="C47" s="58">
        <v>0</v>
      </c>
      <c r="D47" s="58"/>
      <c r="E47" s="90"/>
      <c r="F47" s="90"/>
      <c r="G47" s="90"/>
    </row>
    <row r="48" spans="1:11" s="65" customFormat="1" ht="25.5">
      <c r="A48" s="59" t="s">
        <v>156</v>
      </c>
      <c r="B48" s="60"/>
      <c r="C48" s="61"/>
      <c r="D48" s="62"/>
      <c r="E48" s="63" t="s">
        <v>67</v>
      </c>
      <c r="F48" s="62"/>
      <c r="G48" s="64" t="s">
        <v>163</v>
      </c>
      <c r="H48" s="64" t="s">
        <v>164</v>
      </c>
      <c r="I48" s="98" t="s">
        <v>70</v>
      </c>
    </row>
    <row r="49" spans="1:12" s="65" customFormat="1" ht="12.75" customHeight="1">
      <c r="A49" s="66" t="s">
        <v>240</v>
      </c>
      <c r="B49" s="67"/>
      <c r="C49" s="68"/>
      <c r="E49" s="66" t="s">
        <v>362</v>
      </c>
      <c r="G49" s="30">
        <f t="shared" ref="G49:G60" si="14">VLOOKUP($F$5 &amp; $A49 &amp; $E49,AddRes,7,FALSE)</f>
        <v>0</v>
      </c>
      <c r="H49" s="30">
        <f t="shared" ref="H49:H60" si="15">VLOOKUP($F$5 &amp; $A49 &amp; $E49,AddRes,8,FALSE)</f>
        <v>0</v>
      </c>
      <c r="I49" s="69">
        <f t="shared" ref="I49:I60" si="16">VLOOKUP($F$5 &amp; $A49 &amp; $E49,AddRes,10,FALSE)</f>
        <v>42277</v>
      </c>
      <c r="K49" s="75"/>
      <c r="L49" s="75"/>
    </row>
    <row r="50" spans="1:12" s="65" customFormat="1" ht="12.75" customHeight="1">
      <c r="A50" s="66" t="s">
        <v>497</v>
      </c>
      <c r="B50" s="67"/>
      <c r="C50" s="68"/>
      <c r="E50" s="66" t="s">
        <v>574</v>
      </c>
      <c r="G50" s="270">
        <f t="shared" si="14"/>
        <v>0</v>
      </c>
      <c r="H50" s="270">
        <f t="shared" si="15"/>
        <v>0</v>
      </c>
      <c r="I50" s="69">
        <f t="shared" si="16"/>
        <v>42551</v>
      </c>
      <c r="K50" s="75"/>
      <c r="L50" s="75"/>
    </row>
    <row r="51" spans="1:12" s="65" customFormat="1" ht="12.75" customHeight="1">
      <c r="A51" s="66" t="s">
        <v>498</v>
      </c>
      <c r="B51" s="67"/>
      <c r="C51" s="68"/>
      <c r="E51" s="66" t="s">
        <v>575</v>
      </c>
      <c r="G51" s="270">
        <f t="shared" si="14"/>
        <v>0</v>
      </c>
      <c r="H51" s="270">
        <f t="shared" si="15"/>
        <v>0</v>
      </c>
      <c r="I51" s="69">
        <f t="shared" si="16"/>
        <v>42551</v>
      </c>
      <c r="K51" s="75"/>
      <c r="L51" s="75"/>
    </row>
    <row r="52" spans="1:12" s="65" customFormat="1" ht="12.75" customHeight="1">
      <c r="A52" s="66" t="s">
        <v>505</v>
      </c>
      <c r="B52" s="67"/>
      <c r="C52" s="68"/>
      <c r="E52" s="66" t="s">
        <v>576</v>
      </c>
      <c r="G52" s="270">
        <f t="shared" si="14"/>
        <v>0</v>
      </c>
      <c r="H52" s="270">
        <f t="shared" si="15"/>
        <v>0</v>
      </c>
      <c r="I52" s="69">
        <f t="shared" si="16"/>
        <v>42551</v>
      </c>
      <c r="K52" s="75"/>
      <c r="L52" s="75"/>
    </row>
    <row r="53" spans="1:12" s="65" customFormat="1" ht="12.75" customHeight="1">
      <c r="A53" s="66" t="s">
        <v>241</v>
      </c>
      <c r="B53" s="67"/>
      <c r="C53" s="68"/>
      <c r="E53" s="66" t="s">
        <v>577</v>
      </c>
      <c r="G53" s="270">
        <f t="shared" si="14"/>
        <v>0</v>
      </c>
      <c r="H53" s="270">
        <f t="shared" si="15"/>
        <v>0</v>
      </c>
      <c r="I53" s="69">
        <f t="shared" si="16"/>
        <v>42551</v>
      </c>
    </row>
    <row r="54" spans="1:12" s="65" customFormat="1" ht="12.75" customHeight="1">
      <c r="A54" s="66" t="s">
        <v>235</v>
      </c>
      <c r="B54" s="67"/>
      <c r="C54" s="68"/>
      <c r="E54" s="66" t="s">
        <v>578</v>
      </c>
      <c r="G54" s="270">
        <f t="shared" si="14"/>
        <v>0</v>
      </c>
      <c r="H54" s="270">
        <f t="shared" si="15"/>
        <v>0</v>
      </c>
      <c r="I54" s="69">
        <f t="shared" si="16"/>
        <v>42735</v>
      </c>
    </row>
    <row r="55" spans="1:12" s="65" customFormat="1" ht="12.75" customHeight="1">
      <c r="A55" s="66" t="s">
        <v>235</v>
      </c>
      <c r="B55" s="67"/>
      <c r="C55" s="68"/>
      <c r="E55" s="66" t="s">
        <v>579</v>
      </c>
      <c r="G55" s="270">
        <f t="shared" si="14"/>
        <v>0</v>
      </c>
      <c r="H55" s="270">
        <f t="shared" si="15"/>
        <v>0</v>
      </c>
      <c r="I55" s="69">
        <f t="shared" si="16"/>
        <v>42551</v>
      </c>
    </row>
    <row r="56" spans="1:12" s="65" customFormat="1" ht="12.75" customHeight="1">
      <c r="A56" s="66" t="s">
        <v>233</v>
      </c>
      <c r="B56" s="67"/>
      <c r="C56" s="68"/>
      <c r="E56" s="66" t="s">
        <v>580</v>
      </c>
      <c r="G56" s="270">
        <f t="shared" si="14"/>
        <v>0</v>
      </c>
      <c r="H56" s="270">
        <f t="shared" si="15"/>
        <v>0</v>
      </c>
      <c r="I56" s="69">
        <f t="shared" si="16"/>
        <v>42551</v>
      </c>
    </row>
    <row r="57" spans="1:12" s="65" customFormat="1" ht="12.75" customHeight="1">
      <c r="A57" s="66" t="s">
        <v>359</v>
      </c>
      <c r="B57" s="67"/>
      <c r="C57" s="68"/>
      <c r="E57" s="66" t="s">
        <v>581</v>
      </c>
      <c r="G57" s="270">
        <f t="shared" si="14"/>
        <v>0</v>
      </c>
      <c r="H57" s="270">
        <f t="shared" si="15"/>
        <v>0</v>
      </c>
      <c r="I57" s="69">
        <f t="shared" si="16"/>
        <v>42551</v>
      </c>
    </row>
    <row r="58" spans="1:12" s="65" customFormat="1" ht="12.75" customHeight="1">
      <c r="A58" s="66" t="s">
        <v>231</v>
      </c>
      <c r="B58" s="67"/>
      <c r="C58" s="68"/>
      <c r="E58" s="66" t="s">
        <v>582</v>
      </c>
      <c r="G58" s="270">
        <f t="shared" si="14"/>
        <v>0</v>
      </c>
      <c r="H58" s="270">
        <f t="shared" si="15"/>
        <v>0</v>
      </c>
      <c r="I58" s="69">
        <f t="shared" si="16"/>
        <v>42551</v>
      </c>
    </row>
    <row r="59" spans="1:12" s="65" customFormat="1" ht="12.75" customHeight="1">
      <c r="A59" s="66" t="s">
        <v>506</v>
      </c>
      <c r="B59" s="67"/>
      <c r="C59" s="68"/>
      <c r="E59" s="66" t="s">
        <v>583</v>
      </c>
      <c r="G59" s="270">
        <f t="shared" si="14"/>
        <v>0</v>
      </c>
      <c r="H59" s="270">
        <f t="shared" si="15"/>
        <v>0</v>
      </c>
      <c r="I59" s="69">
        <f t="shared" si="16"/>
        <v>42551</v>
      </c>
    </row>
    <row r="60" spans="1:12" s="65" customFormat="1" ht="12.75" customHeight="1">
      <c r="A60" s="66" t="s">
        <v>232</v>
      </c>
      <c r="B60" s="67"/>
      <c r="C60" s="68"/>
      <c r="E60" s="66" t="s">
        <v>584</v>
      </c>
      <c r="G60" s="270">
        <f t="shared" si="14"/>
        <v>0</v>
      </c>
      <c r="H60" s="270">
        <f t="shared" si="15"/>
        <v>0</v>
      </c>
      <c r="I60" s="69">
        <f t="shared" si="16"/>
        <v>42551</v>
      </c>
      <c r="J60" s="198"/>
    </row>
    <row r="61" spans="1:12" s="65" customFormat="1" ht="12.75" customHeight="1">
      <c r="C61" s="70"/>
      <c r="D61" s="70"/>
      <c r="E61" s="70"/>
      <c r="F61" s="70"/>
      <c r="G61" s="71"/>
      <c r="H61" s="72"/>
      <c r="I61" s="73"/>
    </row>
    <row r="62" spans="1:12" s="65" customFormat="1" ht="12.75" customHeight="1">
      <c r="C62" s="74" t="s">
        <v>71</v>
      </c>
      <c r="D62" s="70"/>
      <c r="E62" s="70"/>
      <c r="F62" s="70"/>
      <c r="G62" s="75">
        <f>SUM(G49:G60)</f>
        <v>0</v>
      </c>
      <c r="H62" s="75">
        <f>SUM(H49:H60)</f>
        <v>0</v>
      </c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  <row r="139" spans="3:9" s="65" customFormat="1" ht="12.75" customHeight="1">
      <c r="C139" s="70"/>
      <c r="D139" s="70"/>
      <c r="E139" s="70"/>
      <c r="F139" s="70"/>
      <c r="G139" s="70"/>
      <c r="I139" s="73"/>
    </row>
    <row r="140" spans="3:9" s="65" customFormat="1" ht="12.75" customHeight="1">
      <c r="C140" s="70"/>
      <c r="D140" s="70"/>
      <c r="E140" s="70"/>
      <c r="F140" s="70"/>
      <c r="G140" s="70"/>
      <c r="I140" s="73"/>
    </row>
    <row r="141" spans="3:9" s="65" customFormat="1" ht="12.75" customHeight="1">
      <c r="C141" s="70"/>
      <c r="D141" s="70"/>
      <c r="E141" s="70"/>
      <c r="F141" s="70"/>
      <c r="G141" s="70"/>
      <c r="I141" s="73"/>
    </row>
    <row r="142" spans="3:9" s="65" customFormat="1" ht="12.75" customHeight="1">
      <c r="C142" s="70"/>
      <c r="D142" s="70"/>
      <c r="E142" s="70"/>
      <c r="F142" s="70"/>
      <c r="G142" s="70"/>
      <c r="I142" s="73"/>
    </row>
    <row r="143" spans="3:9" s="65" customFormat="1" ht="12.75" customHeight="1">
      <c r="C143" s="70"/>
      <c r="D143" s="70"/>
      <c r="E143" s="70"/>
      <c r="F143" s="70"/>
      <c r="G143" s="70"/>
      <c r="I143" s="73"/>
    </row>
    <row r="144" spans="3:9" s="65" customFormat="1" ht="12.75" customHeight="1">
      <c r="C144" s="70"/>
      <c r="D144" s="70"/>
      <c r="E144" s="70"/>
      <c r="F144" s="70"/>
      <c r="G144" s="70"/>
      <c r="I144" s="73"/>
    </row>
    <row r="145" spans="3:9" s="65" customFormat="1" ht="12.75" customHeight="1">
      <c r="C145" s="70"/>
      <c r="D145" s="70"/>
      <c r="E145" s="70"/>
      <c r="F145" s="70"/>
      <c r="G145" s="70"/>
      <c r="I145" s="73"/>
    </row>
    <row r="146" spans="3:9" s="65" customFormat="1" ht="12.75" customHeight="1">
      <c r="C146" s="70"/>
      <c r="D146" s="70"/>
      <c r="E146" s="70"/>
      <c r="F146" s="70"/>
      <c r="G146" s="70"/>
      <c r="I146" s="73"/>
    </row>
    <row r="147" spans="3:9" s="65" customFormat="1" ht="12.75" customHeight="1">
      <c r="C147" s="70"/>
      <c r="D147" s="70"/>
      <c r="E147" s="70"/>
      <c r="F147" s="70"/>
      <c r="G147" s="70"/>
      <c r="I147" s="73"/>
    </row>
    <row r="148" spans="3:9" s="65" customFormat="1" ht="12.75" customHeight="1">
      <c r="C148" s="70"/>
      <c r="D148" s="70"/>
      <c r="E148" s="70"/>
      <c r="F148" s="70"/>
      <c r="G148" s="70"/>
      <c r="I148" s="73"/>
    </row>
  </sheetData>
  <mergeCells count="2">
    <mergeCell ref="A8:I8"/>
    <mergeCell ref="G5:I5"/>
  </mergeCells>
  <phoneticPr fontId="0" type="noConversion"/>
  <conditionalFormatting sqref="G46">
    <cfRule type="cellIs" dxfId="21" priority="3" stopIfTrue="1" operator="equal">
      <formula>19279082</formula>
    </cfRule>
  </conditionalFormatting>
  <printOptions horizontalCentered="1"/>
  <pageMargins left="0.25" right="0.25" top="0.25" bottom="0.5" header="0.35" footer="0.25"/>
  <pageSetup scale="95" orientation="portrait" r:id="rId1"/>
  <headerFooter alignWithMargins="0">
    <oddFooter>&amp;L&amp;"Calibri,Regular"Prepared by the SBCTC&amp;R&amp;"Calibri,Regular"&amp;D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L137"/>
  <sheetViews>
    <sheetView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2.42578125" style="23" bestFit="1" customWidth="1"/>
    <col min="11" max="12" width="11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116</v>
      </c>
      <c r="G5" s="505" t="str">
        <f>VLOOKUP($F5,District,2,FALSE)</f>
        <v>Grays Harbor College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1706</v>
      </c>
      <c r="D10" s="48"/>
      <c r="E10" s="48">
        <f>IF(ISNA(VLOOKUP($F$5,Student,14,FALSE)),0,VLOOKUP($F$5,Student,14,FALSE))</f>
        <v>0</v>
      </c>
      <c r="F10" s="48"/>
      <c r="G10" s="48">
        <f>$E$10+$C$10+$A$10</f>
        <v>1706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17" si="0">IF(ISNA(VLOOKUP($F$5 &amp;A16, AllocSched,12,FALSE)),"-",VLOOKUP($F$5 &amp;A16, AllocSched,12,FALSE))</f>
        <v>6710290</v>
      </c>
      <c r="D16" s="112" t="s">
        <v>51</v>
      </c>
      <c r="E16" s="16">
        <f t="shared" ref="E16:E23" si="1">IF(ISNA(VLOOKUP($F$5 &amp; A16, AllocSched,13,FALSE)),"-",VLOOKUP($F$5 &amp; A16, AllocSched,13,FALSE))</f>
        <v>-5685</v>
      </c>
      <c r="F16" s="16" t="s">
        <v>51</v>
      </c>
      <c r="G16" s="16">
        <f t="shared" ref="G16:G23" si="2">IF(C16="-",E16,C16+E16)</f>
        <v>6704605</v>
      </c>
      <c r="H16" s="55" t="str">
        <f t="shared" ref="H16:H34" si="3">IF(ISNA(VLOOKUP($F$5 &amp; A16, AllocSched,9,FALSE))," ",VLOOKUP($F$5 &amp; A16, AllocSched,9,FALSE))</f>
        <v>001-011</v>
      </c>
      <c r="I16" s="56">
        <f t="shared" ref="I16:I20" si="4">IF(ISNA(VLOOKUP($F$5 &amp; A16, AllocSched,14,FALSE))," ",VLOOKUP($F$5 &amp; A16, AllocSched,14,FALSE))</f>
        <v>101</v>
      </c>
    </row>
    <row r="17" spans="1:11" ht="12.75" customHeight="1">
      <c r="A17" s="115" t="s">
        <v>171</v>
      </c>
      <c r="B17" s="54"/>
      <c r="C17" s="16">
        <f t="shared" si="0"/>
        <v>434801</v>
      </c>
      <c r="D17" s="112"/>
      <c r="E17" s="16">
        <f t="shared" si="1"/>
        <v>5685</v>
      </c>
      <c r="F17" s="16"/>
      <c r="G17" s="16">
        <f t="shared" si="2"/>
        <v>440486</v>
      </c>
      <c r="H17" s="55" t="str">
        <f t="shared" si="3"/>
        <v>08A-3E0</v>
      </c>
      <c r="I17" s="56" t="str">
        <f t="shared" si="4"/>
        <v>3E0</v>
      </c>
      <c r="J17" s="25"/>
      <c r="K17" s="25"/>
    </row>
    <row r="18" spans="1:11" s="272" customFormat="1" ht="12.75" customHeight="1">
      <c r="A18" s="38" t="s">
        <v>781</v>
      </c>
      <c r="B18" s="54"/>
      <c r="C18" s="16">
        <f t="shared" ref="C18:C23" si="5">IF(ISNA(VLOOKUP($F$5 &amp;A18, AllocSched,12,FALSE)),"-",VLOOKUP($F$5 &amp;A18, AllocSched,12,FALSE))</f>
        <v>0</v>
      </c>
      <c r="D18" s="112"/>
      <c r="E18" s="16">
        <f t="shared" si="1"/>
        <v>44305</v>
      </c>
      <c r="F18" s="16"/>
      <c r="G18" s="16">
        <f t="shared" si="2"/>
        <v>44305</v>
      </c>
      <c r="H18" s="55" t="str">
        <f t="shared" ref="H18:H23" si="6">IF(ISNA(VLOOKUP($F$5 &amp; A18, AllocSched,9,FALSE))," ",VLOOKUP($F$5 &amp; A18, AllocSched,9,FALSE))</f>
        <v>001-011</v>
      </c>
      <c r="I18" s="56">
        <f t="shared" si="4"/>
        <v>101</v>
      </c>
      <c r="J18" s="25"/>
      <c r="K18" s="25"/>
    </row>
    <row r="19" spans="1:11" s="272" customFormat="1" ht="12.75" customHeight="1">
      <c r="A19" s="115" t="s">
        <v>448</v>
      </c>
      <c r="B19" s="54"/>
      <c r="C19" s="16">
        <f t="shared" si="5"/>
        <v>0</v>
      </c>
      <c r="D19" s="112"/>
      <c r="E19" s="16">
        <f t="shared" si="1"/>
        <v>147132</v>
      </c>
      <c r="F19" s="16"/>
      <c r="G19" s="16">
        <f t="shared" si="2"/>
        <v>147132</v>
      </c>
      <c r="H19" s="55" t="str">
        <f t="shared" si="6"/>
        <v>001-011</v>
      </c>
      <c r="I19" s="56">
        <f t="shared" si="4"/>
        <v>101</v>
      </c>
      <c r="J19" s="25"/>
      <c r="K19" s="25"/>
    </row>
    <row r="20" spans="1:11" s="269" customFormat="1" ht="12.75" customHeight="1">
      <c r="A20" s="115" t="s">
        <v>340</v>
      </c>
      <c r="B20" s="54"/>
      <c r="C20" s="16">
        <f t="shared" si="5"/>
        <v>0</v>
      </c>
      <c r="D20" s="112"/>
      <c r="E20" s="16">
        <f t="shared" si="1"/>
        <v>331818</v>
      </c>
      <c r="F20" s="16"/>
      <c r="G20" s="16">
        <f t="shared" si="2"/>
        <v>331818</v>
      </c>
      <c r="H20" s="55" t="str">
        <f t="shared" si="6"/>
        <v>001-011</v>
      </c>
      <c r="I20" s="56">
        <f t="shared" si="4"/>
        <v>101</v>
      </c>
      <c r="J20" s="25"/>
      <c r="K20" s="25"/>
    </row>
    <row r="21" spans="1:11" ht="12.75" customHeight="1">
      <c r="A21" s="115" t="s">
        <v>207</v>
      </c>
      <c r="B21" s="54"/>
      <c r="C21" s="16">
        <f t="shared" si="5"/>
        <v>0</v>
      </c>
      <c r="D21" s="112"/>
      <c r="E21" s="16">
        <f t="shared" si="1"/>
        <v>43100</v>
      </c>
      <c r="F21" s="16"/>
      <c r="G21" s="16">
        <f t="shared" si="2"/>
        <v>43100</v>
      </c>
      <c r="H21" s="55" t="str">
        <f t="shared" si="6"/>
        <v>001-011</v>
      </c>
      <c r="I21" s="56">
        <f>IF(ISNA(VLOOKUP($F$5 &amp; A21, AllocSched,14,FALSE))," ",VLOOKUP($F$5 &amp; A21, AllocSched,14,FALSE))</f>
        <v>101</v>
      </c>
    </row>
    <row r="22" spans="1:11" s="272" customFormat="1" ht="12.75" customHeight="1">
      <c r="A22" s="115" t="s">
        <v>203</v>
      </c>
      <c r="B22" s="54"/>
      <c r="C22" s="16">
        <f t="shared" si="5"/>
        <v>0</v>
      </c>
      <c r="D22" s="112"/>
      <c r="E22" s="16">
        <f t="shared" si="1"/>
        <v>-2006</v>
      </c>
      <c r="F22" s="16"/>
      <c r="G22" s="16">
        <f t="shared" si="2"/>
        <v>-2006</v>
      </c>
      <c r="H22" s="55" t="str">
        <f t="shared" si="6"/>
        <v>001-011</v>
      </c>
      <c r="I22" s="56">
        <f>IF(ISNA(VLOOKUP($F$5 &amp; A22, AllocSched,14,FALSE))," ",VLOOKUP($F$5 &amp; A22, AllocSched,14,FALSE))</f>
        <v>101</v>
      </c>
    </row>
    <row r="23" spans="1:11" s="272" customFormat="1" ht="12.75" customHeight="1">
      <c r="A23" s="115" t="s">
        <v>454</v>
      </c>
      <c r="B23" s="54"/>
      <c r="C23" s="16">
        <f t="shared" si="5"/>
        <v>0</v>
      </c>
      <c r="D23" s="112"/>
      <c r="E23" s="16">
        <f t="shared" si="1"/>
        <v>9200</v>
      </c>
      <c r="F23" s="16"/>
      <c r="G23" s="16">
        <f t="shared" si="2"/>
        <v>9200</v>
      </c>
      <c r="H23" s="55" t="str">
        <f t="shared" si="6"/>
        <v>001-011</v>
      </c>
      <c r="I23" s="56">
        <f>IF(ISNA(VLOOKUP($F$5 &amp; A23, AllocSched,14,FALSE))," ",VLOOKUP($F$5 &amp; A23, AllocSched,14,FALSE))</f>
        <v>101</v>
      </c>
    </row>
    <row r="24" spans="1:11" ht="12.75" customHeight="1">
      <c r="A24" s="115"/>
      <c r="B24" s="54"/>
      <c r="C24" s="16"/>
      <c r="D24" s="112"/>
      <c r="E24" s="16"/>
      <c r="F24" s="16"/>
      <c r="G24" s="16"/>
      <c r="H24" s="55" t="str">
        <f t="shared" si="3"/>
        <v xml:space="preserve"> </v>
      </c>
      <c r="I24" s="56" t="str">
        <f t="shared" ref="I24:I34" si="7">IF(ISNA(VLOOKUP($F$5 &amp; A24, AllocSched,14,FALSE))," ",VLOOKUP($F$5 &amp; A24, AllocSched,14,FALSE))</f>
        <v xml:space="preserve"> </v>
      </c>
    </row>
    <row r="25" spans="1:11" s="83" customFormat="1">
      <c r="A25" s="114" t="s">
        <v>168</v>
      </c>
      <c r="B25" s="84"/>
      <c r="C25" s="16"/>
      <c r="D25" s="112"/>
      <c r="E25" s="16"/>
      <c r="F25" s="16"/>
      <c r="G25" s="16"/>
      <c r="H25" s="55" t="str">
        <f t="shared" si="3"/>
        <v xml:space="preserve"> </v>
      </c>
      <c r="I25" s="56" t="str">
        <f t="shared" si="7"/>
        <v xml:space="preserve"> </v>
      </c>
    </row>
    <row r="26" spans="1:11" ht="12.75" customHeight="1">
      <c r="A26" s="38" t="s">
        <v>222</v>
      </c>
      <c r="C26" s="16">
        <f>IF(ISNA(VLOOKUP($F$5 &amp;A26, AllocSched,12,FALSE)),"-",VLOOKUP($F$5 &amp;A26, AllocSched,12,FALSE))</f>
        <v>50086</v>
      </c>
      <c r="D26" s="112"/>
      <c r="E26" s="16">
        <f>IF(ISNA(VLOOKUP($F$5 &amp; A26, AllocSched,13,FALSE)),"-",VLOOKUP($F$5 &amp; A26, AllocSched,13,FALSE))</f>
        <v>-50086</v>
      </c>
      <c r="F26" s="16"/>
      <c r="G26" s="16">
        <f>IF(C26="-",E26,C26+E26)</f>
        <v>0</v>
      </c>
      <c r="H26" s="55" t="str">
        <f>IF(ISNA(VLOOKUP($F$5 &amp; A26, AllocSched,9,FALSE))," ",VLOOKUP($F$5 &amp; A26, AllocSched,9,FALSE))</f>
        <v>08A-3E0</v>
      </c>
      <c r="I26" s="56" t="str">
        <f t="shared" si="7"/>
        <v>3E0</v>
      </c>
    </row>
    <row r="27" spans="1:11" ht="12.75" customHeight="1">
      <c r="A27" s="38" t="s">
        <v>170</v>
      </c>
      <c r="C27" s="16">
        <f t="shared" ref="C27:C34" si="8">IF(ISNA(VLOOKUP($F$5 &amp;A27, AllocSched,12,FALSE)),"-",VLOOKUP($F$5 &amp;A27, AllocSched,12,FALSE))</f>
        <v>32173</v>
      </c>
      <c r="D27" s="112"/>
      <c r="E27" s="16">
        <f t="shared" ref="E27:E34" si="9">IF(ISNA(VLOOKUP($F$5 &amp; A27, AllocSched,13,FALSE)),"-",VLOOKUP($F$5 &amp; A27, AllocSched,13,FALSE))</f>
        <v>-8178</v>
      </c>
      <c r="F27" s="16"/>
      <c r="G27" s="16">
        <f t="shared" ref="G27:G34" si="10">IF(C27="-",E27,C27+E27)</f>
        <v>23995</v>
      </c>
      <c r="H27" s="55" t="str">
        <f t="shared" si="3"/>
        <v>001-011</v>
      </c>
      <c r="I27" s="56">
        <f t="shared" si="7"/>
        <v>101</v>
      </c>
    </row>
    <row r="28" spans="1:11" ht="12.75" customHeight="1">
      <c r="A28" s="115" t="s">
        <v>151</v>
      </c>
      <c r="B28" s="54"/>
      <c r="C28" s="16">
        <f t="shared" si="8"/>
        <v>290700</v>
      </c>
      <c r="D28" s="112"/>
      <c r="E28" s="16">
        <f t="shared" si="9"/>
        <v>-20700</v>
      </c>
      <c r="F28" s="16"/>
      <c r="G28" s="16">
        <f t="shared" si="10"/>
        <v>270000</v>
      </c>
      <c r="H28" s="55" t="str">
        <f t="shared" si="3"/>
        <v>08A-3E0</v>
      </c>
      <c r="I28" s="56" t="str">
        <f t="shared" si="7"/>
        <v>3E0</v>
      </c>
    </row>
    <row r="29" spans="1:11" ht="12.75" customHeight="1">
      <c r="A29" s="115" t="s">
        <v>150</v>
      </c>
      <c r="B29" s="54"/>
      <c r="C29" s="16">
        <f t="shared" si="8"/>
        <v>29412</v>
      </c>
      <c r="D29" s="112"/>
      <c r="E29" s="16">
        <f t="shared" si="9"/>
        <v>0</v>
      </c>
      <c r="F29" s="16"/>
      <c r="G29" s="16">
        <f t="shared" si="10"/>
        <v>29412</v>
      </c>
      <c r="H29" s="55" t="str">
        <f t="shared" si="3"/>
        <v>001-011</v>
      </c>
      <c r="I29" s="56">
        <f t="shared" si="7"/>
        <v>101</v>
      </c>
    </row>
    <row r="30" spans="1:11" ht="12.75" customHeight="1">
      <c r="A30" s="115" t="s">
        <v>273</v>
      </c>
      <c r="B30" s="54"/>
      <c r="C30" s="16">
        <f>IF(ISNA(VLOOKUP($F$5 &amp;A30, AllocSched,12,FALSE)),"-",VLOOKUP($F$5 &amp;A30, AllocSched,12,FALSE))</f>
        <v>108514</v>
      </c>
      <c r="D30" s="112"/>
      <c r="E30" s="16">
        <f>IF(ISNA(VLOOKUP($F$5 &amp; A30, AllocSched,13,FALSE)),"-",VLOOKUP($F$5 &amp; A30, AllocSched,13,FALSE))</f>
        <v>-108514</v>
      </c>
      <c r="F30" s="16"/>
      <c r="G30" s="16">
        <f>IF(C30="-",E30,C30+E30)</f>
        <v>0</v>
      </c>
      <c r="H30" s="55" t="str">
        <f>IF(ISNA(VLOOKUP($F$5 &amp; A30, AllocSched,9,FALSE))," ",VLOOKUP($F$5 &amp; A30, AllocSched,9,FALSE))</f>
        <v>001-BD1</v>
      </c>
      <c r="I30" s="56" t="str">
        <f t="shared" si="7"/>
        <v>BD1</v>
      </c>
    </row>
    <row r="31" spans="1:11" ht="12.75" customHeight="1">
      <c r="A31" s="115" t="s">
        <v>6</v>
      </c>
      <c r="B31" s="54"/>
      <c r="C31" s="16">
        <f t="shared" si="8"/>
        <v>10727</v>
      </c>
      <c r="D31" s="112"/>
      <c r="E31" s="16">
        <f t="shared" si="9"/>
        <v>-3497</v>
      </c>
      <c r="F31" s="16"/>
      <c r="G31" s="16">
        <f t="shared" si="10"/>
        <v>7230</v>
      </c>
      <c r="H31" s="55" t="str">
        <f t="shared" si="3"/>
        <v>001-011</v>
      </c>
      <c r="I31" s="56">
        <f t="shared" si="7"/>
        <v>101</v>
      </c>
    </row>
    <row r="32" spans="1:11" ht="12.75" customHeight="1">
      <c r="A32" s="115" t="s">
        <v>333</v>
      </c>
      <c r="B32" s="54"/>
      <c r="C32" s="16">
        <f t="shared" si="8"/>
        <v>140750</v>
      </c>
      <c r="D32" s="112"/>
      <c r="E32" s="16">
        <f t="shared" si="9"/>
        <v>0</v>
      </c>
      <c r="F32" s="16"/>
      <c r="G32" s="16">
        <f t="shared" si="10"/>
        <v>140750</v>
      </c>
      <c r="H32" s="55" t="str">
        <f t="shared" si="3"/>
        <v>001-011</v>
      </c>
      <c r="I32" s="56">
        <f t="shared" si="7"/>
        <v>101</v>
      </c>
    </row>
    <row r="33" spans="1:11" ht="12.75" customHeight="1">
      <c r="A33" s="115" t="s">
        <v>332</v>
      </c>
      <c r="B33" s="54"/>
      <c r="C33" s="16">
        <f t="shared" si="8"/>
        <v>672323</v>
      </c>
      <c r="D33" s="112"/>
      <c r="E33" s="16">
        <f t="shared" si="9"/>
        <v>0</v>
      </c>
      <c r="F33" s="16"/>
      <c r="G33" s="16">
        <f t="shared" si="10"/>
        <v>672323</v>
      </c>
      <c r="H33" s="55" t="str">
        <f t="shared" si="3"/>
        <v>001-AC1</v>
      </c>
      <c r="I33" s="56">
        <f t="shared" si="7"/>
        <v>123</v>
      </c>
    </row>
    <row r="34" spans="1:11" ht="12.75" customHeight="1">
      <c r="A34" s="115" t="s">
        <v>215</v>
      </c>
      <c r="B34" s="54"/>
      <c r="C34" s="16">
        <f t="shared" si="8"/>
        <v>210125</v>
      </c>
      <c r="D34" s="112"/>
      <c r="E34" s="16">
        <f t="shared" si="9"/>
        <v>-210125</v>
      </c>
      <c r="F34" s="16"/>
      <c r="G34" s="16">
        <f t="shared" si="10"/>
        <v>0</v>
      </c>
      <c r="H34" s="55" t="str">
        <f t="shared" si="3"/>
        <v>001-AC1</v>
      </c>
      <c r="I34" s="56">
        <f t="shared" si="7"/>
        <v>123</v>
      </c>
    </row>
    <row r="35" spans="1:11" s="272" customFormat="1" ht="12.75" customHeight="1">
      <c r="A35" s="115" t="s">
        <v>451</v>
      </c>
      <c r="B35" s="54"/>
      <c r="C35" s="16">
        <f>IF(ISNA(VLOOKUP($F$5 &amp;A35, AllocSched,12,FALSE)),"-",VLOOKUP($F$5 &amp;A35, AllocSched,12,FALSE))</f>
        <v>0</v>
      </c>
      <c r="D35" s="112"/>
      <c r="E35" s="16">
        <f>IF(ISNA(VLOOKUP($F$5 &amp; A35, AllocSched,13,FALSE)),"-",VLOOKUP($F$5 &amp; A35, AllocSched,13,FALSE))</f>
        <v>41292</v>
      </c>
      <c r="F35" s="16"/>
      <c r="G35" s="16">
        <f>IF(C35="-",E35,C35+E35)</f>
        <v>41292</v>
      </c>
      <c r="H35" s="55" t="str">
        <f>IF(ISNA(VLOOKUP($F$5 &amp; A35, AllocSched,9,FALSE))," ",VLOOKUP($F$5 &amp; A35, AllocSched,9,FALSE))</f>
        <v>001-011</v>
      </c>
      <c r="I35" s="56">
        <f>IF(ISNA(VLOOKUP($F$5 &amp; A35, AllocSched,14,FALSE))," ",VLOOKUP($F$5 &amp; A35, AllocSched,14,FALSE))</f>
        <v>101</v>
      </c>
    </row>
    <row r="36" spans="1:11" ht="12.75" customHeight="1">
      <c r="A36" s="54"/>
      <c r="B36" s="54"/>
      <c r="C36" s="16"/>
      <c r="D36" s="112"/>
      <c r="E36" s="16"/>
      <c r="F36" s="16"/>
      <c r="G36" s="16"/>
      <c r="H36" s="55"/>
      <c r="I36" s="56"/>
    </row>
    <row r="37" spans="1:11" ht="13.5" thickBot="1">
      <c r="A37" s="89" t="s">
        <v>174</v>
      </c>
      <c r="B37" s="57" t="s">
        <v>51</v>
      </c>
      <c r="C37" s="111">
        <f>SUM(C16:C35)</f>
        <v>8689901</v>
      </c>
      <c r="D37" s="113" t="s">
        <v>51</v>
      </c>
      <c r="E37" s="111">
        <f>SUM(E16:E35)</f>
        <v>213741</v>
      </c>
      <c r="F37" s="113" t="s">
        <v>51</v>
      </c>
      <c r="G37" s="111">
        <f>SUM(G16:G35)</f>
        <v>8903642</v>
      </c>
      <c r="J37" s="25"/>
      <c r="K37" s="30"/>
    </row>
    <row r="38" spans="1:11" ht="12.75" customHeight="1" thickTop="1">
      <c r="A38" s="84"/>
      <c r="B38" s="84"/>
      <c r="C38" s="58">
        <v>0</v>
      </c>
      <c r="D38" s="58"/>
      <c r="E38" s="90"/>
      <c r="F38" s="90"/>
      <c r="G38" s="90"/>
    </row>
    <row r="39" spans="1:11" s="65" customFormat="1" ht="25.5">
      <c r="A39" s="59" t="s">
        <v>156</v>
      </c>
      <c r="B39" s="60"/>
      <c r="C39" s="61"/>
      <c r="D39" s="62"/>
      <c r="E39" s="63" t="s">
        <v>67</v>
      </c>
      <c r="F39" s="62"/>
      <c r="G39" s="64" t="s">
        <v>163</v>
      </c>
      <c r="H39" s="64" t="s">
        <v>164</v>
      </c>
      <c r="I39" s="98" t="s">
        <v>70</v>
      </c>
    </row>
    <row r="40" spans="1:11" s="65" customFormat="1" ht="12.75" customHeight="1">
      <c r="A40" s="66" t="s">
        <v>240</v>
      </c>
      <c r="B40" s="67"/>
      <c r="C40" s="68"/>
      <c r="E40" s="66" t="s">
        <v>363</v>
      </c>
      <c r="G40" s="30">
        <f t="shared" ref="G40:G49" si="11">VLOOKUP($F$5 &amp; $A40 &amp; $E40,AddRes,7,FALSE)</f>
        <v>0</v>
      </c>
      <c r="H40" s="30">
        <f t="shared" ref="H40:H49" si="12">VLOOKUP($F$5 &amp; $A40 &amp; $E40,AddRes,8,FALSE)</f>
        <v>0</v>
      </c>
      <c r="I40" s="69">
        <f t="shared" ref="I40:I49" si="13">VLOOKUP($F$5 &amp; $A40 &amp; $E40,AddRes,10,FALSE)</f>
        <v>42277</v>
      </c>
    </row>
    <row r="41" spans="1:11" s="65" customFormat="1" ht="12.75" customHeight="1">
      <c r="A41" s="66" t="s">
        <v>498</v>
      </c>
      <c r="B41" s="67"/>
      <c r="C41" s="68"/>
      <c r="E41" s="66" t="s">
        <v>585</v>
      </c>
      <c r="G41" s="270">
        <f>VLOOKUP($F$5 &amp; $A41 &amp; $E41,AddRes,7,FALSE)</f>
        <v>0</v>
      </c>
      <c r="H41" s="270">
        <f>VLOOKUP($F$5 &amp; $A41 &amp; $E41,AddRes,8,FALSE)</f>
        <v>0</v>
      </c>
      <c r="I41" s="69">
        <f t="shared" si="13"/>
        <v>42551</v>
      </c>
    </row>
    <row r="42" spans="1:11" s="65" customFormat="1" ht="12.75" customHeight="1">
      <c r="A42" s="66" t="s">
        <v>505</v>
      </c>
      <c r="B42" s="67"/>
      <c r="C42" s="68"/>
      <c r="E42" s="66" t="s">
        <v>586</v>
      </c>
      <c r="G42" s="270">
        <f>VLOOKUP($F$5 &amp; $A42 &amp; $E42,AddRes,7,FALSE)</f>
        <v>0</v>
      </c>
      <c r="H42" s="270">
        <f>VLOOKUP($F$5 &amp; $A42 &amp; $E42,AddRes,8,FALSE)</f>
        <v>0</v>
      </c>
      <c r="I42" s="69">
        <f t="shared" si="13"/>
        <v>42551</v>
      </c>
    </row>
    <row r="43" spans="1:11" s="65" customFormat="1" ht="12.75" customHeight="1">
      <c r="A43" s="66" t="s">
        <v>412</v>
      </c>
      <c r="B43" s="67"/>
      <c r="C43" s="68"/>
      <c r="E43" s="66" t="s">
        <v>416</v>
      </c>
      <c r="G43" s="270">
        <f>VLOOKUP($F$5 &amp; $A43 &amp; $E43,AddRes,7,FALSE)</f>
        <v>0</v>
      </c>
      <c r="H43" s="270">
        <f>VLOOKUP($F$5 &amp; $A43 &amp; $E43,AddRes,8,FALSE)</f>
        <v>0</v>
      </c>
      <c r="I43" s="69">
        <f t="shared" si="13"/>
        <v>42551</v>
      </c>
    </row>
    <row r="44" spans="1:11" s="65" customFormat="1" ht="12.75" customHeight="1">
      <c r="A44" s="66" t="s">
        <v>267</v>
      </c>
      <c r="B44" s="67"/>
      <c r="C44" s="68"/>
      <c r="E44" s="66" t="s">
        <v>587</v>
      </c>
      <c r="G44" s="30">
        <f>VLOOKUP($F$5 &amp; $A44 &amp; $E44,AddRes,7,FALSE)</f>
        <v>0</v>
      </c>
      <c r="H44" s="30">
        <f>VLOOKUP($F$5 &amp; $A44 &amp; $E44,AddRes,8,FALSE)</f>
        <v>0</v>
      </c>
      <c r="I44" s="69">
        <f t="shared" si="13"/>
        <v>42551</v>
      </c>
    </row>
    <row r="45" spans="1:11" s="65" customFormat="1" ht="12.75" customHeight="1">
      <c r="A45" s="66" t="s">
        <v>242</v>
      </c>
      <c r="B45" s="67"/>
      <c r="C45" s="68"/>
      <c r="E45" s="66" t="s">
        <v>364</v>
      </c>
      <c r="G45" s="30">
        <f>VLOOKUP($F$5 &amp; $A45 &amp; $E45,AddRes,7,FALSE)</f>
        <v>0</v>
      </c>
      <c r="H45" s="30">
        <f>VLOOKUP($F$5 &amp; $A45 &amp; $E45,AddRes,8,FALSE)</f>
        <v>0</v>
      </c>
      <c r="I45" s="69">
        <f t="shared" si="13"/>
        <v>42551</v>
      </c>
    </row>
    <row r="46" spans="1:11" s="65" customFormat="1" ht="12.75" customHeight="1">
      <c r="A46" s="66" t="s">
        <v>235</v>
      </c>
      <c r="B46" s="67"/>
      <c r="C46" s="68"/>
      <c r="E46" s="66" t="s">
        <v>588</v>
      </c>
      <c r="G46" s="270">
        <f t="shared" si="11"/>
        <v>0</v>
      </c>
      <c r="H46" s="270">
        <f t="shared" si="12"/>
        <v>0</v>
      </c>
      <c r="I46" s="69">
        <f t="shared" si="13"/>
        <v>42277</v>
      </c>
    </row>
    <row r="47" spans="1:11" s="65" customFormat="1" ht="12.75" customHeight="1">
      <c r="A47" s="66" t="s">
        <v>233</v>
      </c>
      <c r="B47" s="67"/>
      <c r="C47" s="68"/>
      <c r="E47" s="66" t="s">
        <v>589</v>
      </c>
      <c r="G47" s="270">
        <f t="shared" si="11"/>
        <v>0</v>
      </c>
      <c r="H47" s="270">
        <f t="shared" si="12"/>
        <v>0</v>
      </c>
      <c r="I47" s="69">
        <f t="shared" si="13"/>
        <v>42551</v>
      </c>
    </row>
    <row r="48" spans="1:11" s="65" customFormat="1" ht="12.75" customHeight="1">
      <c r="A48" s="66" t="s">
        <v>231</v>
      </c>
      <c r="B48" s="67"/>
      <c r="C48" s="68"/>
      <c r="E48" s="66" t="s">
        <v>590</v>
      </c>
      <c r="G48" s="30">
        <f t="shared" si="11"/>
        <v>0</v>
      </c>
      <c r="H48" s="30">
        <f t="shared" si="12"/>
        <v>0</v>
      </c>
      <c r="I48" s="69">
        <f t="shared" si="13"/>
        <v>42551</v>
      </c>
    </row>
    <row r="49" spans="1:12" s="65" customFormat="1" ht="12.75" customHeight="1">
      <c r="A49" s="66" t="s">
        <v>232</v>
      </c>
      <c r="B49" s="67"/>
      <c r="C49" s="68"/>
      <c r="E49" s="66" t="s">
        <v>591</v>
      </c>
      <c r="G49" s="30">
        <f t="shared" si="11"/>
        <v>0</v>
      </c>
      <c r="H49" s="30">
        <f t="shared" si="12"/>
        <v>0</v>
      </c>
      <c r="I49" s="69">
        <f t="shared" si="13"/>
        <v>42551</v>
      </c>
    </row>
    <row r="50" spans="1:12" s="65" customFormat="1" ht="12.75" customHeight="1">
      <c r="A50" s="66"/>
      <c r="C50" s="70"/>
      <c r="D50" s="70"/>
      <c r="E50" s="70"/>
      <c r="F50" s="70"/>
      <c r="G50" s="71"/>
      <c r="H50" s="72"/>
      <c r="I50" s="73"/>
    </row>
    <row r="51" spans="1:12" s="65" customFormat="1" ht="12.75" customHeight="1">
      <c r="A51" s="66"/>
      <c r="C51" s="74" t="s">
        <v>71</v>
      </c>
      <c r="D51" s="70"/>
      <c r="E51" s="70"/>
      <c r="F51" s="70"/>
      <c r="G51" s="75">
        <f>SUM(G40:G49)</f>
        <v>0</v>
      </c>
      <c r="H51" s="75">
        <f>SUM(H40:H49)</f>
        <v>0</v>
      </c>
      <c r="I51" s="73"/>
      <c r="K51" s="75"/>
      <c r="L51" s="75"/>
    </row>
    <row r="52" spans="1:12" s="65" customFormat="1" ht="12.75" customHeight="1">
      <c r="A52" s="66"/>
      <c r="C52" s="70"/>
      <c r="D52" s="70"/>
      <c r="E52" s="70"/>
      <c r="F52" s="70"/>
      <c r="G52" s="70"/>
      <c r="I52" s="73"/>
    </row>
    <row r="53" spans="1:12" s="65" customFormat="1" ht="12.75" customHeight="1">
      <c r="C53" s="70"/>
      <c r="D53" s="70"/>
      <c r="E53" s="70"/>
      <c r="F53" s="70"/>
      <c r="G53" s="70"/>
      <c r="I53" s="73"/>
    </row>
    <row r="54" spans="1:12" s="65" customFormat="1" ht="12.75" customHeight="1">
      <c r="C54" s="70"/>
      <c r="D54" s="70"/>
      <c r="E54" s="70"/>
      <c r="F54" s="70"/>
      <c r="G54" s="70"/>
      <c r="I54" s="73"/>
    </row>
    <row r="55" spans="1:12" s="65" customFormat="1" ht="12.75" customHeight="1">
      <c r="C55" s="70"/>
      <c r="D55" s="70"/>
      <c r="E55" s="70"/>
      <c r="F55" s="70"/>
      <c r="G55" s="70"/>
      <c r="I55" s="73"/>
    </row>
    <row r="56" spans="1:12" s="65" customFormat="1" ht="12.75" customHeight="1">
      <c r="C56" s="70"/>
      <c r="D56" s="70"/>
      <c r="E56" s="70"/>
      <c r="F56" s="70"/>
      <c r="G56" s="70"/>
      <c r="I56" s="73"/>
    </row>
    <row r="57" spans="1:12" s="65" customFormat="1" ht="12.75" customHeight="1">
      <c r="C57" s="70"/>
      <c r="D57" s="70"/>
      <c r="E57" s="70"/>
      <c r="F57" s="70"/>
      <c r="G57" s="70"/>
      <c r="I57" s="73"/>
    </row>
    <row r="58" spans="1:12" s="65" customFormat="1" ht="12.75" customHeight="1">
      <c r="C58" s="70"/>
      <c r="D58" s="70"/>
      <c r="E58" s="70"/>
      <c r="F58" s="70"/>
      <c r="G58" s="70"/>
      <c r="I58" s="73"/>
    </row>
    <row r="59" spans="1:12" s="65" customFormat="1" ht="12.75" customHeight="1">
      <c r="C59" s="70"/>
      <c r="D59" s="70"/>
      <c r="E59" s="70"/>
      <c r="F59" s="70"/>
      <c r="G59" s="70"/>
      <c r="I59" s="73"/>
    </row>
    <row r="60" spans="1:12" s="65" customFormat="1" ht="12.75" customHeight="1">
      <c r="C60" s="70"/>
      <c r="D60" s="70"/>
      <c r="E60" s="70"/>
      <c r="F60" s="70"/>
      <c r="G60" s="70"/>
      <c r="I60" s="73"/>
    </row>
    <row r="61" spans="1:12" s="65" customFormat="1" ht="12.75" customHeight="1">
      <c r="C61" s="70"/>
      <c r="D61" s="70"/>
      <c r="E61" s="70"/>
      <c r="F61" s="70"/>
      <c r="G61" s="70"/>
      <c r="I61" s="73"/>
    </row>
    <row r="62" spans="1:12" s="65" customFormat="1" ht="12.75" customHeight="1">
      <c r="C62" s="70"/>
      <c r="D62" s="70"/>
      <c r="E62" s="70"/>
      <c r="F62" s="70"/>
      <c r="G62" s="70"/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</sheetData>
  <mergeCells count="2">
    <mergeCell ref="A8:I8"/>
    <mergeCell ref="G5:I5"/>
  </mergeCells>
  <phoneticPr fontId="0" type="noConversion"/>
  <conditionalFormatting sqref="G37">
    <cfRule type="cellIs" dxfId="20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L149"/>
  <sheetViews>
    <sheetView topLeftCell="A13"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3.5703125" style="23" bestFit="1" customWidth="1"/>
    <col min="11" max="11" width="12.42578125" style="23" bestFit="1" customWidth="1"/>
    <col min="12" max="12" width="11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124</v>
      </c>
      <c r="G5" s="505" t="str">
        <f>VLOOKUP($F5,District,2,FALSE)</f>
        <v>Green River Community College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5476</v>
      </c>
      <c r="D10" s="48"/>
      <c r="E10" s="48">
        <f>IF(ISNA(VLOOKUP($F$5,Student,14,FALSE)),0,VLOOKUP($F$5,Student,14,FALSE))</f>
        <v>39</v>
      </c>
      <c r="F10" s="48"/>
      <c r="G10" s="48">
        <f>$E$10+$C$10+$A$10</f>
        <v>5515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21" si="0">IF(ISNA(VLOOKUP($F$5 &amp;A16, AllocSched,12,FALSE)),"-",VLOOKUP($F$5 &amp;A16, AllocSched,12,FALSE))</f>
        <v>18208105</v>
      </c>
      <c r="D16" s="112" t="s">
        <v>51</v>
      </c>
      <c r="E16" s="16">
        <f>IF(ISNA(VLOOKUP($F$5 &amp; A16, AllocSched,13,FALSE)),"-",VLOOKUP($F$5 &amp; A16, AllocSched,13,FALSE))</f>
        <v>-23070</v>
      </c>
      <c r="F16" s="16" t="s">
        <v>51</v>
      </c>
      <c r="G16" s="16">
        <f t="shared" ref="G16:G24" si="1">IF(C16="-",E16,C16+E16)</f>
        <v>18185035</v>
      </c>
      <c r="H16" s="55" t="str">
        <f t="shared" ref="H16:H40" si="2">IF(ISNA(VLOOKUP($F$5 &amp; A16, AllocSched,9,FALSE))," ",VLOOKUP($F$5 &amp; A16, AllocSched,9,FALSE))</f>
        <v>001-011</v>
      </c>
      <c r="I16" s="56">
        <f t="shared" ref="I16:I36" si="3">IF(ISNA(VLOOKUP($F$5 &amp; A16, AllocSched,14,FALSE))," ",VLOOKUP($F$5 &amp; A16, AllocSched,14,FALSE))</f>
        <v>101</v>
      </c>
    </row>
    <row r="17" spans="1:9" ht="12.75" customHeight="1">
      <c r="A17" s="115" t="s">
        <v>171</v>
      </c>
      <c r="B17" s="54"/>
      <c r="C17" s="16">
        <f t="shared" si="0"/>
        <v>955276</v>
      </c>
      <c r="D17" s="112"/>
      <c r="E17" s="16">
        <f t="shared" ref="E17:E24" si="4">IF(ISNA(VLOOKUP($F$5 &amp; A17, AllocSched,13,FALSE)),"-",VLOOKUP($F$5 &amp; A17, AllocSched,13,FALSE))</f>
        <v>23070</v>
      </c>
      <c r="F17" s="16"/>
      <c r="G17" s="16">
        <f t="shared" si="1"/>
        <v>978346</v>
      </c>
      <c r="H17" s="55" t="str">
        <f t="shared" si="2"/>
        <v>08A-3E0</v>
      </c>
      <c r="I17" s="56" t="str">
        <f t="shared" si="3"/>
        <v>3E0</v>
      </c>
    </row>
    <row r="18" spans="1:9" s="272" customFormat="1" ht="12.75" customHeight="1">
      <c r="A18" s="38" t="s">
        <v>781</v>
      </c>
      <c r="B18" s="54"/>
      <c r="C18" s="16">
        <f t="shared" si="0"/>
        <v>0</v>
      </c>
      <c r="D18" s="112"/>
      <c r="E18" s="16">
        <f t="shared" si="4"/>
        <v>148440</v>
      </c>
      <c r="F18" s="16"/>
      <c r="G18" s="16">
        <f t="shared" si="1"/>
        <v>148440</v>
      </c>
      <c r="H18" s="55" t="str">
        <f>IF(ISNA(VLOOKUP($F$5 &amp; A18, AllocSched,9,FALSE))," ",VLOOKUP($F$5 &amp; A18, AllocSched,9,FALSE))</f>
        <v>001-011</v>
      </c>
      <c r="I18" s="56">
        <f>IF(ISNA(VLOOKUP($F$5 &amp; A18, AllocSched,14,FALSE))," ",VLOOKUP($F$5 &amp; A18, AllocSched,14,FALSE))</f>
        <v>101</v>
      </c>
    </row>
    <row r="19" spans="1:9" s="272" customFormat="1" ht="12.75" customHeight="1">
      <c r="A19" s="115" t="s">
        <v>448</v>
      </c>
      <c r="B19" s="54"/>
      <c r="C19" s="16">
        <f t="shared" si="0"/>
        <v>0</v>
      </c>
      <c r="D19" s="112"/>
      <c r="E19" s="16">
        <f t="shared" si="4"/>
        <v>496497</v>
      </c>
      <c r="F19" s="16"/>
      <c r="G19" s="16">
        <f t="shared" si="1"/>
        <v>496497</v>
      </c>
      <c r="H19" s="55" t="str">
        <f>IF(ISNA(VLOOKUP($F$5 &amp; A19, AllocSched,9,FALSE))," ",VLOOKUP($F$5 &amp; A19, AllocSched,9,FALSE))</f>
        <v>001-011</v>
      </c>
      <c r="I19" s="56">
        <f>IF(ISNA(VLOOKUP($F$5 &amp; A19, AllocSched,14,FALSE))," ",VLOOKUP($F$5 &amp; A19, AllocSched,14,FALSE))</f>
        <v>101</v>
      </c>
    </row>
    <row r="20" spans="1:9" s="269" customFormat="1" ht="12.75" customHeight="1">
      <c r="A20" s="115" t="s">
        <v>340</v>
      </c>
      <c r="B20" s="54"/>
      <c r="C20" s="16">
        <f t="shared" si="0"/>
        <v>0</v>
      </c>
      <c r="D20" s="112"/>
      <c r="E20" s="16">
        <f t="shared" si="4"/>
        <v>1239840</v>
      </c>
      <c r="F20" s="16"/>
      <c r="G20" s="16">
        <f t="shared" si="1"/>
        <v>1239840</v>
      </c>
      <c r="H20" s="55" t="str">
        <f>IF(ISNA(VLOOKUP($F$5 &amp; A20, AllocSched,9,FALSE))," ",VLOOKUP($F$5 &amp; A20, AllocSched,9,FALSE))</f>
        <v>001-011</v>
      </c>
      <c r="I20" s="56">
        <f>IF(ISNA(VLOOKUP($F$5 &amp; A20, AllocSched,14,FALSE))," ",VLOOKUP($F$5 &amp; A20, AllocSched,14,FALSE))</f>
        <v>101</v>
      </c>
    </row>
    <row r="21" spans="1:9" ht="12.75" customHeight="1">
      <c r="A21" s="115" t="s">
        <v>253</v>
      </c>
      <c r="B21" s="54"/>
      <c r="C21" s="16">
        <f t="shared" si="0"/>
        <v>0</v>
      </c>
      <c r="D21" s="112"/>
      <c r="E21" s="16">
        <f t="shared" si="4"/>
        <v>42000</v>
      </c>
      <c r="F21" s="16"/>
      <c r="G21" s="16">
        <f t="shared" si="1"/>
        <v>42000</v>
      </c>
      <c r="H21" s="55" t="str">
        <f>IF(ISNA(VLOOKUP($F$5 &amp; A21, AllocSched,9,FALSE))," ",VLOOKUP($F$5 &amp; A21, AllocSched,9,FALSE))</f>
        <v>001-011</v>
      </c>
      <c r="I21" s="56">
        <f t="shared" si="3"/>
        <v>101</v>
      </c>
    </row>
    <row r="22" spans="1:9" ht="12.75" customHeight="1">
      <c r="A22" s="115" t="s">
        <v>207</v>
      </c>
      <c r="B22" s="54"/>
      <c r="C22" s="16">
        <f t="shared" ref="C22:C23" si="5">IF(ISNA(VLOOKUP($F$5 &amp;A22, AllocSched,12,FALSE)),"-",VLOOKUP($F$5 &amp;A22, AllocSched,12,FALSE))</f>
        <v>0</v>
      </c>
      <c r="D22" s="112"/>
      <c r="E22" s="16">
        <f t="shared" si="4"/>
        <v>106866</v>
      </c>
      <c r="F22" s="16"/>
      <c r="G22" s="16">
        <f t="shared" si="1"/>
        <v>106866</v>
      </c>
      <c r="H22" s="55" t="str">
        <f t="shared" si="2"/>
        <v>001-011</v>
      </c>
      <c r="I22" s="56">
        <f t="shared" si="3"/>
        <v>101</v>
      </c>
    </row>
    <row r="23" spans="1:9" s="272" customFormat="1" ht="12.75" customHeight="1">
      <c r="A23" s="115" t="s">
        <v>203</v>
      </c>
      <c r="B23" s="54"/>
      <c r="C23" s="16">
        <f t="shared" si="5"/>
        <v>0</v>
      </c>
      <c r="D23" s="112"/>
      <c r="E23" s="16">
        <f t="shared" si="4"/>
        <v>-5500</v>
      </c>
      <c r="F23" s="16"/>
      <c r="G23" s="16">
        <f t="shared" si="1"/>
        <v>-5500</v>
      </c>
      <c r="H23" s="55" t="str">
        <f>IF(ISNA(VLOOKUP($F$5 &amp; A23, AllocSched,9,FALSE))," ",VLOOKUP($F$5 &amp; A23, AllocSched,9,FALSE))</f>
        <v>001-011</v>
      </c>
      <c r="I23" s="56">
        <f>IF(ISNA(VLOOKUP($F$5 &amp; A23, AllocSched,14,FALSE))," ",VLOOKUP($F$5 &amp; A23, AllocSched,14,FALSE))</f>
        <v>101</v>
      </c>
    </row>
    <row r="24" spans="1:9" s="272" customFormat="1" ht="12.75" customHeight="1">
      <c r="A24" s="115" t="s">
        <v>454</v>
      </c>
      <c r="B24" s="54"/>
      <c r="C24" s="16">
        <f>IF(ISNA(VLOOKUP($F$5 &amp;A24, AllocSched,12,FALSE)),"-",VLOOKUP($F$5 &amp;A24, AllocSched,12,FALSE))</f>
        <v>0</v>
      </c>
      <c r="D24" s="112"/>
      <c r="E24" s="16">
        <f t="shared" si="4"/>
        <v>13271</v>
      </c>
      <c r="F24" s="16"/>
      <c r="G24" s="16">
        <f t="shared" si="1"/>
        <v>13271</v>
      </c>
      <c r="H24" s="55" t="str">
        <f>IF(ISNA(VLOOKUP($F$5 &amp; A24, AllocSched,9,FALSE))," ",VLOOKUP($F$5 &amp; A24, AllocSched,9,FALSE))</f>
        <v>001-011</v>
      </c>
      <c r="I24" s="56">
        <f>IF(ISNA(VLOOKUP($F$5 &amp; A24, AllocSched,14,FALSE))," ",VLOOKUP($F$5 &amp; A24, AllocSched,14,FALSE))</f>
        <v>101</v>
      </c>
    </row>
    <row r="25" spans="1:9" ht="12.75" customHeight="1">
      <c r="A25" s="115"/>
      <c r="B25" s="54"/>
      <c r="C25" s="16"/>
      <c r="D25" s="112"/>
      <c r="E25" s="16"/>
      <c r="F25" s="16"/>
      <c r="G25" s="16"/>
      <c r="H25" s="55" t="str">
        <f t="shared" si="2"/>
        <v xml:space="preserve"> </v>
      </c>
      <c r="I25" s="56" t="str">
        <f t="shared" si="3"/>
        <v xml:space="preserve"> </v>
      </c>
    </row>
    <row r="26" spans="1:9" s="83" customFormat="1">
      <c r="A26" s="114" t="s">
        <v>168</v>
      </c>
      <c r="B26" s="84"/>
      <c r="C26" s="16"/>
      <c r="D26" s="112"/>
      <c r="E26" s="16"/>
      <c r="F26" s="16"/>
      <c r="G26" s="16"/>
      <c r="H26" s="55" t="str">
        <f t="shared" si="2"/>
        <v xml:space="preserve"> </v>
      </c>
      <c r="I26" s="56" t="str">
        <f t="shared" si="3"/>
        <v xml:space="preserve"> </v>
      </c>
    </row>
    <row r="27" spans="1:9" ht="12.75" customHeight="1">
      <c r="A27" s="38" t="s">
        <v>160</v>
      </c>
      <c r="C27" s="16" t="str">
        <f>IF(ISNA(VLOOKUP($F$5 &amp;A27, AllocSched,12,FALSE)),"-",VLOOKUP($F$5 &amp;A27, AllocSched,12,FALSE))</f>
        <v>-</v>
      </c>
      <c r="D27" s="112"/>
      <c r="E27" s="16" t="str">
        <f>IF(ISNA(VLOOKUP($F$5 &amp; A27, AllocSched,13,FALSE)),"-",VLOOKUP($F$5 &amp; A27, AllocSched,13,FALSE))</f>
        <v>-</v>
      </c>
      <c r="F27" s="16"/>
      <c r="G27" s="16" t="str">
        <f>IF(C27="-",E27,C27+E27)</f>
        <v>-</v>
      </c>
      <c r="H27" s="55" t="str">
        <f>IF(ISNA(VLOOKUP($F$5 &amp; A27, AllocSched,9,FALSE))," ",VLOOKUP($F$5 &amp; A27, AllocSched,9,FALSE))</f>
        <v xml:space="preserve"> </v>
      </c>
      <c r="I27" s="56" t="str">
        <f t="shared" si="3"/>
        <v xml:space="preserve"> </v>
      </c>
    </row>
    <row r="28" spans="1:9" s="272" customFormat="1" ht="12.75" customHeight="1">
      <c r="A28" s="38" t="s">
        <v>345</v>
      </c>
      <c r="C28" s="16">
        <f>IF(ISNA(VLOOKUP($F$5 &amp;A28, AllocSched,12,FALSE)),"-",VLOOKUP($F$5 &amp;A28, AllocSched,12,FALSE))</f>
        <v>296172</v>
      </c>
      <c r="D28" s="112"/>
      <c r="E28" s="16">
        <f>IF(ISNA(VLOOKUP($F$5 &amp; A28, AllocSched,13,FALSE)),"-",VLOOKUP($F$5 &amp; A28, AllocSched,13,FALSE))</f>
        <v>0</v>
      </c>
      <c r="F28" s="16"/>
      <c r="G28" s="16">
        <f>IF(C28="-",E28,C28+E28)</f>
        <v>296172</v>
      </c>
      <c r="H28" s="55" t="str">
        <f>IF(ISNA(VLOOKUP($F$5 &amp; A28, AllocSched,9,FALSE))," ",VLOOKUP($F$5 &amp; A28, AllocSched,9,FALSE))</f>
        <v>001-011</v>
      </c>
      <c r="I28" s="56">
        <f>IF(ISNA(VLOOKUP($F$5 &amp; A28, AllocSched,14,FALSE))," ",VLOOKUP($F$5 &amp; A28, AllocSched,14,FALSE))</f>
        <v>101</v>
      </c>
    </row>
    <row r="29" spans="1:9" ht="12.75" customHeight="1">
      <c r="A29" s="38" t="s">
        <v>208</v>
      </c>
      <c r="C29" s="16">
        <f t="shared" ref="C29:C39" si="6">IF(ISNA(VLOOKUP($F$5 &amp;A29, AllocSched,12,FALSE)),"-",VLOOKUP($F$5 &amp;A29, AllocSched,12,FALSE))</f>
        <v>2023280</v>
      </c>
      <c r="D29" s="112"/>
      <c r="E29" s="16">
        <f t="shared" ref="E29:E40" si="7">IF(ISNA(VLOOKUP($F$5 &amp; A29, AllocSched,13,FALSE)),"-",VLOOKUP($F$5 &amp; A29, AllocSched,13,FALSE))</f>
        <v>-2700</v>
      </c>
      <c r="F29" s="16"/>
      <c r="G29" s="16">
        <f t="shared" ref="G29:G38" si="8">IF(C29="-",E29,C29+E29)</f>
        <v>2020580</v>
      </c>
      <c r="H29" s="55" t="str">
        <f t="shared" si="2"/>
        <v>060-BA0</v>
      </c>
      <c r="I29" s="56" t="str">
        <f t="shared" si="3"/>
        <v>BA0</v>
      </c>
    </row>
    <row r="30" spans="1:9" ht="12.75" customHeight="1">
      <c r="A30" s="38" t="s">
        <v>222</v>
      </c>
      <c r="C30" s="16">
        <f>IF(ISNA(VLOOKUP($F$5 &amp;A30, AllocSched,12,FALSE)),"-",VLOOKUP($F$5 &amp;A30, AllocSched,12,FALSE))</f>
        <v>130676</v>
      </c>
      <c r="D30" s="112"/>
      <c r="E30" s="16">
        <f>IF(ISNA(VLOOKUP($F$5 &amp; A30, AllocSched,13,FALSE)),"-",VLOOKUP($F$5 &amp; A30, AllocSched,13,FALSE))</f>
        <v>-130676</v>
      </c>
      <c r="F30" s="16"/>
      <c r="G30" s="16">
        <f>IF(C30="-",E30,C30+E30)</f>
        <v>0</v>
      </c>
      <c r="H30" s="55" t="str">
        <f>IF(ISNA(VLOOKUP($F$5 &amp; A30, AllocSched,9,FALSE))," ",VLOOKUP($F$5 &amp; A30, AllocSched,9,FALSE))</f>
        <v>08A-3E0</v>
      </c>
      <c r="I30" s="56" t="str">
        <f>IF(ISNA(VLOOKUP($F$5 &amp; A30, AllocSched,14,FALSE))," ",VLOOKUP($F$5 &amp; A30, AllocSched,14,FALSE))</f>
        <v>3E0</v>
      </c>
    </row>
    <row r="31" spans="1:9" ht="12.75" customHeight="1">
      <c r="A31" s="38" t="s">
        <v>173</v>
      </c>
      <c r="C31" s="16">
        <f>IF(ISNA(VLOOKUP($F$5 &amp;A31, AllocSched,12,FALSE)),"-",VLOOKUP($F$5 &amp;A31, AllocSched,12,FALSE))</f>
        <v>204157</v>
      </c>
      <c r="D31" s="112"/>
      <c r="E31" s="16">
        <f>IF(ISNA(VLOOKUP($F$5 &amp; A31, AllocSched,13,FALSE)),"-",VLOOKUP($F$5 &amp; A31, AllocSched,13,FALSE))</f>
        <v>0</v>
      </c>
      <c r="F31" s="16"/>
      <c r="G31" s="16">
        <f>IF(C31="-",E31,C31+E31)</f>
        <v>204157</v>
      </c>
      <c r="H31" s="55" t="str">
        <f>IF(ISNA(VLOOKUP($F$5 &amp; A31, AllocSched,9,FALSE))," ",VLOOKUP($F$5 &amp; A31, AllocSched,9,FALSE))</f>
        <v>001-011</v>
      </c>
      <c r="I31" s="56">
        <f t="shared" si="3"/>
        <v>101</v>
      </c>
    </row>
    <row r="32" spans="1:9" ht="12.75" customHeight="1">
      <c r="A32" s="38" t="s">
        <v>170</v>
      </c>
      <c r="C32" s="16">
        <f t="shared" si="6"/>
        <v>59632</v>
      </c>
      <c r="D32" s="112"/>
      <c r="E32" s="16">
        <f t="shared" si="7"/>
        <v>-1335</v>
      </c>
      <c r="F32" s="16"/>
      <c r="G32" s="16">
        <f t="shared" si="8"/>
        <v>58297</v>
      </c>
      <c r="H32" s="55" t="str">
        <f t="shared" si="2"/>
        <v>001-011</v>
      </c>
      <c r="I32" s="56">
        <f t="shared" si="3"/>
        <v>101</v>
      </c>
    </row>
    <row r="33" spans="1:11" ht="12.75" customHeight="1">
      <c r="A33" s="115" t="s">
        <v>151</v>
      </c>
      <c r="B33" s="54"/>
      <c r="C33" s="16">
        <f t="shared" si="6"/>
        <v>325000</v>
      </c>
      <c r="D33" s="112"/>
      <c r="E33" s="16">
        <f t="shared" si="7"/>
        <v>0</v>
      </c>
      <c r="F33" s="16"/>
      <c r="G33" s="16">
        <f t="shared" si="8"/>
        <v>325000</v>
      </c>
      <c r="H33" s="55" t="str">
        <f t="shared" si="2"/>
        <v>08A-3E0</v>
      </c>
      <c r="I33" s="56" t="str">
        <f t="shared" si="3"/>
        <v>3E0</v>
      </c>
    </row>
    <row r="34" spans="1:11" ht="12.75" customHeight="1">
      <c r="A34" s="115" t="s">
        <v>150</v>
      </c>
      <c r="B34" s="54"/>
      <c r="C34" s="16">
        <f t="shared" si="6"/>
        <v>29412</v>
      </c>
      <c r="D34" s="112"/>
      <c r="E34" s="16">
        <f t="shared" si="7"/>
        <v>0</v>
      </c>
      <c r="F34" s="16"/>
      <c r="G34" s="16">
        <f t="shared" si="8"/>
        <v>29412</v>
      </c>
      <c r="H34" s="55" t="str">
        <f t="shared" si="2"/>
        <v>001-011</v>
      </c>
      <c r="I34" s="56">
        <f t="shared" si="3"/>
        <v>101</v>
      </c>
    </row>
    <row r="35" spans="1:11" ht="12.75" customHeight="1">
      <c r="A35" s="115" t="s">
        <v>273</v>
      </c>
      <c r="B35" s="54"/>
      <c r="C35" s="16">
        <f>IF(ISNA(VLOOKUP($F$5 &amp;A35, AllocSched,12,FALSE)),"-",VLOOKUP($F$5 &amp;A35, AllocSched,12,FALSE))</f>
        <v>174035</v>
      </c>
      <c r="D35" s="112"/>
      <c r="E35" s="16">
        <f>IF(ISNA(VLOOKUP($F$5 &amp; A35, AllocSched,13,FALSE)),"-",VLOOKUP($F$5 &amp; A35, AllocSched,13,FALSE))</f>
        <v>-174035</v>
      </c>
      <c r="F35" s="16"/>
      <c r="G35" s="16">
        <f>IF(C35="-",E35,C35+E35)</f>
        <v>0</v>
      </c>
      <c r="H35" s="55" t="str">
        <f>IF(ISNA(VLOOKUP($F$5 &amp; A35, AllocSched,9,FALSE))," ",VLOOKUP($F$5 &amp; A35, AllocSched,9,FALSE))</f>
        <v>001-BD1</v>
      </c>
      <c r="I35" s="56" t="str">
        <f>IF(ISNA(VLOOKUP($F$5 &amp; A35, AllocSched,14,FALSE))," ",VLOOKUP($F$5 &amp; A35, AllocSched,14,FALSE))</f>
        <v>BD1</v>
      </c>
    </row>
    <row r="36" spans="1:11" ht="12.75" customHeight="1">
      <c r="A36" s="115" t="s">
        <v>6</v>
      </c>
      <c r="B36" s="54"/>
      <c r="C36" s="16">
        <f t="shared" si="6"/>
        <v>30224</v>
      </c>
      <c r="D36" s="112"/>
      <c r="E36" s="16">
        <f t="shared" si="7"/>
        <v>9716</v>
      </c>
      <c r="F36" s="16"/>
      <c r="G36" s="16">
        <f t="shared" si="8"/>
        <v>39940</v>
      </c>
      <c r="H36" s="55" t="str">
        <f t="shared" si="2"/>
        <v>001-011</v>
      </c>
      <c r="I36" s="56">
        <f t="shared" si="3"/>
        <v>101</v>
      </c>
    </row>
    <row r="37" spans="1:11" s="272" customFormat="1" ht="12.75" customHeight="1">
      <c r="A37" s="115" t="s">
        <v>64</v>
      </c>
      <c r="B37" s="54"/>
      <c r="C37" s="16" t="str">
        <f t="shared" ref="C37" si="9">IF(ISNA(VLOOKUP($F$5 &amp;A37, AllocSched,12,FALSE)),"-",VLOOKUP($F$5 &amp;A37, AllocSched,12,FALSE))</f>
        <v>-</v>
      </c>
      <c r="D37" s="112"/>
      <c r="E37" s="16" t="str">
        <f t="shared" ref="E37" si="10">IF(ISNA(VLOOKUP($F$5 &amp; A37, AllocSched,13,FALSE)),"-",VLOOKUP($F$5 &amp; A37, AllocSched,13,FALSE))</f>
        <v>-</v>
      </c>
      <c r="F37" s="16"/>
      <c r="G37" s="16" t="str">
        <f t="shared" ref="G37" si="11">IF(C37="-",E37,C37+E37)</f>
        <v>-</v>
      </c>
      <c r="H37" s="55" t="str">
        <f t="shared" ref="H37" si="12">IF(ISNA(VLOOKUP($F$5 &amp; A37, AllocSched,9,FALSE))," ",VLOOKUP($F$5 &amp; A37, AllocSched,9,FALSE))</f>
        <v xml:space="preserve"> </v>
      </c>
      <c r="I37" s="56" t="str">
        <f t="shared" ref="I37" si="13">IF(ISNA(VLOOKUP($F$5 &amp; A37, AllocSched,14,FALSE))," ",VLOOKUP($F$5 &amp; A37, AllocSched,14,FALSE))</f>
        <v xml:space="preserve"> </v>
      </c>
    </row>
    <row r="38" spans="1:11" ht="12.75" customHeight="1">
      <c r="A38" s="115" t="s">
        <v>333</v>
      </c>
      <c r="B38" s="54"/>
      <c r="C38" s="16">
        <f t="shared" si="6"/>
        <v>239228</v>
      </c>
      <c r="D38" s="112"/>
      <c r="E38" s="16">
        <f t="shared" si="7"/>
        <v>0</v>
      </c>
      <c r="F38" s="16"/>
      <c r="G38" s="16">
        <f t="shared" si="8"/>
        <v>239228</v>
      </c>
      <c r="H38" s="55" t="str">
        <f t="shared" si="2"/>
        <v>001-011</v>
      </c>
      <c r="I38" s="56">
        <f>IF(ISNA(VLOOKUP($F$5 &amp; A38, AllocSched,14,FALSE))," ",VLOOKUP($F$5 &amp; A38, AllocSched,14,FALSE))</f>
        <v>101</v>
      </c>
    </row>
    <row r="39" spans="1:11" ht="12.75" customHeight="1">
      <c r="A39" s="115" t="s">
        <v>332</v>
      </c>
      <c r="B39" s="54"/>
      <c r="C39" s="16">
        <f t="shared" si="6"/>
        <v>1142720</v>
      </c>
      <c r="D39" s="112"/>
      <c r="E39" s="16">
        <f t="shared" si="7"/>
        <v>0</v>
      </c>
      <c r="F39" s="16"/>
      <c r="G39" s="16">
        <f>IF(C39="-",E39,C39+E39)</f>
        <v>1142720</v>
      </c>
      <c r="H39" s="55" t="str">
        <f t="shared" si="2"/>
        <v>001-AC1</v>
      </c>
      <c r="I39" s="56">
        <f>IF(ISNA(VLOOKUP($F$5 &amp; A39, AllocSched,14,FALSE))," ",VLOOKUP($F$5 &amp; A39, AllocSched,14,FALSE))</f>
        <v>123</v>
      </c>
    </row>
    <row r="40" spans="1:11" ht="12.75" customHeight="1">
      <c r="A40" s="115" t="s">
        <v>215</v>
      </c>
      <c r="B40" s="54"/>
      <c r="C40" s="16">
        <f>IF(ISNA(VLOOKUP($F$5 &amp;A40, AllocSched,12,FALSE)),"-",VLOOKUP($F$5 &amp;A40, AllocSched,12,FALSE))</f>
        <v>927625</v>
      </c>
      <c r="D40" s="112"/>
      <c r="E40" s="16">
        <f t="shared" si="7"/>
        <v>-927625</v>
      </c>
      <c r="F40" s="16"/>
      <c r="G40" s="16">
        <f>IF(C40="-",E40,C40+E40)</f>
        <v>0</v>
      </c>
      <c r="H40" s="55" t="str">
        <f t="shared" si="2"/>
        <v>001-AC1</v>
      </c>
      <c r="I40" s="56">
        <f>IF(ISNA(VLOOKUP($F$5 &amp; A40, AllocSched,14,FALSE))," ",VLOOKUP($F$5 &amp; A40, AllocSched,14,FALSE))</f>
        <v>123</v>
      </c>
    </row>
    <row r="41" spans="1:11" s="272" customFormat="1" ht="12.75" customHeight="1">
      <c r="A41" s="115" t="s">
        <v>449</v>
      </c>
      <c r="B41" s="54"/>
      <c r="C41" s="16">
        <f>IF(ISNA(VLOOKUP($F$5 &amp;A41, AllocSched,12,FALSE)),"-",VLOOKUP($F$5 &amp;A41, AllocSched,12,FALSE))</f>
        <v>0</v>
      </c>
      <c r="D41" s="112"/>
      <c r="E41" s="16">
        <f>IF(ISNA(VLOOKUP($F$5 &amp; A41, AllocSched,13,FALSE)),"-",VLOOKUP($F$5 &amp; A41, AllocSched,13,FALSE))</f>
        <v>171641</v>
      </c>
      <c r="F41" s="16"/>
      <c r="G41" s="16">
        <f>IF(C41="-",E41,C41+E41)</f>
        <v>171641</v>
      </c>
      <c r="H41" s="55" t="str">
        <f>IF(ISNA(VLOOKUP($F$5 &amp; A41, AllocSched,9,FALSE))," ",VLOOKUP($F$5 &amp; A41, AllocSched,9,FALSE))</f>
        <v>001-011</v>
      </c>
      <c r="I41" s="56">
        <f>IF(ISNA(VLOOKUP($F$5 &amp; A41, AllocSched,14,FALSE))," ",VLOOKUP($F$5 &amp; A41, AllocSched,14,FALSE))</f>
        <v>101</v>
      </c>
    </row>
    <row r="42" spans="1:11" ht="12.75" customHeight="1">
      <c r="A42" s="54"/>
      <c r="B42" s="54"/>
      <c r="C42" s="16"/>
      <c r="D42" s="112"/>
      <c r="E42" s="16"/>
      <c r="F42" s="16"/>
      <c r="G42" s="16"/>
      <c r="H42" s="55"/>
      <c r="I42" s="56"/>
    </row>
    <row r="43" spans="1:11" ht="13.5" thickBot="1">
      <c r="A43" s="89" t="s">
        <v>174</v>
      </c>
      <c r="B43" s="57" t="s">
        <v>51</v>
      </c>
      <c r="C43" s="111">
        <f>SUM(C16:C41)</f>
        <v>24745542</v>
      </c>
      <c r="D43" s="113" t="s">
        <v>51</v>
      </c>
      <c r="E43" s="111">
        <f>SUM(E16:E41)</f>
        <v>986400</v>
      </c>
      <c r="F43" s="113" t="s">
        <v>51</v>
      </c>
      <c r="G43" s="111">
        <f>SUM(G16:G41)</f>
        <v>25731942</v>
      </c>
      <c r="J43" s="25"/>
      <c r="K43" s="30"/>
    </row>
    <row r="44" spans="1:11" ht="12.75" customHeight="1" thickTop="1">
      <c r="A44" s="84"/>
      <c r="B44" s="84"/>
      <c r="C44" s="58">
        <v>0</v>
      </c>
      <c r="D44" s="58"/>
      <c r="E44" s="90"/>
      <c r="F44" s="90"/>
      <c r="G44" s="90"/>
    </row>
    <row r="45" spans="1:11" s="65" customFormat="1" ht="25.5">
      <c r="A45" s="59" t="s">
        <v>156</v>
      </c>
      <c r="B45" s="60"/>
      <c r="C45" s="61"/>
      <c r="D45" s="62"/>
      <c r="E45" s="63" t="s">
        <v>67</v>
      </c>
      <c r="F45" s="62"/>
      <c r="G45" s="64" t="s">
        <v>163</v>
      </c>
      <c r="H45" s="64" t="s">
        <v>164</v>
      </c>
      <c r="I45" s="98" t="s">
        <v>70</v>
      </c>
    </row>
    <row r="46" spans="1:11" s="65" customFormat="1" ht="12.75" customHeight="1">
      <c r="A46" s="66" t="s">
        <v>240</v>
      </c>
      <c r="B46" s="67"/>
      <c r="C46" s="68"/>
      <c r="E46" s="66" t="s">
        <v>365</v>
      </c>
      <c r="G46" s="150">
        <f t="shared" ref="G46:G59" si="14">VLOOKUP($F$5 &amp; $A46 &amp; $E46,AddRes,7,FALSE)</f>
        <v>0</v>
      </c>
      <c r="H46" s="150">
        <f t="shared" ref="H46:H59" si="15">VLOOKUP($F$5 &amp; $A46 &amp; $E46,AddRes,8,FALSE)</f>
        <v>0</v>
      </c>
      <c r="I46" s="69">
        <f t="shared" ref="I46:I59" si="16">VLOOKUP($F$5 &amp; $A46 &amp; $E46,AddRes,10,FALSE)</f>
        <v>42277</v>
      </c>
      <c r="J46" s="198"/>
    </row>
    <row r="47" spans="1:11" s="65" customFormat="1" ht="12.75" customHeight="1">
      <c r="A47" s="66" t="s">
        <v>497</v>
      </c>
      <c r="B47" s="67"/>
      <c r="C47" s="68"/>
      <c r="E47" s="66" t="s">
        <v>592</v>
      </c>
      <c r="G47" s="150">
        <f t="shared" si="14"/>
        <v>0</v>
      </c>
      <c r="H47" s="150">
        <f t="shared" si="15"/>
        <v>0</v>
      </c>
      <c r="I47" s="69">
        <f t="shared" si="16"/>
        <v>42551</v>
      </c>
    </row>
    <row r="48" spans="1:11" s="65" customFormat="1" ht="12.75" customHeight="1">
      <c r="A48" s="66" t="s">
        <v>498</v>
      </c>
      <c r="B48" s="67"/>
      <c r="C48" s="68"/>
      <c r="E48" s="66" t="s">
        <v>593</v>
      </c>
      <c r="G48" s="150">
        <f t="shared" si="14"/>
        <v>0</v>
      </c>
      <c r="H48" s="150">
        <f t="shared" si="15"/>
        <v>0</v>
      </c>
      <c r="I48" s="69">
        <f t="shared" si="16"/>
        <v>42551</v>
      </c>
      <c r="J48" s="198"/>
    </row>
    <row r="49" spans="1:12" s="65" customFormat="1" ht="12.75" customHeight="1">
      <c r="A49" s="66" t="s">
        <v>505</v>
      </c>
      <c r="B49" s="67"/>
      <c r="C49" s="68"/>
      <c r="E49" s="66" t="s">
        <v>594</v>
      </c>
      <c r="G49" s="150">
        <f t="shared" si="14"/>
        <v>0</v>
      </c>
      <c r="H49" s="150">
        <f t="shared" si="15"/>
        <v>0</v>
      </c>
      <c r="I49" s="69">
        <f t="shared" si="16"/>
        <v>42551</v>
      </c>
    </row>
    <row r="50" spans="1:12" s="65" customFormat="1" ht="12.75" customHeight="1">
      <c r="A50" s="66" t="s">
        <v>412</v>
      </c>
      <c r="B50" s="67"/>
      <c r="C50" s="68"/>
      <c r="E50" s="66" t="s">
        <v>417</v>
      </c>
      <c r="G50" s="150">
        <f t="shared" si="14"/>
        <v>0</v>
      </c>
      <c r="H50" s="150">
        <f t="shared" si="15"/>
        <v>0</v>
      </c>
      <c r="I50" s="69">
        <f t="shared" si="16"/>
        <v>42551</v>
      </c>
      <c r="J50" s="198"/>
    </row>
    <row r="51" spans="1:12" s="65" customFormat="1" ht="12.75" customHeight="1">
      <c r="A51" s="66" t="s">
        <v>241</v>
      </c>
      <c r="B51" s="67"/>
      <c r="C51" s="68"/>
      <c r="E51" s="66" t="s">
        <v>595</v>
      </c>
      <c r="G51" s="150">
        <f t="shared" si="14"/>
        <v>0</v>
      </c>
      <c r="H51" s="150">
        <f t="shared" si="15"/>
        <v>0</v>
      </c>
      <c r="I51" s="69">
        <f t="shared" si="16"/>
        <v>42551</v>
      </c>
    </row>
    <row r="52" spans="1:12" s="65" customFormat="1" ht="12.75" customHeight="1">
      <c r="A52" s="66" t="s">
        <v>242</v>
      </c>
      <c r="B52" s="67"/>
      <c r="C52" s="68"/>
      <c r="E52" s="66" t="s">
        <v>366</v>
      </c>
      <c r="G52" s="150">
        <f t="shared" si="14"/>
        <v>0</v>
      </c>
      <c r="H52" s="150">
        <f t="shared" si="15"/>
        <v>0</v>
      </c>
      <c r="I52" s="69">
        <f t="shared" si="16"/>
        <v>42551</v>
      </c>
      <c r="K52" s="75"/>
      <c r="L52" s="75"/>
    </row>
    <row r="53" spans="1:12" s="65" customFormat="1" ht="12.75" customHeight="1">
      <c r="A53" s="66" t="s">
        <v>269</v>
      </c>
      <c r="B53" s="67"/>
      <c r="C53" s="68"/>
      <c r="E53" s="66" t="s">
        <v>596</v>
      </c>
      <c r="G53" s="150">
        <f t="shared" si="14"/>
        <v>0</v>
      </c>
      <c r="H53" s="150">
        <f t="shared" si="15"/>
        <v>0</v>
      </c>
      <c r="I53" s="69">
        <f t="shared" si="16"/>
        <v>42916</v>
      </c>
      <c r="J53" s="198"/>
    </row>
    <row r="54" spans="1:12" s="65" customFormat="1" ht="12.75" customHeight="1">
      <c r="A54" s="66" t="s">
        <v>269</v>
      </c>
      <c r="B54" s="67"/>
      <c r="C54" s="68"/>
      <c r="E54" s="66" t="s">
        <v>597</v>
      </c>
      <c r="G54" s="150">
        <f t="shared" si="14"/>
        <v>0</v>
      </c>
      <c r="H54" s="150">
        <f t="shared" si="15"/>
        <v>0</v>
      </c>
      <c r="I54" s="69">
        <f t="shared" si="16"/>
        <v>42916</v>
      </c>
      <c r="J54" s="198"/>
    </row>
    <row r="55" spans="1:12" s="65" customFormat="1" ht="12.75" customHeight="1">
      <c r="A55" s="66" t="s">
        <v>269</v>
      </c>
      <c r="B55" s="67"/>
      <c r="C55" s="68"/>
      <c r="E55" s="66" t="s">
        <v>598</v>
      </c>
      <c r="G55" s="150">
        <f t="shared" si="14"/>
        <v>0</v>
      </c>
      <c r="H55" s="150">
        <f t="shared" si="15"/>
        <v>0</v>
      </c>
      <c r="I55" s="69">
        <f t="shared" si="16"/>
        <v>42916</v>
      </c>
      <c r="J55" s="198"/>
    </row>
    <row r="56" spans="1:12" s="65" customFormat="1" ht="12.75" customHeight="1">
      <c r="A56" s="66" t="s">
        <v>269</v>
      </c>
      <c r="B56" s="67"/>
      <c r="C56" s="68"/>
      <c r="E56" s="66" t="s">
        <v>599</v>
      </c>
      <c r="G56" s="150">
        <f t="shared" si="14"/>
        <v>0</v>
      </c>
      <c r="H56" s="150">
        <f t="shared" si="15"/>
        <v>0</v>
      </c>
      <c r="I56" s="69">
        <f t="shared" si="16"/>
        <v>42916</v>
      </c>
    </row>
    <row r="57" spans="1:12" s="65" customFormat="1" ht="12.75" customHeight="1">
      <c r="A57" s="66" t="s">
        <v>269</v>
      </c>
      <c r="B57" s="67"/>
      <c r="C57" s="68"/>
      <c r="E57" s="66" t="s">
        <v>600</v>
      </c>
      <c r="G57" s="150">
        <f t="shared" si="14"/>
        <v>0</v>
      </c>
      <c r="H57" s="150">
        <f t="shared" si="15"/>
        <v>0</v>
      </c>
      <c r="I57" s="69">
        <f t="shared" si="16"/>
        <v>42916</v>
      </c>
    </row>
    <row r="58" spans="1:12" s="65" customFormat="1" ht="12.75" customHeight="1">
      <c r="A58" s="66" t="s">
        <v>231</v>
      </c>
      <c r="B58" s="67"/>
      <c r="C58" s="68"/>
      <c r="E58" s="66" t="s">
        <v>601</v>
      </c>
      <c r="G58" s="150">
        <f t="shared" si="14"/>
        <v>0</v>
      </c>
      <c r="H58" s="150">
        <f t="shared" si="15"/>
        <v>0</v>
      </c>
      <c r="I58" s="69">
        <f t="shared" si="16"/>
        <v>42551</v>
      </c>
    </row>
    <row r="59" spans="1:12" s="65" customFormat="1" ht="12.75" customHeight="1">
      <c r="A59" s="66" t="s">
        <v>354</v>
      </c>
      <c r="B59" s="67"/>
      <c r="C59" s="68"/>
      <c r="E59" s="66" t="s">
        <v>602</v>
      </c>
      <c r="G59" s="150">
        <f t="shared" si="14"/>
        <v>0</v>
      </c>
      <c r="H59" s="150">
        <f t="shared" si="15"/>
        <v>0</v>
      </c>
      <c r="I59" s="69">
        <f t="shared" si="16"/>
        <v>42551</v>
      </c>
    </row>
    <row r="60" spans="1:12" s="65" customFormat="1" ht="12.75" customHeight="1">
      <c r="A60" s="66" t="s">
        <v>429</v>
      </c>
      <c r="B60" s="67"/>
      <c r="C60" s="68"/>
      <c r="E60" s="66" t="s">
        <v>431</v>
      </c>
      <c r="G60" s="150">
        <f t="shared" ref="G60" si="17">VLOOKUP($F$5 &amp; $A60 &amp; $E60,AddRes,7,FALSE)</f>
        <v>0</v>
      </c>
      <c r="H60" s="150">
        <f t="shared" ref="H60" si="18">VLOOKUP($F$5 &amp; $A60 &amp; $E60,AddRes,8,FALSE)</f>
        <v>0</v>
      </c>
      <c r="I60" s="69">
        <f t="shared" ref="I60" si="19">VLOOKUP($F$5 &amp; $A60 &amp; $E60,AddRes,10,FALSE)</f>
        <v>42247</v>
      </c>
    </row>
    <row r="61" spans="1:12" s="65" customFormat="1" ht="12.75" customHeight="1">
      <c r="A61" s="66" t="s">
        <v>232</v>
      </c>
      <c r="B61" s="67"/>
      <c r="C61" s="68"/>
      <c r="E61" s="66" t="s">
        <v>603</v>
      </c>
      <c r="G61" s="150">
        <f>VLOOKUP($F$5 &amp; $A61 &amp; $E61,AddRes,7,FALSE)</f>
        <v>0</v>
      </c>
      <c r="H61" s="150">
        <f>VLOOKUP($F$5 &amp; $A61 &amp; $E61,AddRes,8,FALSE)</f>
        <v>0</v>
      </c>
      <c r="I61" s="69">
        <f>VLOOKUP($F$5 &amp; $A61 &amp; $E61,AddRes,10,FALSE)</f>
        <v>42551</v>
      </c>
      <c r="J61" s="198"/>
    </row>
    <row r="62" spans="1:12" s="65" customFormat="1" ht="12.75" customHeight="1">
      <c r="C62" s="70"/>
      <c r="D62" s="70"/>
      <c r="E62" s="70"/>
      <c r="F62" s="70"/>
      <c r="G62" s="71"/>
      <c r="H62" s="72"/>
      <c r="I62" s="73"/>
    </row>
    <row r="63" spans="1:12" s="65" customFormat="1" ht="12.75" customHeight="1">
      <c r="C63" s="74" t="s">
        <v>71</v>
      </c>
      <c r="D63" s="70"/>
      <c r="E63" s="70"/>
      <c r="F63" s="70"/>
      <c r="G63" s="75">
        <f>SUM(G46:G61)</f>
        <v>0</v>
      </c>
      <c r="H63" s="75">
        <f>SUM(H46:H61)</f>
        <v>0</v>
      </c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  <row r="139" spans="3:9" s="65" customFormat="1" ht="12.75" customHeight="1">
      <c r="C139" s="70"/>
      <c r="D139" s="70"/>
      <c r="E139" s="70"/>
      <c r="F139" s="70"/>
      <c r="G139" s="70"/>
      <c r="I139" s="73"/>
    </row>
    <row r="140" spans="3:9" s="65" customFormat="1" ht="12.75" customHeight="1">
      <c r="C140" s="70"/>
      <c r="D140" s="70"/>
      <c r="E140" s="70"/>
      <c r="F140" s="70"/>
      <c r="G140" s="70"/>
      <c r="I140" s="73"/>
    </row>
    <row r="141" spans="3:9" s="65" customFormat="1" ht="12.75" customHeight="1">
      <c r="C141" s="70"/>
      <c r="D141" s="70"/>
      <c r="E141" s="70"/>
      <c r="F141" s="70"/>
      <c r="G141" s="70"/>
      <c r="I141" s="73"/>
    </row>
    <row r="142" spans="3:9" s="65" customFormat="1" ht="12.75" customHeight="1">
      <c r="C142" s="70"/>
      <c r="D142" s="70"/>
      <c r="E142" s="70"/>
      <c r="F142" s="70"/>
      <c r="G142" s="70"/>
      <c r="I142" s="73"/>
    </row>
    <row r="143" spans="3:9" s="65" customFormat="1" ht="12.75" customHeight="1">
      <c r="C143" s="70"/>
      <c r="D143" s="70"/>
      <c r="E143" s="70"/>
      <c r="F143" s="70"/>
      <c r="G143" s="70"/>
      <c r="I143" s="73"/>
    </row>
    <row r="144" spans="3:9" s="65" customFormat="1" ht="12.75" customHeight="1">
      <c r="C144" s="70"/>
      <c r="D144" s="70"/>
      <c r="E144" s="70"/>
      <c r="F144" s="70"/>
      <c r="G144" s="70"/>
      <c r="I144" s="73"/>
    </row>
    <row r="145" spans="3:9" s="65" customFormat="1" ht="12.75" customHeight="1">
      <c r="C145" s="70"/>
      <c r="D145" s="70"/>
      <c r="E145" s="70"/>
      <c r="F145" s="70"/>
      <c r="G145" s="70"/>
      <c r="I145" s="73"/>
    </row>
    <row r="146" spans="3:9" s="65" customFormat="1" ht="12.75" customHeight="1">
      <c r="C146" s="70"/>
      <c r="D146" s="70"/>
      <c r="E146" s="70"/>
      <c r="F146" s="70"/>
      <c r="G146" s="70"/>
      <c r="I146" s="73"/>
    </row>
    <row r="147" spans="3:9" s="65" customFormat="1" ht="12.75" customHeight="1">
      <c r="C147" s="70"/>
      <c r="D147" s="70"/>
      <c r="E147" s="70"/>
      <c r="F147" s="70"/>
      <c r="G147" s="70"/>
      <c r="I147" s="73"/>
    </row>
    <row r="148" spans="3:9" s="65" customFormat="1" ht="12.75" customHeight="1">
      <c r="C148" s="70"/>
      <c r="D148" s="70"/>
      <c r="E148" s="70"/>
      <c r="F148" s="70"/>
      <c r="G148" s="70"/>
      <c r="I148" s="73"/>
    </row>
    <row r="149" spans="3:9" s="65" customFormat="1" ht="12.75" customHeight="1">
      <c r="C149" s="70"/>
      <c r="D149" s="70"/>
      <c r="E149" s="70"/>
      <c r="F149" s="70"/>
      <c r="G149" s="70"/>
      <c r="I149" s="73"/>
    </row>
  </sheetData>
  <mergeCells count="2">
    <mergeCell ref="A8:I8"/>
    <mergeCell ref="G5:I5"/>
  </mergeCells>
  <phoneticPr fontId="0" type="noConversion"/>
  <conditionalFormatting sqref="G43">
    <cfRule type="cellIs" dxfId="19" priority="3" stopIfTrue="1" operator="equal">
      <formula>19279082</formula>
    </cfRule>
  </conditionalFormatting>
  <printOptions horizontalCentered="1"/>
  <pageMargins left="0.25" right="0.25" top="0.25" bottom="0.5" header="0.35" footer="0.25"/>
  <pageSetup scale="94" orientation="portrait" r:id="rId1"/>
  <headerFooter alignWithMargins="0">
    <oddFooter>&amp;L&amp;"Calibri,Regular"Prepared by the SBCTC&amp;R&amp;"Calibri,Regular"&amp;D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L144"/>
  <sheetViews>
    <sheetView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3.5703125" style="23" bestFit="1" customWidth="1"/>
    <col min="11" max="11" width="12.42578125" style="23" bestFit="1" customWidth="1"/>
    <col min="12" max="12" width="11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123</v>
      </c>
      <c r="G5" s="505" t="str">
        <f>VLOOKUP($F5,District,2,FALSE)</f>
        <v>Highline Community College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5900</v>
      </c>
      <c r="D10" s="48"/>
      <c r="E10" s="48">
        <f>IF(ISNA(VLOOKUP($F$5,Student,14,FALSE)),0,VLOOKUP($F$5,Student,14,FALSE))</f>
        <v>20</v>
      </c>
      <c r="F10" s="48"/>
      <c r="G10" s="48">
        <f>$E$10+$C$10+$A$10</f>
        <v>5920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24" si="0">IF(ISNA(VLOOKUP($F$5 &amp;A16, AllocSched,12,FALSE)),"-",VLOOKUP($F$5 &amp;A16, AllocSched,12,FALSE))</f>
        <v>17568490</v>
      </c>
      <c r="D16" s="112" t="s">
        <v>51</v>
      </c>
      <c r="E16" s="16">
        <f>IF(ISNA(VLOOKUP($F$5 &amp; A16, AllocSched,13,FALSE)),"-",VLOOKUP($F$5 &amp; A16, AllocSched,13,FALSE))</f>
        <v>-16242</v>
      </c>
      <c r="F16" s="16" t="s">
        <v>51</v>
      </c>
      <c r="G16" s="16">
        <f t="shared" ref="G16" si="1">IF(C16="-",E16,C16+E16)</f>
        <v>17552248</v>
      </c>
      <c r="H16" s="55" t="str">
        <f t="shared" ref="H16:H41" si="2">IF(ISNA(VLOOKUP($F$5 &amp; A16, AllocSched,9,FALSE))," ",VLOOKUP($F$5 &amp; A16, AllocSched,9,FALSE))</f>
        <v>001-011</v>
      </c>
      <c r="I16" s="56">
        <f t="shared" ref="I16:I41" si="3">IF(ISNA(VLOOKUP($F$5 &amp; A16, AllocSched,14,FALSE))," ",VLOOKUP($F$5 &amp; A16, AllocSched,14,FALSE))</f>
        <v>101</v>
      </c>
    </row>
    <row r="17" spans="1:9" ht="12.75" customHeight="1">
      <c r="A17" s="115" t="s">
        <v>171</v>
      </c>
      <c r="B17" s="54"/>
      <c r="C17" s="16">
        <f t="shared" si="0"/>
        <v>1152175</v>
      </c>
      <c r="D17" s="112"/>
      <c r="E17" s="16">
        <f t="shared" ref="E17:E24" si="4">IF(ISNA(VLOOKUP($F$5 &amp; A17, AllocSched,13,FALSE)),"-",VLOOKUP($F$5 &amp; A17, AllocSched,13,FALSE))</f>
        <v>16242</v>
      </c>
      <c r="F17" s="16"/>
      <c r="G17" s="16">
        <f t="shared" ref="G17:G24" si="5">IF(C17="-",E17,C17+E17)</f>
        <v>1168417</v>
      </c>
      <c r="H17" s="55" t="str">
        <f t="shared" si="2"/>
        <v>08A-3E0</v>
      </c>
      <c r="I17" s="56" t="str">
        <f t="shared" si="3"/>
        <v>3E0</v>
      </c>
    </row>
    <row r="18" spans="1:9" s="272" customFormat="1" ht="12.75" customHeight="1">
      <c r="A18" s="38" t="s">
        <v>781</v>
      </c>
      <c r="B18" s="54"/>
      <c r="C18" s="16">
        <f t="shared" si="0"/>
        <v>0</v>
      </c>
      <c r="D18" s="112"/>
      <c r="E18" s="16">
        <f t="shared" si="4"/>
        <v>127728</v>
      </c>
      <c r="F18" s="16"/>
      <c r="G18" s="16">
        <f t="shared" si="5"/>
        <v>127728</v>
      </c>
      <c r="H18" s="55" t="str">
        <f t="shared" si="2"/>
        <v>001-011</v>
      </c>
      <c r="I18" s="56">
        <f t="shared" si="3"/>
        <v>101</v>
      </c>
    </row>
    <row r="19" spans="1:9" s="272" customFormat="1" ht="12.75" customHeight="1">
      <c r="A19" s="115" t="s">
        <v>448</v>
      </c>
      <c r="B19" s="54"/>
      <c r="C19" s="16">
        <f t="shared" si="0"/>
        <v>0</v>
      </c>
      <c r="D19" s="112"/>
      <c r="E19" s="16">
        <f t="shared" si="4"/>
        <v>431603</v>
      </c>
      <c r="F19" s="16"/>
      <c r="G19" s="16">
        <f t="shared" si="5"/>
        <v>431603</v>
      </c>
      <c r="H19" s="55" t="str">
        <f t="shared" si="2"/>
        <v>001-011</v>
      </c>
      <c r="I19" s="56">
        <f t="shared" si="3"/>
        <v>101</v>
      </c>
    </row>
    <row r="20" spans="1:9" s="269" customFormat="1" ht="12.75" customHeight="1">
      <c r="A20" s="115" t="s">
        <v>340</v>
      </c>
      <c r="B20" s="54"/>
      <c r="C20" s="16">
        <f t="shared" si="0"/>
        <v>0</v>
      </c>
      <c r="D20" s="112"/>
      <c r="E20" s="16">
        <f t="shared" si="4"/>
        <v>1049883</v>
      </c>
      <c r="F20" s="16"/>
      <c r="G20" s="16">
        <f t="shared" si="5"/>
        <v>1049883</v>
      </c>
      <c r="H20" s="55" t="str">
        <f t="shared" si="2"/>
        <v>001-011</v>
      </c>
      <c r="I20" s="56">
        <f t="shared" si="3"/>
        <v>101</v>
      </c>
    </row>
    <row r="21" spans="1:9" ht="12.75" customHeight="1">
      <c r="A21" s="115" t="s">
        <v>253</v>
      </c>
      <c r="B21" s="54"/>
      <c r="C21" s="16" t="str">
        <f t="shared" si="0"/>
        <v>-</v>
      </c>
      <c r="D21" s="112"/>
      <c r="E21" s="16" t="str">
        <f t="shared" si="4"/>
        <v>-</v>
      </c>
      <c r="F21" s="16"/>
      <c r="G21" s="16" t="str">
        <f t="shared" si="5"/>
        <v>-</v>
      </c>
      <c r="H21" s="55" t="str">
        <f t="shared" si="2"/>
        <v xml:space="preserve"> </v>
      </c>
      <c r="I21" s="56" t="str">
        <f t="shared" si="3"/>
        <v xml:space="preserve"> </v>
      </c>
    </row>
    <row r="22" spans="1:9" ht="12.75" customHeight="1">
      <c r="A22" s="115" t="s">
        <v>207</v>
      </c>
      <c r="B22" s="54"/>
      <c r="C22" s="16">
        <f t="shared" si="0"/>
        <v>0</v>
      </c>
      <c r="D22" s="112"/>
      <c r="E22" s="16">
        <f t="shared" si="4"/>
        <v>71265</v>
      </c>
      <c r="F22" s="16"/>
      <c r="G22" s="16">
        <f t="shared" si="5"/>
        <v>71265</v>
      </c>
      <c r="H22" s="55" t="str">
        <f t="shared" si="2"/>
        <v>001-011</v>
      </c>
      <c r="I22" s="56">
        <f t="shared" si="3"/>
        <v>101</v>
      </c>
    </row>
    <row r="23" spans="1:9" s="272" customFormat="1" ht="12.75" customHeight="1">
      <c r="A23" s="115" t="s">
        <v>203</v>
      </c>
      <c r="B23" s="54"/>
      <c r="C23" s="16">
        <f t="shared" si="0"/>
        <v>0</v>
      </c>
      <c r="D23" s="112"/>
      <c r="E23" s="16">
        <f t="shared" si="4"/>
        <v>-5404</v>
      </c>
      <c r="F23" s="16"/>
      <c r="G23" s="16">
        <f t="shared" si="5"/>
        <v>-5404</v>
      </c>
      <c r="H23" s="55" t="str">
        <f t="shared" si="2"/>
        <v>001-011</v>
      </c>
      <c r="I23" s="56">
        <f t="shared" si="3"/>
        <v>101</v>
      </c>
    </row>
    <row r="24" spans="1:9" s="272" customFormat="1" ht="12.75" customHeight="1">
      <c r="A24" s="115" t="s">
        <v>454</v>
      </c>
      <c r="B24" s="54"/>
      <c r="C24" s="16">
        <f t="shared" si="0"/>
        <v>0</v>
      </c>
      <c r="D24" s="112"/>
      <c r="E24" s="16">
        <f t="shared" si="4"/>
        <v>-4418</v>
      </c>
      <c r="F24" s="16"/>
      <c r="G24" s="16">
        <f t="shared" si="5"/>
        <v>-4418</v>
      </c>
      <c r="H24" s="55" t="str">
        <f t="shared" si="2"/>
        <v>001-011</v>
      </c>
      <c r="I24" s="56">
        <f t="shared" si="3"/>
        <v>101</v>
      </c>
    </row>
    <row r="25" spans="1:9" ht="12.75" customHeight="1">
      <c r="A25" s="115"/>
      <c r="B25" s="54"/>
      <c r="C25" s="16"/>
      <c r="D25" s="112"/>
      <c r="E25" s="16"/>
      <c r="F25" s="16"/>
      <c r="G25" s="16"/>
      <c r="H25" s="55" t="str">
        <f t="shared" si="2"/>
        <v xml:space="preserve"> </v>
      </c>
      <c r="I25" s="56" t="str">
        <f t="shared" si="3"/>
        <v xml:space="preserve"> </v>
      </c>
    </row>
    <row r="26" spans="1:9" s="83" customFormat="1">
      <c r="A26" s="114" t="s">
        <v>168</v>
      </c>
      <c r="B26" s="84"/>
      <c r="C26" s="16"/>
      <c r="D26" s="112"/>
      <c r="E26" s="16"/>
      <c r="F26" s="16"/>
      <c r="G26" s="16"/>
      <c r="H26" s="55" t="str">
        <f t="shared" si="2"/>
        <v xml:space="preserve"> </v>
      </c>
      <c r="I26" s="56" t="str">
        <f t="shared" si="3"/>
        <v xml:space="preserve"> </v>
      </c>
    </row>
    <row r="27" spans="1:9" s="83" customFormat="1">
      <c r="A27" s="38" t="s">
        <v>345</v>
      </c>
      <c r="B27" s="84"/>
      <c r="C27" s="16">
        <f>IF(ISNA(VLOOKUP($F$5 &amp;A27, AllocSched,12,FALSE)),"-",VLOOKUP($F$5 &amp;A27, AllocSched,12,FALSE))</f>
        <v>157760</v>
      </c>
      <c r="D27" s="112"/>
      <c r="E27" s="16">
        <f>IF(ISNA(VLOOKUP($F$5 &amp; A27, AllocSched,13,FALSE)),"-",VLOOKUP($F$5 &amp; A27, AllocSched,13,FALSE))</f>
        <v>0</v>
      </c>
      <c r="F27" s="16"/>
      <c r="G27" s="16">
        <f>IF(C27="-",E27,C27+E27)</f>
        <v>157760</v>
      </c>
      <c r="H27" s="55" t="str">
        <f t="shared" si="2"/>
        <v>001-011</v>
      </c>
      <c r="I27" s="56">
        <f t="shared" si="3"/>
        <v>101</v>
      </c>
    </row>
    <row r="28" spans="1:9" ht="12.75" customHeight="1">
      <c r="A28" s="38" t="s">
        <v>222</v>
      </c>
      <c r="C28" s="16">
        <f>IF(ISNA(VLOOKUP($F$5 &amp;A28, AllocSched,12,FALSE)),"-",VLOOKUP($F$5 &amp;A28, AllocSched,12,FALSE))</f>
        <v>321833</v>
      </c>
      <c r="D28" s="112"/>
      <c r="E28" s="16">
        <f>IF(ISNA(VLOOKUP($F$5 &amp; A28, AllocSched,13,FALSE)),"-",VLOOKUP($F$5 &amp; A28, AllocSched,13,FALSE))</f>
        <v>-321833</v>
      </c>
      <c r="F28" s="16"/>
      <c r="G28" s="16">
        <f>IF(C28="-",E28,C28+E28)</f>
        <v>0</v>
      </c>
      <c r="H28" s="55" t="str">
        <f t="shared" si="2"/>
        <v>08A-3E0</v>
      </c>
      <c r="I28" s="56" t="str">
        <f t="shared" si="3"/>
        <v>3E0</v>
      </c>
    </row>
    <row r="29" spans="1:9" ht="12.75" customHeight="1">
      <c r="A29" s="38" t="s">
        <v>173</v>
      </c>
      <c r="C29" s="16">
        <f t="shared" ref="C29:C39" si="6">IF(ISNA(VLOOKUP($F$5 &amp;A29, AllocSched,12,FALSE)),"-",VLOOKUP($F$5 &amp;A29, AllocSched,12,FALSE))</f>
        <v>204157</v>
      </c>
      <c r="D29" s="112"/>
      <c r="E29" s="16">
        <f t="shared" ref="E29:E40" si="7">IF(ISNA(VLOOKUP($F$5 &amp; A29, AllocSched,13,FALSE)),"-",VLOOKUP($F$5 &amp; A29, AllocSched,13,FALSE))</f>
        <v>0</v>
      </c>
      <c r="F29" s="16"/>
      <c r="G29" s="16">
        <f t="shared" ref="G29:G38" si="8">IF(C29="-",E29,C29+E29)</f>
        <v>204157</v>
      </c>
      <c r="H29" s="55" t="str">
        <f t="shared" si="2"/>
        <v>001-011</v>
      </c>
      <c r="I29" s="56">
        <f t="shared" si="3"/>
        <v>101</v>
      </c>
    </row>
    <row r="30" spans="1:9" ht="12.75" customHeight="1">
      <c r="A30" s="38" t="s">
        <v>170</v>
      </c>
      <c r="C30" s="16">
        <f t="shared" si="6"/>
        <v>46421</v>
      </c>
      <c r="D30" s="112"/>
      <c r="E30" s="16">
        <f t="shared" si="7"/>
        <v>9595</v>
      </c>
      <c r="F30" s="16"/>
      <c r="G30" s="16">
        <f t="shared" si="8"/>
        <v>56016</v>
      </c>
      <c r="H30" s="55" t="str">
        <f t="shared" si="2"/>
        <v>001-011</v>
      </c>
      <c r="I30" s="56">
        <f t="shared" si="3"/>
        <v>101</v>
      </c>
    </row>
    <row r="31" spans="1:9" ht="12.75" customHeight="1">
      <c r="A31" s="115" t="s">
        <v>158</v>
      </c>
      <c r="B31" s="54"/>
      <c r="C31" s="16" t="str">
        <f t="shared" si="6"/>
        <v>-</v>
      </c>
      <c r="D31" s="112"/>
      <c r="E31" s="16" t="str">
        <f t="shared" si="7"/>
        <v>-</v>
      </c>
      <c r="F31" s="16"/>
      <c r="G31" s="16" t="str">
        <f t="shared" si="8"/>
        <v>-</v>
      </c>
      <c r="H31" s="55" t="str">
        <f t="shared" si="2"/>
        <v xml:space="preserve"> </v>
      </c>
      <c r="I31" s="56" t="str">
        <f t="shared" si="3"/>
        <v xml:space="preserve"> </v>
      </c>
    </row>
    <row r="32" spans="1:9" ht="12.75" customHeight="1">
      <c r="A32" s="115" t="s">
        <v>162</v>
      </c>
      <c r="B32" s="54"/>
      <c r="C32" s="16">
        <f t="shared" si="6"/>
        <v>608395</v>
      </c>
      <c r="D32" s="112"/>
      <c r="E32" s="16">
        <f t="shared" si="7"/>
        <v>-608395</v>
      </c>
      <c r="F32" s="16"/>
      <c r="G32" s="16">
        <f>IF(C32="-",E32,C32+E32)</f>
        <v>0</v>
      </c>
      <c r="H32" s="55" t="str">
        <f t="shared" si="2"/>
        <v>001-011</v>
      </c>
      <c r="I32" s="56">
        <f t="shared" si="3"/>
        <v>101</v>
      </c>
    </row>
    <row r="33" spans="1:11" s="272" customFormat="1" ht="12.75" customHeight="1">
      <c r="A33" s="38" t="s">
        <v>397</v>
      </c>
      <c r="B33" s="54"/>
      <c r="C33" s="16">
        <f t="shared" si="6"/>
        <v>58570</v>
      </c>
      <c r="D33" s="112"/>
      <c r="E33" s="16">
        <f t="shared" si="7"/>
        <v>0</v>
      </c>
      <c r="F33" s="16"/>
      <c r="G33" s="16">
        <f>IF(C33="-",E33,C33+E33)</f>
        <v>58570</v>
      </c>
      <c r="H33" s="55" t="str">
        <f t="shared" si="2"/>
        <v>001-BK1</v>
      </c>
      <c r="I33" s="56" t="str">
        <f t="shared" si="3"/>
        <v>BK1</v>
      </c>
    </row>
    <row r="34" spans="1:11" ht="12.75" customHeight="1">
      <c r="A34" s="115" t="s">
        <v>151</v>
      </c>
      <c r="B34" s="54"/>
      <c r="C34" s="16">
        <f>IF(ISNA(VLOOKUP($F$5 &amp;A34, AllocSched,12,FALSE)),"-",VLOOKUP($F$5 &amp;A34, AllocSched,12,FALSE))</f>
        <v>0</v>
      </c>
      <c r="D34" s="112"/>
      <c r="E34" s="16">
        <f>IF(ISNA(VLOOKUP($F$5 &amp; A34, AllocSched,13,FALSE)),"-",VLOOKUP($F$5 &amp; A34, AllocSched,13,FALSE))</f>
        <v>0</v>
      </c>
      <c r="F34" s="16"/>
      <c r="G34" s="16">
        <f>IF(C34="-",E34,C34+E34)</f>
        <v>0</v>
      </c>
      <c r="H34" s="55" t="str">
        <f t="shared" si="2"/>
        <v>08A-3E0</v>
      </c>
      <c r="I34" s="56" t="str">
        <f t="shared" si="3"/>
        <v>3E0</v>
      </c>
    </row>
    <row r="35" spans="1:11" ht="12.75" customHeight="1">
      <c r="A35" s="115" t="s">
        <v>150</v>
      </c>
      <c r="B35" s="54"/>
      <c r="C35" s="16">
        <f t="shared" si="6"/>
        <v>461412</v>
      </c>
      <c r="D35" s="112"/>
      <c r="E35" s="16">
        <f t="shared" si="7"/>
        <v>0</v>
      </c>
      <c r="F35" s="16"/>
      <c r="G35" s="16">
        <f t="shared" si="8"/>
        <v>461412</v>
      </c>
      <c r="H35" s="55" t="str">
        <f t="shared" si="2"/>
        <v>001-011</v>
      </c>
      <c r="I35" s="56">
        <f t="shared" si="3"/>
        <v>101</v>
      </c>
    </row>
    <row r="36" spans="1:11" ht="12.75" customHeight="1">
      <c r="A36" s="115" t="s">
        <v>273</v>
      </c>
      <c r="B36" s="54"/>
      <c r="C36" s="16">
        <f>IF(ISNA(VLOOKUP($F$5 &amp;A36, AllocSched,12,FALSE)),"-",VLOOKUP($F$5 &amp;A36, AllocSched,12,FALSE))</f>
        <v>153987</v>
      </c>
      <c r="D36" s="112"/>
      <c r="E36" s="16">
        <f>IF(ISNA(VLOOKUP($F$5 &amp; A36, AllocSched,13,FALSE)),"-",VLOOKUP($F$5 &amp; A36, AllocSched,13,FALSE))</f>
        <v>-153987</v>
      </c>
      <c r="F36" s="16"/>
      <c r="G36" s="16">
        <f>IF(C36="-",E36,C36+E36)</f>
        <v>0</v>
      </c>
      <c r="H36" s="55" t="str">
        <f t="shared" si="2"/>
        <v>001-BD1</v>
      </c>
      <c r="I36" s="56" t="str">
        <f t="shared" si="3"/>
        <v>BD1</v>
      </c>
    </row>
    <row r="37" spans="1:11" ht="12.75" customHeight="1">
      <c r="A37" s="115" t="s">
        <v>6</v>
      </c>
      <c r="B37" s="54"/>
      <c r="C37" s="16">
        <f t="shared" si="6"/>
        <v>70114</v>
      </c>
      <c r="D37" s="112"/>
      <c r="E37" s="16">
        <f t="shared" si="7"/>
        <v>11146</v>
      </c>
      <c r="F37" s="16"/>
      <c r="G37" s="16">
        <f t="shared" si="8"/>
        <v>81260</v>
      </c>
      <c r="H37" s="55" t="str">
        <f t="shared" si="2"/>
        <v>001-011</v>
      </c>
      <c r="I37" s="56">
        <f t="shared" si="3"/>
        <v>101</v>
      </c>
    </row>
    <row r="38" spans="1:11" ht="12.75" customHeight="1">
      <c r="A38" s="115" t="s">
        <v>333</v>
      </c>
      <c r="B38" s="54"/>
      <c r="C38" s="16">
        <f t="shared" si="6"/>
        <v>218335</v>
      </c>
      <c r="D38" s="112"/>
      <c r="E38" s="16">
        <f t="shared" si="7"/>
        <v>-35000</v>
      </c>
      <c r="F38" s="16"/>
      <c r="G38" s="16">
        <f t="shared" si="8"/>
        <v>183335</v>
      </c>
      <c r="H38" s="55" t="str">
        <f t="shared" si="2"/>
        <v>001-011</v>
      </c>
      <c r="I38" s="56">
        <f t="shared" si="3"/>
        <v>101</v>
      </c>
    </row>
    <row r="39" spans="1:11" ht="12.75" customHeight="1">
      <c r="A39" s="115" t="s">
        <v>332</v>
      </c>
      <c r="B39" s="54"/>
      <c r="C39" s="16">
        <f t="shared" si="6"/>
        <v>875738</v>
      </c>
      <c r="D39" s="112"/>
      <c r="E39" s="16">
        <f t="shared" si="7"/>
        <v>0</v>
      </c>
      <c r="F39" s="16"/>
      <c r="G39" s="16">
        <f>IF(C39="-",E39,C39+E39)</f>
        <v>875738</v>
      </c>
      <c r="H39" s="55" t="str">
        <f t="shared" si="2"/>
        <v>001-AC1</v>
      </c>
      <c r="I39" s="56">
        <f t="shared" si="3"/>
        <v>123</v>
      </c>
    </row>
    <row r="40" spans="1:11" ht="12.75" customHeight="1">
      <c r="A40" s="115" t="s">
        <v>215</v>
      </c>
      <c r="B40" s="54"/>
      <c r="C40" s="16">
        <f>IF(ISNA(VLOOKUP($F$5 &amp;A40, AllocSched,12,FALSE)),"-",VLOOKUP($F$5 &amp;A40, AllocSched,12,FALSE))</f>
        <v>292125</v>
      </c>
      <c r="D40" s="112"/>
      <c r="E40" s="16">
        <f t="shared" si="7"/>
        <v>-292125</v>
      </c>
      <c r="F40" s="16"/>
      <c r="G40" s="16">
        <f>IF(C40="-",E40,C40+E40)</f>
        <v>0</v>
      </c>
      <c r="H40" s="55" t="str">
        <f t="shared" si="2"/>
        <v>001-AC1</v>
      </c>
      <c r="I40" s="56">
        <f t="shared" si="3"/>
        <v>123</v>
      </c>
    </row>
    <row r="41" spans="1:11" s="272" customFormat="1" ht="12.75" customHeight="1">
      <c r="A41" s="281" t="s">
        <v>442</v>
      </c>
      <c r="B41" s="54"/>
      <c r="C41" s="16">
        <f>IF(ISNA(VLOOKUP($F$5 &amp;A41, AllocSched,12,FALSE)),"-",VLOOKUP($F$5 &amp;A41, AllocSched,12,FALSE))</f>
        <v>0</v>
      </c>
      <c r="D41" s="112"/>
      <c r="E41" s="16">
        <f>IF(ISNA(VLOOKUP($F$5 &amp; A41, AllocSched,13,FALSE)),"-",VLOOKUP($F$5 &amp; A41, AllocSched,13,FALSE))</f>
        <v>145000</v>
      </c>
      <c r="F41" s="16"/>
      <c r="G41" s="16">
        <f>IF(C41="-",E41,C41+E41)</f>
        <v>145000</v>
      </c>
      <c r="H41" s="55" t="str">
        <f t="shared" si="2"/>
        <v>001-011</v>
      </c>
      <c r="I41" s="56">
        <f t="shared" si="3"/>
        <v>101</v>
      </c>
    </row>
    <row r="42" spans="1:11" ht="12.75" customHeight="1">
      <c r="A42" s="54"/>
      <c r="B42" s="54"/>
      <c r="C42" s="16"/>
      <c r="D42" s="112"/>
      <c r="E42" s="16"/>
      <c r="F42" s="16"/>
      <c r="G42" s="16"/>
      <c r="H42" s="55"/>
      <c r="I42" s="56"/>
    </row>
    <row r="43" spans="1:11" ht="13.5" thickBot="1">
      <c r="A43" s="89" t="s">
        <v>174</v>
      </c>
      <c r="B43" s="57" t="s">
        <v>51</v>
      </c>
      <c r="C43" s="111">
        <f>SUM(C16:C40)</f>
        <v>22189512</v>
      </c>
      <c r="D43" s="113" t="s">
        <v>51</v>
      </c>
      <c r="E43" s="111">
        <f>SUM(E16:E42)</f>
        <v>425058</v>
      </c>
      <c r="F43" s="113" t="s">
        <v>51</v>
      </c>
      <c r="G43" s="111">
        <f>SUM(G16:G42)</f>
        <v>22614570</v>
      </c>
      <c r="J43" s="25"/>
      <c r="K43" s="30"/>
    </row>
    <row r="44" spans="1:11" ht="12.75" customHeight="1" thickTop="1">
      <c r="A44" s="84"/>
      <c r="B44" s="84"/>
      <c r="C44" s="58">
        <v>0</v>
      </c>
      <c r="D44" s="58"/>
      <c r="E44" s="90"/>
      <c r="F44" s="90"/>
      <c r="G44" s="90"/>
    </row>
    <row r="45" spans="1:11" s="65" customFormat="1" ht="25.5">
      <c r="A45" s="59" t="s">
        <v>156</v>
      </c>
      <c r="B45" s="60"/>
      <c r="C45" s="61"/>
      <c r="D45" s="62"/>
      <c r="E45" s="63" t="s">
        <v>67</v>
      </c>
      <c r="F45" s="62"/>
      <c r="G45" s="64" t="s">
        <v>163</v>
      </c>
      <c r="H45" s="64" t="s">
        <v>164</v>
      </c>
      <c r="I45" s="98" t="s">
        <v>70</v>
      </c>
    </row>
    <row r="46" spans="1:11" s="65" customFormat="1" ht="12.75" customHeight="1">
      <c r="A46" s="66" t="s">
        <v>240</v>
      </c>
      <c r="B46" s="67"/>
      <c r="C46" s="68"/>
      <c r="E46" s="66" t="s">
        <v>367</v>
      </c>
      <c r="G46" s="30">
        <f>VLOOKUP($F$5 &amp; $A46 &amp; $E46,AddRes,7,FALSE)</f>
        <v>0</v>
      </c>
      <c r="H46" s="270">
        <f>VLOOKUP($F$5 &amp; $A46 &amp; $E46,AddRes,8,FALSE)</f>
        <v>0</v>
      </c>
      <c r="I46" s="69">
        <f>VLOOKUP($F$5 &amp; $A46 &amp; $E46,AddRes,10,FALSE)</f>
        <v>42277</v>
      </c>
    </row>
    <row r="47" spans="1:11" s="65" customFormat="1" ht="12.75" customHeight="1">
      <c r="A47" s="66" t="s">
        <v>497</v>
      </c>
      <c r="B47" s="67"/>
      <c r="C47" s="68"/>
      <c r="E47" s="66" t="s">
        <v>604</v>
      </c>
      <c r="G47" s="30">
        <f>VLOOKUP($F$5 &amp; $A47 &amp; $E47,AddRes,7,FALSE)</f>
        <v>0</v>
      </c>
      <c r="H47" s="270">
        <f>VLOOKUP($F$5 &amp; $A47 &amp; $E47,AddRes,8,FALSE)</f>
        <v>0</v>
      </c>
      <c r="I47" s="69">
        <f>VLOOKUP($F$5 &amp; $A47 &amp; $E47,AddRes,10,FALSE)</f>
        <v>42551</v>
      </c>
    </row>
    <row r="48" spans="1:11" s="65" customFormat="1" ht="12.75" customHeight="1">
      <c r="A48" s="66" t="s">
        <v>498</v>
      </c>
      <c r="B48" s="67"/>
      <c r="C48" s="68"/>
      <c r="E48" s="66" t="s">
        <v>605</v>
      </c>
      <c r="G48" s="30">
        <f>VLOOKUP($F$5 &amp; $A48 &amp; $E48,AddRes,7,FALSE)</f>
        <v>0</v>
      </c>
      <c r="H48" s="270">
        <f>VLOOKUP($F$5 &amp; $A48 &amp; $E48,AddRes,8,FALSE)</f>
        <v>0</v>
      </c>
      <c r="I48" s="69">
        <f>VLOOKUP($F$5 &amp; $A48 &amp; $E48,AddRes,10,FALSE)</f>
        <v>42551</v>
      </c>
    </row>
    <row r="49" spans="1:12" s="65" customFormat="1" ht="12.75" customHeight="1">
      <c r="A49" s="66" t="s">
        <v>505</v>
      </c>
      <c r="B49" s="67"/>
      <c r="C49" s="68"/>
      <c r="E49" s="66" t="s">
        <v>606</v>
      </c>
      <c r="G49" s="30">
        <f>VLOOKUP($F$5 &amp; $A49 &amp; $E49,AddRes,7,FALSE)</f>
        <v>0</v>
      </c>
      <c r="H49" s="270">
        <f>VLOOKUP($F$5 &amp; $A49 &amp; $E49,AddRes,8,FALSE)</f>
        <v>0</v>
      </c>
      <c r="I49" s="69">
        <f>VLOOKUP($F$5 &amp; $A49 &amp; $E49,AddRes,10,FALSE)</f>
        <v>42551</v>
      </c>
    </row>
    <row r="50" spans="1:12" s="65" customFormat="1" ht="12.75" customHeight="1">
      <c r="A50" s="66" t="s">
        <v>412</v>
      </c>
      <c r="B50" s="67"/>
      <c r="C50" s="68"/>
      <c r="E50" s="66" t="s">
        <v>418</v>
      </c>
      <c r="G50" s="270">
        <f t="shared" ref="G50" si="9">VLOOKUP($F$5 &amp; $A50 &amp; $E50,AddRes,7,FALSE)</f>
        <v>0</v>
      </c>
      <c r="H50" s="270">
        <f t="shared" ref="H50" si="10">VLOOKUP($F$5 &amp; $A50 &amp; $E50,AddRes,8,FALSE)</f>
        <v>0</v>
      </c>
      <c r="I50" s="69">
        <f t="shared" ref="I50" si="11">VLOOKUP($F$5 &amp; $A50 &amp; $E50,AddRes,10,FALSE)</f>
        <v>42551</v>
      </c>
      <c r="J50" s="198"/>
    </row>
    <row r="51" spans="1:12" s="65" customFormat="1" ht="12.75" customHeight="1">
      <c r="A51" s="66" t="s">
        <v>241</v>
      </c>
      <c r="B51" s="67"/>
      <c r="C51" s="68"/>
      <c r="E51" s="66" t="s">
        <v>607</v>
      </c>
      <c r="G51" s="30">
        <f t="shared" ref="G51:G56" si="12">VLOOKUP($F$5 &amp; $A51 &amp; $E51,AddRes,7,FALSE)</f>
        <v>0</v>
      </c>
      <c r="H51" s="270">
        <f t="shared" ref="H51:H56" si="13">VLOOKUP($F$5 &amp; $A51 &amp; $E51,AddRes,8,FALSE)</f>
        <v>0</v>
      </c>
      <c r="I51" s="69">
        <f t="shared" ref="I51:I56" si="14">VLOOKUP($F$5 &amp; $A51 &amp; $E51,AddRes,10,FALSE)</f>
        <v>42551</v>
      </c>
      <c r="K51" s="75"/>
      <c r="L51" s="75"/>
    </row>
    <row r="52" spans="1:12" s="65" customFormat="1" ht="12.75" customHeight="1">
      <c r="A52" s="66" t="s">
        <v>274</v>
      </c>
      <c r="B52" s="67"/>
      <c r="C52" s="68"/>
      <c r="E52" s="66" t="s">
        <v>608</v>
      </c>
      <c r="G52" s="30">
        <f t="shared" si="12"/>
        <v>0</v>
      </c>
      <c r="H52" s="270">
        <f t="shared" si="13"/>
        <v>0</v>
      </c>
      <c r="I52" s="69">
        <f t="shared" si="14"/>
        <v>42551</v>
      </c>
    </row>
    <row r="53" spans="1:12" s="65" customFormat="1" ht="12.75" customHeight="1">
      <c r="A53" s="66" t="s">
        <v>274</v>
      </c>
      <c r="B53" s="67"/>
      <c r="C53" s="68"/>
      <c r="E53" s="66" t="s">
        <v>609</v>
      </c>
      <c r="G53" s="30">
        <f t="shared" si="12"/>
        <v>0</v>
      </c>
      <c r="H53" s="270">
        <f t="shared" si="13"/>
        <v>0</v>
      </c>
      <c r="I53" s="69">
        <f t="shared" si="14"/>
        <v>42551</v>
      </c>
    </row>
    <row r="54" spans="1:12" s="65" customFormat="1" ht="12.75" customHeight="1">
      <c r="A54" s="66" t="s">
        <v>233</v>
      </c>
      <c r="B54" s="67"/>
      <c r="C54" s="68"/>
      <c r="E54" s="66" t="s">
        <v>610</v>
      </c>
      <c r="G54" s="270">
        <f t="shared" si="12"/>
        <v>0</v>
      </c>
      <c r="H54" s="270">
        <f t="shared" si="13"/>
        <v>0</v>
      </c>
      <c r="I54" s="69">
        <f t="shared" si="14"/>
        <v>42551</v>
      </c>
    </row>
    <row r="55" spans="1:12" s="65" customFormat="1" ht="12.75" customHeight="1">
      <c r="A55" s="66" t="s">
        <v>231</v>
      </c>
      <c r="B55" s="67"/>
      <c r="C55" s="68"/>
      <c r="E55" s="66" t="s">
        <v>611</v>
      </c>
      <c r="G55" s="30">
        <f t="shared" si="12"/>
        <v>0</v>
      </c>
      <c r="H55" s="270">
        <f t="shared" si="13"/>
        <v>0</v>
      </c>
      <c r="I55" s="69">
        <f t="shared" si="14"/>
        <v>42551</v>
      </c>
    </row>
    <row r="56" spans="1:12" s="65" customFormat="1" ht="12.75" customHeight="1">
      <c r="A56" s="66" t="s">
        <v>232</v>
      </c>
      <c r="B56" s="67"/>
      <c r="C56" s="68"/>
      <c r="E56" s="66" t="s">
        <v>612</v>
      </c>
      <c r="G56" s="30">
        <f t="shared" si="12"/>
        <v>0</v>
      </c>
      <c r="H56" s="270">
        <f t="shared" si="13"/>
        <v>0</v>
      </c>
      <c r="I56" s="69">
        <f t="shared" si="14"/>
        <v>42551</v>
      </c>
    </row>
    <row r="57" spans="1:12" s="65" customFormat="1" ht="12.75" customHeight="1">
      <c r="C57" s="70"/>
      <c r="D57" s="70"/>
      <c r="E57" s="70"/>
      <c r="F57" s="70"/>
      <c r="G57" s="71"/>
      <c r="H57" s="72"/>
      <c r="I57" s="73"/>
    </row>
    <row r="58" spans="1:12" s="65" customFormat="1" ht="12.75" customHeight="1">
      <c r="C58" s="74" t="s">
        <v>71</v>
      </c>
      <c r="D58" s="70"/>
      <c r="E58" s="70"/>
      <c r="F58" s="70"/>
      <c r="G58" s="75">
        <f>SUM(G47:G56)</f>
        <v>0</v>
      </c>
      <c r="H58" s="75">
        <f>SUM(H46:H56)</f>
        <v>0</v>
      </c>
      <c r="I58" s="73"/>
    </row>
    <row r="59" spans="1:12" s="65" customFormat="1" ht="12.75" customHeight="1">
      <c r="C59" s="70"/>
      <c r="D59" s="70"/>
      <c r="E59" s="70"/>
      <c r="F59" s="70"/>
      <c r="G59" s="70"/>
      <c r="I59" s="73"/>
    </row>
    <row r="60" spans="1:12" s="65" customFormat="1" ht="12.75" customHeight="1">
      <c r="C60" s="70"/>
      <c r="D60" s="70"/>
      <c r="E60" s="70"/>
      <c r="F60" s="70"/>
      <c r="G60" s="70"/>
      <c r="I60" s="73"/>
    </row>
    <row r="61" spans="1:12" s="65" customFormat="1" ht="12.75" customHeight="1">
      <c r="C61" s="70"/>
      <c r="D61" s="70"/>
      <c r="E61" s="70"/>
      <c r="F61" s="70"/>
      <c r="G61" s="70"/>
      <c r="I61" s="73"/>
    </row>
    <row r="62" spans="1:12" s="65" customFormat="1" ht="12.75" customHeight="1">
      <c r="C62" s="70"/>
      <c r="D62" s="70"/>
      <c r="E62" s="70"/>
      <c r="F62" s="70"/>
      <c r="G62" s="70"/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  <row r="139" spans="3:9" s="65" customFormat="1" ht="12.75" customHeight="1">
      <c r="C139" s="70"/>
      <c r="D139" s="70"/>
      <c r="E139" s="70"/>
      <c r="F139" s="70"/>
      <c r="G139" s="70"/>
      <c r="I139" s="73"/>
    </row>
    <row r="140" spans="3:9" s="65" customFormat="1" ht="12.75" customHeight="1">
      <c r="C140" s="70"/>
      <c r="D140" s="70"/>
      <c r="E140" s="70"/>
      <c r="F140" s="70"/>
      <c r="G140" s="70"/>
      <c r="I140" s="73"/>
    </row>
    <row r="141" spans="3:9" s="65" customFormat="1" ht="12.75" customHeight="1">
      <c r="C141" s="70"/>
      <c r="D141" s="70"/>
      <c r="E141" s="70"/>
      <c r="F141" s="70"/>
      <c r="G141" s="70"/>
      <c r="I141" s="73"/>
    </row>
    <row r="142" spans="3:9" s="65" customFormat="1" ht="12.75" customHeight="1">
      <c r="C142" s="70"/>
      <c r="D142" s="70"/>
      <c r="E142" s="70"/>
      <c r="F142" s="70"/>
      <c r="G142" s="70"/>
      <c r="I142" s="73"/>
    </row>
    <row r="143" spans="3:9" s="65" customFormat="1" ht="12.75" customHeight="1">
      <c r="C143" s="70"/>
      <c r="D143" s="70"/>
      <c r="E143" s="70"/>
      <c r="F143" s="70"/>
      <c r="G143" s="70"/>
      <c r="I143" s="73"/>
    </row>
    <row r="144" spans="3:9" s="65" customFormat="1" ht="12.75" customHeight="1">
      <c r="C144" s="70"/>
      <c r="D144" s="70"/>
      <c r="E144" s="70"/>
      <c r="F144" s="70"/>
      <c r="G144" s="70"/>
      <c r="I144" s="73"/>
    </row>
  </sheetData>
  <mergeCells count="2">
    <mergeCell ref="A8:I8"/>
    <mergeCell ref="G5:I5"/>
  </mergeCells>
  <phoneticPr fontId="0" type="noConversion"/>
  <conditionalFormatting sqref="G43">
    <cfRule type="cellIs" dxfId="18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9"/>
  <sheetViews>
    <sheetView zoomScale="80" zoomScaleNormal="80" zoomScaleSheetLayoutView="235" workbookViewId="0">
      <selection activeCell="F2" sqref="F2:G333"/>
    </sheetView>
  </sheetViews>
  <sheetFormatPr defaultColWidth="9.140625" defaultRowHeight="15" customHeight="1"/>
  <cols>
    <col min="1" max="1" width="34.85546875" style="226" bestFit="1" customWidth="1"/>
    <col min="2" max="2" width="39.5703125" style="226" bestFit="1" customWidth="1"/>
    <col min="3" max="3" width="14" style="226" customWidth="1"/>
    <col min="4" max="4" width="14" style="229" customWidth="1"/>
    <col min="5" max="5" width="15.42578125" style="227" customWidth="1"/>
    <col min="6" max="8" width="14" style="228" customWidth="1"/>
    <col min="9" max="16384" width="9.140625" style="226"/>
  </cols>
  <sheetData>
    <row r="1" spans="1:8" ht="15" customHeight="1">
      <c r="A1" s="394" t="s">
        <v>72</v>
      </c>
      <c r="B1" s="394" t="s">
        <v>73</v>
      </c>
      <c r="C1" s="394" t="s">
        <v>74</v>
      </c>
      <c r="D1" s="394" t="s">
        <v>68</v>
      </c>
      <c r="E1" s="394" t="s">
        <v>69</v>
      </c>
      <c r="F1" s="394" t="s">
        <v>75</v>
      </c>
      <c r="G1" s="394" t="s">
        <v>76</v>
      </c>
      <c r="H1" s="394" t="s">
        <v>319</v>
      </c>
    </row>
    <row r="2" spans="1:8" ht="15" customHeight="1">
      <c r="A2" s="280" t="s">
        <v>403</v>
      </c>
      <c r="B2" s="280" t="s">
        <v>240</v>
      </c>
      <c r="C2" s="280" t="s">
        <v>347</v>
      </c>
      <c r="D2" s="395">
        <v>0</v>
      </c>
      <c r="E2" s="395"/>
      <c r="F2" s="396"/>
      <c r="G2" s="396"/>
      <c r="H2" s="396">
        <v>42308</v>
      </c>
    </row>
    <row r="3" spans="1:8" ht="15" customHeight="1">
      <c r="A3" s="280" t="s">
        <v>86</v>
      </c>
      <c r="B3" s="280" t="s">
        <v>497</v>
      </c>
      <c r="C3" s="280" t="s">
        <v>499</v>
      </c>
      <c r="D3" s="395">
        <v>0</v>
      </c>
      <c r="E3" s="395"/>
      <c r="F3" s="396"/>
      <c r="G3" s="396"/>
      <c r="H3" s="396">
        <v>42565</v>
      </c>
    </row>
    <row r="4" spans="1:8" ht="15" customHeight="1">
      <c r="A4" s="280" t="s">
        <v>86</v>
      </c>
      <c r="B4" s="280" t="s">
        <v>498</v>
      </c>
      <c r="C4" s="280" t="s">
        <v>500</v>
      </c>
      <c r="D4" s="395">
        <v>0</v>
      </c>
      <c r="E4" s="395"/>
      <c r="F4" s="396"/>
      <c r="G4" s="396"/>
      <c r="H4" s="396">
        <v>42565</v>
      </c>
    </row>
    <row r="5" spans="1:8" ht="15" customHeight="1">
      <c r="A5" s="280" t="s">
        <v>86</v>
      </c>
      <c r="B5" s="280" t="s">
        <v>412</v>
      </c>
      <c r="C5" s="280" t="s">
        <v>413</v>
      </c>
      <c r="D5" s="395">
        <v>0</v>
      </c>
      <c r="E5" s="395"/>
      <c r="F5" s="396"/>
      <c r="G5" s="396"/>
      <c r="H5" s="396">
        <v>42565</v>
      </c>
    </row>
    <row r="6" spans="1:8" ht="15" customHeight="1">
      <c r="A6" s="280" t="s">
        <v>86</v>
      </c>
      <c r="B6" s="280" t="s">
        <v>241</v>
      </c>
      <c r="C6" s="280" t="s">
        <v>501</v>
      </c>
      <c r="D6" s="395">
        <v>0</v>
      </c>
      <c r="E6" s="395"/>
      <c r="F6" s="396"/>
      <c r="G6" s="396"/>
      <c r="H6" s="396">
        <v>42565</v>
      </c>
    </row>
    <row r="7" spans="1:8" ht="15" customHeight="1">
      <c r="A7" s="280" t="s">
        <v>86</v>
      </c>
      <c r="B7" s="280" t="s">
        <v>233</v>
      </c>
      <c r="C7" s="280" t="s">
        <v>502</v>
      </c>
      <c r="D7" s="395">
        <v>0</v>
      </c>
      <c r="E7" s="395"/>
      <c r="F7" s="396"/>
      <c r="G7" s="396"/>
      <c r="H7" s="396">
        <v>42565</v>
      </c>
    </row>
    <row r="8" spans="1:8" ht="15" customHeight="1">
      <c r="A8" s="280" t="s">
        <v>86</v>
      </c>
      <c r="B8" s="280" t="s">
        <v>231</v>
      </c>
      <c r="C8" s="280" t="s">
        <v>503</v>
      </c>
      <c r="D8" s="395">
        <v>0</v>
      </c>
      <c r="E8" s="395"/>
      <c r="F8" s="396"/>
      <c r="G8" s="396"/>
      <c r="H8" s="396">
        <v>42565</v>
      </c>
    </row>
    <row r="9" spans="1:8" ht="15" customHeight="1">
      <c r="A9" s="280" t="s">
        <v>86</v>
      </c>
      <c r="B9" s="280" t="s">
        <v>232</v>
      </c>
      <c r="C9" s="280" t="s">
        <v>504</v>
      </c>
      <c r="D9" s="395">
        <v>0</v>
      </c>
      <c r="E9" s="395"/>
      <c r="F9" s="396"/>
      <c r="G9" s="396"/>
      <c r="H9" s="396">
        <v>42565</v>
      </c>
    </row>
    <row r="10" spans="1:8" ht="15" customHeight="1">
      <c r="A10" s="280" t="s">
        <v>165</v>
      </c>
      <c r="B10" s="280" t="s">
        <v>240</v>
      </c>
      <c r="C10" s="280" t="s">
        <v>348</v>
      </c>
      <c r="D10" s="395">
        <v>0</v>
      </c>
      <c r="E10" s="395"/>
      <c r="F10" s="396"/>
      <c r="G10" s="396"/>
      <c r="H10" s="396">
        <v>42308</v>
      </c>
    </row>
    <row r="11" spans="1:8" ht="15" customHeight="1">
      <c r="A11" s="280" t="s">
        <v>165</v>
      </c>
      <c r="B11" s="280" t="s">
        <v>497</v>
      </c>
      <c r="C11" s="280" t="s">
        <v>507</v>
      </c>
      <c r="D11" s="395">
        <v>0</v>
      </c>
      <c r="E11" s="395"/>
      <c r="F11" s="396"/>
      <c r="G11" s="396"/>
      <c r="H11" s="396">
        <v>42565</v>
      </c>
    </row>
    <row r="12" spans="1:8" ht="15" customHeight="1">
      <c r="A12" s="280" t="s">
        <v>165</v>
      </c>
      <c r="B12" s="280" t="s">
        <v>498</v>
      </c>
      <c r="C12" s="280" t="s">
        <v>508</v>
      </c>
      <c r="D12" s="395">
        <v>0</v>
      </c>
      <c r="E12" s="395"/>
      <c r="F12" s="396"/>
      <c r="G12" s="396"/>
      <c r="H12" s="396">
        <v>42565</v>
      </c>
    </row>
    <row r="13" spans="1:8" ht="15" customHeight="1">
      <c r="A13" s="280" t="s">
        <v>165</v>
      </c>
      <c r="B13" s="280" t="s">
        <v>505</v>
      </c>
      <c r="C13" s="280" t="s">
        <v>509</v>
      </c>
      <c r="D13" s="395">
        <v>0</v>
      </c>
      <c r="E13" s="395"/>
      <c r="F13" s="396"/>
      <c r="G13" s="396"/>
      <c r="H13" s="396">
        <v>42565</v>
      </c>
    </row>
    <row r="14" spans="1:8" ht="15" customHeight="1">
      <c r="A14" s="280" t="s">
        <v>165</v>
      </c>
      <c r="B14" s="280" t="s">
        <v>241</v>
      </c>
      <c r="C14" s="280" t="s">
        <v>510</v>
      </c>
      <c r="D14" s="395">
        <v>0</v>
      </c>
      <c r="E14" s="395"/>
      <c r="F14" s="396"/>
      <c r="G14" s="396"/>
      <c r="H14" s="396">
        <v>42565</v>
      </c>
    </row>
    <row r="15" spans="1:8" ht="15" customHeight="1">
      <c r="A15" s="280" t="s">
        <v>165</v>
      </c>
      <c r="B15" s="280" t="s">
        <v>233</v>
      </c>
      <c r="C15" s="280" t="s">
        <v>511</v>
      </c>
      <c r="D15" s="395">
        <v>0</v>
      </c>
      <c r="E15" s="395"/>
      <c r="F15" s="396"/>
      <c r="G15" s="396"/>
      <c r="H15" s="396">
        <v>42565</v>
      </c>
    </row>
    <row r="16" spans="1:8" ht="15" customHeight="1">
      <c r="A16" s="280" t="s">
        <v>165</v>
      </c>
      <c r="B16" s="280" t="s">
        <v>231</v>
      </c>
      <c r="C16" s="280" t="s">
        <v>512</v>
      </c>
      <c r="D16" s="395">
        <v>0</v>
      </c>
      <c r="E16" s="395"/>
      <c r="F16" s="396"/>
      <c r="G16" s="396"/>
      <c r="H16" s="396">
        <v>42565</v>
      </c>
    </row>
    <row r="17" spans="1:8" ht="15" customHeight="1">
      <c r="A17" s="280" t="s">
        <v>165</v>
      </c>
      <c r="B17" s="280" t="s">
        <v>506</v>
      </c>
      <c r="C17" s="280" t="s">
        <v>513</v>
      </c>
      <c r="D17" s="395">
        <v>0</v>
      </c>
      <c r="E17" s="395"/>
      <c r="F17" s="396"/>
      <c r="G17" s="396"/>
      <c r="H17" s="396">
        <v>42565</v>
      </c>
    </row>
    <row r="18" spans="1:8" ht="15" customHeight="1">
      <c r="A18" s="280" t="s">
        <v>165</v>
      </c>
      <c r="B18" s="280" t="s">
        <v>429</v>
      </c>
      <c r="C18" s="280" t="s">
        <v>514</v>
      </c>
      <c r="D18" s="395">
        <v>0</v>
      </c>
      <c r="E18" s="395"/>
      <c r="F18" s="396"/>
      <c r="G18" s="396"/>
      <c r="H18" s="396">
        <v>42308</v>
      </c>
    </row>
    <row r="19" spans="1:8" ht="15" customHeight="1">
      <c r="A19" s="280" t="s">
        <v>165</v>
      </c>
      <c r="B19" s="280" t="s">
        <v>232</v>
      </c>
      <c r="C19" s="280" t="s">
        <v>515</v>
      </c>
      <c r="D19" s="395">
        <v>0</v>
      </c>
      <c r="E19" s="395"/>
      <c r="F19" s="396"/>
      <c r="G19" s="396"/>
      <c r="H19" s="396">
        <v>42565</v>
      </c>
    </row>
    <row r="20" spans="1:8" ht="15" customHeight="1">
      <c r="A20" s="280" t="s">
        <v>87</v>
      </c>
      <c r="B20" s="280" t="s">
        <v>240</v>
      </c>
      <c r="C20" s="280" t="s">
        <v>349</v>
      </c>
      <c r="D20" s="395">
        <v>0</v>
      </c>
      <c r="E20" s="395"/>
      <c r="F20" s="396"/>
      <c r="G20" s="396"/>
      <c r="H20" s="396">
        <v>42308</v>
      </c>
    </row>
    <row r="21" spans="1:8" ht="15" customHeight="1">
      <c r="A21" s="280" t="s">
        <v>87</v>
      </c>
      <c r="B21" s="280" t="s">
        <v>497</v>
      </c>
      <c r="C21" s="280" t="s">
        <v>516</v>
      </c>
      <c r="D21" s="395">
        <v>0</v>
      </c>
      <c r="E21" s="395"/>
      <c r="F21" s="396"/>
      <c r="G21" s="396"/>
      <c r="H21" s="396">
        <v>42565</v>
      </c>
    </row>
    <row r="22" spans="1:8" ht="15" customHeight="1">
      <c r="A22" s="280" t="s">
        <v>87</v>
      </c>
      <c r="B22" s="280" t="s">
        <v>498</v>
      </c>
      <c r="C22" s="280" t="s">
        <v>517</v>
      </c>
      <c r="D22" s="395">
        <v>0</v>
      </c>
      <c r="E22" s="395"/>
      <c r="F22" s="396"/>
      <c r="G22" s="396"/>
      <c r="H22" s="396">
        <v>42565</v>
      </c>
    </row>
    <row r="23" spans="1:8" ht="15" customHeight="1">
      <c r="A23" s="280" t="s">
        <v>87</v>
      </c>
      <c r="B23" s="280" t="s">
        <v>505</v>
      </c>
      <c r="C23" s="280" t="s">
        <v>518</v>
      </c>
      <c r="D23" s="395">
        <v>0</v>
      </c>
      <c r="E23" s="395"/>
      <c r="F23" s="396"/>
      <c r="G23" s="396"/>
      <c r="H23" s="396">
        <v>42565</v>
      </c>
    </row>
    <row r="24" spans="1:8" ht="15" customHeight="1">
      <c r="A24" s="280" t="s">
        <v>87</v>
      </c>
      <c r="B24" s="280" t="s">
        <v>242</v>
      </c>
      <c r="C24" s="280" t="s">
        <v>350</v>
      </c>
      <c r="D24" s="395">
        <v>0</v>
      </c>
      <c r="E24" s="395"/>
      <c r="F24" s="396"/>
      <c r="G24" s="396"/>
      <c r="H24" s="396">
        <v>42565</v>
      </c>
    </row>
    <row r="25" spans="1:8" ht="15" customHeight="1">
      <c r="A25" s="280" t="s">
        <v>87</v>
      </c>
      <c r="B25" s="280" t="s">
        <v>233</v>
      </c>
      <c r="C25" s="280" t="s">
        <v>519</v>
      </c>
      <c r="D25" s="395">
        <v>0</v>
      </c>
      <c r="E25" s="395"/>
      <c r="F25" s="396"/>
      <c r="G25" s="396"/>
      <c r="H25" s="396">
        <v>42565</v>
      </c>
    </row>
    <row r="26" spans="1:8" ht="15" customHeight="1">
      <c r="A26" s="280" t="s">
        <v>87</v>
      </c>
      <c r="B26" s="280" t="s">
        <v>231</v>
      </c>
      <c r="C26" s="280" t="s">
        <v>520</v>
      </c>
      <c r="D26" s="395">
        <v>0</v>
      </c>
      <c r="E26" s="395"/>
      <c r="F26" s="396"/>
      <c r="G26" s="396"/>
      <c r="H26" s="396">
        <v>42565</v>
      </c>
    </row>
    <row r="27" spans="1:8" ht="15" customHeight="1">
      <c r="A27" s="280" t="s">
        <v>87</v>
      </c>
      <c r="B27" s="280" t="s">
        <v>232</v>
      </c>
      <c r="C27" s="280" t="s">
        <v>521</v>
      </c>
      <c r="D27" s="395">
        <v>0</v>
      </c>
      <c r="E27" s="395"/>
      <c r="F27" s="396"/>
      <c r="G27" s="396"/>
      <c r="H27" s="396">
        <v>42565</v>
      </c>
    </row>
    <row r="28" spans="1:8" ht="15" customHeight="1">
      <c r="A28" s="280" t="s">
        <v>77</v>
      </c>
      <c r="B28" s="280" t="s">
        <v>240</v>
      </c>
      <c r="C28" s="280" t="s">
        <v>351</v>
      </c>
      <c r="D28" s="395">
        <v>0</v>
      </c>
      <c r="E28" s="395"/>
      <c r="F28" s="396"/>
      <c r="G28" s="396"/>
      <c r="H28" s="396">
        <v>42308</v>
      </c>
    </row>
    <row r="29" spans="1:8" ht="15" customHeight="1">
      <c r="A29" s="280" t="s">
        <v>77</v>
      </c>
      <c r="B29" s="280" t="s">
        <v>497</v>
      </c>
      <c r="C29" s="280" t="s">
        <v>522</v>
      </c>
      <c r="D29" s="395">
        <v>0</v>
      </c>
      <c r="E29" s="395"/>
      <c r="F29" s="396"/>
      <c r="G29" s="396"/>
      <c r="H29" s="396">
        <v>42565</v>
      </c>
    </row>
    <row r="30" spans="1:8" ht="15" customHeight="1">
      <c r="A30" s="280" t="s">
        <v>77</v>
      </c>
      <c r="B30" s="280" t="s">
        <v>498</v>
      </c>
      <c r="C30" s="280" t="s">
        <v>523</v>
      </c>
      <c r="D30" s="395">
        <v>0</v>
      </c>
      <c r="E30" s="395"/>
      <c r="F30" s="396"/>
      <c r="G30" s="396"/>
      <c r="H30" s="396">
        <v>42565</v>
      </c>
    </row>
    <row r="31" spans="1:8" ht="15" customHeight="1">
      <c r="A31" s="280" t="s">
        <v>77</v>
      </c>
      <c r="B31" s="280" t="s">
        <v>505</v>
      </c>
      <c r="C31" s="280" t="s">
        <v>524</v>
      </c>
      <c r="D31" s="395">
        <v>0</v>
      </c>
      <c r="E31" s="395"/>
      <c r="F31" s="396"/>
      <c r="G31" s="396"/>
      <c r="H31" s="396">
        <v>42565</v>
      </c>
    </row>
    <row r="32" spans="1:8" ht="15" customHeight="1">
      <c r="A32" s="280" t="s">
        <v>77</v>
      </c>
      <c r="B32" s="280" t="s">
        <v>412</v>
      </c>
      <c r="C32" s="280" t="s">
        <v>414</v>
      </c>
      <c r="D32" s="395">
        <v>0</v>
      </c>
      <c r="E32" s="395"/>
      <c r="F32" s="396"/>
      <c r="G32" s="396"/>
      <c r="H32" s="396">
        <v>42565</v>
      </c>
    </row>
    <row r="33" spans="1:8" ht="15" customHeight="1">
      <c r="A33" s="280" t="s">
        <v>77</v>
      </c>
      <c r="B33" s="280" t="s">
        <v>242</v>
      </c>
      <c r="C33" s="280" t="s">
        <v>243</v>
      </c>
      <c r="D33" s="395">
        <v>0</v>
      </c>
      <c r="E33" s="395"/>
      <c r="F33" s="396"/>
      <c r="G33" s="396"/>
      <c r="H33" s="396">
        <v>42565</v>
      </c>
    </row>
    <row r="34" spans="1:8" ht="15" customHeight="1">
      <c r="A34" s="280" t="s">
        <v>77</v>
      </c>
      <c r="B34" s="280" t="s">
        <v>269</v>
      </c>
      <c r="C34" s="280" t="s">
        <v>525</v>
      </c>
      <c r="D34" s="395">
        <v>0</v>
      </c>
      <c r="E34" s="395"/>
      <c r="F34" s="396"/>
      <c r="G34" s="396"/>
      <c r="H34" s="396">
        <v>42931</v>
      </c>
    </row>
    <row r="35" spans="1:8" ht="15" customHeight="1">
      <c r="A35" s="280" t="s">
        <v>77</v>
      </c>
      <c r="B35" s="280" t="s">
        <v>231</v>
      </c>
      <c r="C35" s="280" t="s">
        <v>526</v>
      </c>
      <c r="D35" s="395">
        <v>0</v>
      </c>
      <c r="E35" s="395"/>
      <c r="F35" s="396"/>
      <c r="G35" s="396"/>
      <c r="H35" s="396">
        <v>42565</v>
      </c>
    </row>
    <row r="36" spans="1:8" ht="15" customHeight="1">
      <c r="A36" s="280" t="s">
        <v>77</v>
      </c>
      <c r="B36" s="280" t="s">
        <v>429</v>
      </c>
      <c r="C36" s="280" t="s">
        <v>430</v>
      </c>
      <c r="D36" s="395">
        <v>0</v>
      </c>
      <c r="E36" s="395"/>
      <c r="F36" s="396"/>
      <c r="G36" s="396"/>
      <c r="H36" s="396">
        <v>42308</v>
      </c>
    </row>
    <row r="37" spans="1:8" ht="15" customHeight="1">
      <c r="A37" s="280" t="s">
        <v>77</v>
      </c>
      <c r="B37" s="280" t="s">
        <v>232</v>
      </c>
      <c r="C37" s="280" t="s">
        <v>527</v>
      </c>
      <c r="D37" s="395">
        <v>0</v>
      </c>
      <c r="E37" s="395"/>
      <c r="F37" s="396"/>
      <c r="G37" s="396"/>
      <c r="H37" s="396">
        <v>42565</v>
      </c>
    </row>
    <row r="38" spans="1:8" ht="15" customHeight="1">
      <c r="A38" s="280" t="s">
        <v>398</v>
      </c>
      <c r="B38" s="280" t="s">
        <v>240</v>
      </c>
      <c r="C38" s="280" t="s">
        <v>352</v>
      </c>
      <c r="D38" s="395">
        <v>0</v>
      </c>
      <c r="E38" s="395"/>
      <c r="F38" s="396"/>
      <c r="G38" s="396"/>
      <c r="H38" s="396">
        <v>42308</v>
      </c>
    </row>
    <row r="39" spans="1:8" ht="15" customHeight="1">
      <c r="A39" s="280" t="s">
        <v>398</v>
      </c>
      <c r="B39" s="280" t="s">
        <v>497</v>
      </c>
      <c r="C39" s="280" t="s">
        <v>528</v>
      </c>
      <c r="D39" s="395">
        <v>0</v>
      </c>
      <c r="E39" s="395"/>
      <c r="F39" s="396"/>
      <c r="G39" s="396"/>
      <c r="H39" s="396">
        <v>42565</v>
      </c>
    </row>
    <row r="40" spans="1:8" ht="15" customHeight="1">
      <c r="A40" s="280" t="s">
        <v>398</v>
      </c>
      <c r="B40" s="280" t="s">
        <v>498</v>
      </c>
      <c r="C40" s="280" t="s">
        <v>529</v>
      </c>
      <c r="D40" s="395">
        <v>0</v>
      </c>
      <c r="E40" s="395"/>
      <c r="F40" s="396"/>
      <c r="G40" s="396"/>
      <c r="H40" s="396">
        <v>42565</v>
      </c>
    </row>
    <row r="41" spans="1:8" ht="15" customHeight="1">
      <c r="A41" s="280" t="s">
        <v>398</v>
      </c>
      <c r="B41" s="280" t="s">
        <v>505</v>
      </c>
      <c r="C41" s="280" t="s">
        <v>530</v>
      </c>
      <c r="D41" s="395">
        <v>0</v>
      </c>
      <c r="E41" s="395"/>
      <c r="F41" s="396"/>
      <c r="G41" s="396"/>
      <c r="H41" s="396">
        <v>42565</v>
      </c>
    </row>
    <row r="42" spans="1:8" ht="15" customHeight="1">
      <c r="A42" s="280" t="s">
        <v>398</v>
      </c>
      <c r="B42" s="280" t="s">
        <v>235</v>
      </c>
      <c r="C42" s="280" t="s">
        <v>427</v>
      </c>
      <c r="D42" s="395">
        <v>0</v>
      </c>
      <c r="E42" s="395"/>
      <c r="F42" s="396"/>
      <c r="G42" s="396"/>
      <c r="H42" s="396">
        <v>42565</v>
      </c>
    </row>
    <row r="43" spans="1:8" ht="15" customHeight="1">
      <c r="A43" s="280" t="s">
        <v>398</v>
      </c>
      <c r="B43" s="280" t="s">
        <v>235</v>
      </c>
      <c r="C43" s="280" t="s">
        <v>531</v>
      </c>
      <c r="D43" s="395">
        <v>0</v>
      </c>
      <c r="E43" s="395"/>
      <c r="F43" s="396"/>
      <c r="G43" s="396"/>
      <c r="H43" s="396">
        <v>42565</v>
      </c>
    </row>
    <row r="44" spans="1:8" ht="15" customHeight="1">
      <c r="A44" s="280" t="s">
        <v>398</v>
      </c>
      <c r="B44" s="280" t="s">
        <v>233</v>
      </c>
      <c r="C44" s="280" t="s">
        <v>532</v>
      </c>
      <c r="D44" s="395">
        <v>0</v>
      </c>
      <c r="E44" s="395"/>
      <c r="F44" s="396"/>
      <c r="G44" s="396"/>
      <c r="H44" s="396">
        <v>42565</v>
      </c>
    </row>
    <row r="45" spans="1:8" ht="15" customHeight="1">
      <c r="A45" s="280" t="s">
        <v>398</v>
      </c>
      <c r="B45" s="280" t="s">
        <v>506</v>
      </c>
      <c r="C45" s="280" t="s">
        <v>533</v>
      </c>
      <c r="D45" s="395">
        <v>0</v>
      </c>
      <c r="E45" s="395"/>
      <c r="F45" s="396"/>
      <c r="G45" s="396"/>
      <c r="H45" s="396">
        <v>42565</v>
      </c>
    </row>
    <row r="46" spans="1:8" ht="15" customHeight="1">
      <c r="A46" s="280" t="s">
        <v>89</v>
      </c>
      <c r="B46" s="280" t="s">
        <v>240</v>
      </c>
      <c r="C46" s="280" t="s">
        <v>353</v>
      </c>
      <c r="D46" s="395">
        <v>0</v>
      </c>
      <c r="E46" s="395"/>
      <c r="F46" s="396"/>
      <c r="G46" s="396"/>
      <c r="H46" s="396">
        <v>42308</v>
      </c>
    </row>
    <row r="47" spans="1:8" ht="15" customHeight="1">
      <c r="A47" s="280" t="s">
        <v>89</v>
      </c>
      <c r="B47" s="280" t="s">
        <v>497</v>
      </c>
      <c r="C47" s="280" t="s">
        <v>534</v>
      </c>
      <c r="D47" s="395">
        <v>0</v>
      </c>
      <c r="E47" s="395"/>
      <c r="F47" s="396"/>
      <c r="G47" s="396"/>
      <c r="H47" s="396">
        <v>42565</v>
      </c>
    </row>
    <row r="48" spans="1:8" ht="15" customHeight="1">
      <c r="A48" s="280" t="s">
        <v>89</v>
      </c>
      <c r="B48" s="280" t="s">
        <v>498</v>
      </c>
      <c r="C48" s="280" t="s">
        <v>535</v>
      </c>
      <c r="D48" s="395">
        <v>0</v>
      </c>
      <c r="E48" s="395"/>
      <c r="F48" s="396"/>
      <c r="G48" s="396"/>
      <c r="H48" s="396">
        <v>42565</v>
      </c>
    </row>
    <row r="49" spans="1:8" ht="15" customHeight="1">
      <c r="A49" s="280" t="s">
        <v>89</v>
      </c>
      <c r="B49" s="280" t="s">
        <v>505</v>
      </c>
      <c r="C49" s="280" t="s">
        <v>536</v>
      </c>
      <c r="D49" s="395">
        <v>0</v>
      </c>
      <c r="E49" s="395"/>
      <c r="F49" s="396"/>
      <c r="G49" s="396"/>
      <c r="H49" s="396">
        <v>42565</v>
      </c>
    </row>
    <row r="50" spans="1:8" ht="15" customHeight="1">
      <c r="A50" s="280" t="s">
        <v>89</v>
      </c>
      <c r="B50" s="280" t="s">
        <v>267</v>
      </c>
      <c r="C50" s="280" t="s">
        <v>537</v>
      </c>
      <c r="D50" s="395">
        <v>0</v>
      </c>
      <c r="E50" s="395"/>
      <c r="F50" s="396"/>
      <c r="G50" s="396"/>
      <c r="H50" s="396">
        <v>42565</v>
      </c>
    </row>
    <row r="51" spans="1:8" ht="15" customHeight="1">
      <c r="A51" s="280" t="s">
        <v>89</v>
      </c>
      <c r="B51" s="280" t="s">
        <v>241</v>
      </c>
      <c r="C51" s="280" t="s">
        <v>538</v>
      </c>
      <c r="D51" s="395">
        <v>0</v>
      </c>
      <c r="E51" s="395"/>
      <c r="F51" s="396"/>
      <c r="G51" s="396"/>
      <c r="H51" s="396">
        <v>42565</v>
      </c>
    </row>
    <row r="52" spans="1:8" ht="15" customHeight="1">
      <c r="A52" s="280" t="s">
        <v>89</v>
      </c>
      <c r="B52" s="280" t="s">
        <v>234</v>
      </c>
      <c r="C52" s="280" t="s">
        <v>539</v>
      </c>
      <c r="D52" s="395">
        <v>0</v>
      </c>
      <c r="E52" s="395"/>
      <c r="F52" s="396"/>
      <c r="G52" s="396"/>
      <c r="H52" s="396">
        <v>42565</v>
      </c>
    </row>
    <row r="53" spans="1:8" ht="15" customHeight="1">
      <c r="A53" s="280" t="s">
        <v>89</v>
      </c>
      <c r="B53" s="280" t="s">
        <v>233</v>
      </c>
      <c r="C53" s="280" t="s">
        <v>540</v>
      </c>
      <c r="D53" s="395">
        <v>0</v>
      </c>
      <c r="E53" s="395"/>
      <c r="F53" s="396"/>
      <c r="G53" s="396"/>
      <c r="H53" s="396">
        <v>42565</v>
      </c>
    </row>
    <row r="54" spans="1:8" ht="15" customHeight="1">
      <c r="A54" s="280" t="s">
        <v>89</v>
      </c>
      <c r="B54" s="280" t="s">
        <v>231</v>
      </c>
      <c r="C54" s="280" t="s">
        <v>541</v>
      </c>
      <c r="D54" s="395">
        <v>0</v>
      </c>
      <c r="E54" s="395"/>
      <c r="F54" s="396"/>
      <c r="G54" s="396"/>
      <c r="H54" s="396">
        <v>42565</v>
      </c>
    </row>
    <row r="55" spans="1:8" ht="15" customHeight="1">
      <c r="A55" s="280" t="s">
        <v>89</v>
      </c>
      <c r="B55" s="280" t="s">
        <v>506</v>
      </c>
      <c r="C55" s="280" t="s">
        <v>542</v>
      </c>
      <c r="D55" s="395">
        <v>0</v>
      </c>
      <c r="E55" s="395"/>
      <c r="F55" s="396"/>
      <c r="G55" s="396"/>
      <c r="H55" s="396">
        <v>42565</v>
      </c>
    </row>
    <row r="56" spans="1:8" ht="15" customHeight="1">
      <c r="A56" s="280" t="s">
        <v>89</v>
      </c>
      <c r="B56" s="280" t="s">
        <v>232</v>
      </c>
      <c r="C56" s="280" t="s">
        <v>543</v>
      </c>
      <c r="D56" s="395">
        <v>0</v>
      </c>
      <c r="E56" s="395"/>
      <c r="F56" s="396"/>
      <c r="G56" s="396"/>
      <c r="H56" s="396">
        <v>42565</v>
      </c>
    </row>
    <row r="57" spans="1:8" ht="15" customHeight="1">
      <c r="A57" s="280" t="s">
        <v>90</v>
      </c>
      <c r="B57" s="280" t="s">
        <v>240</v>
      </c>
      <c r="C57" s="280" t="s">
        <v>355</v>
      </c>
      <c r="D57" s="395">
        <v>0</v>
      </c>
      <c r="E57" s="395"/>
      <c r="F57" s="396"/>
      <c r="G57" s="396"/>
      <c r="H57" s="396">
        <v>42308</v>
      </c>
    </row>
    <row r="58" spans="1:8" ht="15" customHeight="1">
      <c r="A58" s="280" t="s">
        <v>90</v>
      </c>
      <c r="B58" s="280" t="s">
        <v>497</v>
      </c>
      <c r="C58" s="280" t="s">
        <v>544</v>
      </c>
      <c r="D58" s="395">
        <v>0</v>
      </c>
      <c r="E58" s="395"/>
      <c r="F58" s="396"/>
      <c r="G58" s="396"/>
      <c r="H58" s="396">
        <v>42565</v>
      </c>
    </row>
    <row r="59" spans="1:8" ht="15" customHeight="1">
      <c r="A59" s="280" t="s">
        <v>90</v>
      </c>
      <c r="B59" s="280" t="s">
        <v>498</v>
      </c>
      <c r="C59" s="280" t="s">
        <v>545</v>
      </c>
      <c r="D59" s="395">
        <v>0</v>
      </c>
      <c r="E59" s="395"/>
      <c r="F59" s="396"/>
      <c r="G59" s="396"/>
      <c r="H59" s="396">
        <v>42565</v>
      </c>
    </row>
    <row r="60" spans="1:8" ht="15" customHeight="1">
      <c r="A60" s="280" t="s">
        <v>90</v>
      </c>
      <c r="B60" s="280" t="s">
        <v>505</v>
      </c>
      <c r="C60" s="280" t="s">
        <v>546</v>
      </c>
      <c r="D60" s="395">
        <v>0</v>
      </c>
      <c r="E60" s="395"/>
      <c r="F60" s="396"/>
      <c r="G60" s="396"/>
      <c r="H60" s="396">
        <v>42565</v>
      </c>
    </row>
    <row r="61" spans="1:8" ht="15" customHeight="1">
      <c r="A61" s="280" t="s">
        <v>90</v>
      </c>
      <c r="B61" s="280" t="s">
        <v>267</v>
      </c>
      <c r="C61" s="280" t="s">
        <v>547</v>
      </c>
      <c r="D61" s="395">
        <v>0</v>
      </c>
      <c r="E61" s="395"/>
      <c r="F61" s="396"/>
      <c r="G61" s="396"/>
      <c r="H61" s="396">
        <v>42565</v>
      </c>
    </row>
    <row r="62" spans="1:8" ht="15" customHeight="1">
      <c r="A62" s="280" t="s">
        <v>90</v>
      </c>
      <c r="B62" s="280" t="s">
        <v>241</v>
      </c>
      <c r="C62" s="280" t="s">
        <v>548</v>
      </c>
      <c r="D62" s="395">
        <v>0</v>
      </c>
      <c r="E62" s="395"/>
      <c r="F62" s="396"/>
      <c r="G62" s="396"/>
      <c r="H62" s="396">
        <v>42565</v>
      </c>
    </row>
    <row r="63" spans="1:8" ht="15" customHeight="1">
      <c r="A63" s="280" t="s">
        <v>90</v>
      </c>
      <c r="B63" s="280" t="s">
        <v>274</v>
      </c>
      <c r="C63" s="280" t="s">
        <v>549</v>
      </c>
      <c r="D63" s="395">
        <v>0</v>
      </c>
      <c r="E63" s="395"/>
      <c r="F63" s="396"/>
      <c r="G63" s="396"/>
      <c r="H63" s="396">
        <v>42565</v>
      </c>
    </row>
    <row r="64" spans="1:8" ht="15" customHeight="1">
      <c r="A64" s="280" t="s">
        <v>90</v>
      </c>
      <c r="B64" s="280" t="s">
        <v>242</v>
      </c>
      <c r="C64" s="280" t="s">
        <v>356</v>
      </c>
      <c r="D64" s="395">
        <v>0</v>
      </c>
      <c r="E64" s="395"/>
      <c r="F64" s="396"/>
      <c r="G64" s="396"/>
      <c r="H64" s="396">
        <v>42565</v>
      </c>
    </row>
    <row r="65" spans="1:8" ht="15" customHeight="1">
      <c r="A65" s="280" t="s">
        <v>90</v>
      </c>
      <c r="B65" s="280" t="s">
        <v>233</v>
      </c>
      <c r="C65" s="280" t="s">
        <v>550</v>
      </c>
      <c r="D65" s="395">
        <v>0</v>
      </c>
      <c r="E65" s="395"/>
      <c r="F65" s="396"/>
      <c r="G65" s="396"/>
      <c r="H65" s="396">
        <v>42565</v>
      </c>
    </row>
    <row r="66" spans="1:8" ht="15" customHeight="1">
      <c r="A66" s="280" t="s">
        <v>90</v>
      </c>
      <c r="B66" s="280" t="s">
        <v>231</v>
      </c>
      <c r="C66" s="280" t="s">
        <v>551</v>
      </c>
      <c r="D66" s="395">
        <v>0</v>
      </c>
      <c r="E66" s="395"/>
      <c r="F66" s="396"/>
      <c r="G66" s="396"/>
      <c r="H66" s="396">
        <v>42565</v>
      </c>
    </row>
    <row r="67" spans="1:8" ht="15" customHeight="1">
      <c r="A67" s="280" t="s">
        <v>90</v>
      </c>
      <c r="B67" s="280" t="s">
        <v>232</v>
      </c>
      <c r="C67" s="280" t="s">
        <v>552</v>
      </c>
      <c r="D67" s="395">
        <v>0</v>
      </c>
      <c r="E67" s="395"/>
      <c r="F67" s="396"/>
      <c r="G67" s="396"/>
      <c r="H67" s="396">
        <v>42565</v>
      </c>
    </row>
    <row r="68" spans="1:8" ht="15" customHeight="1">
      <c r="A68" s="280" t="s">
        <v>91</v>
      </c>
      <c r="B68" s="280" t="s">
        <v>240</v>
      </c>
      <c r="C68" s="280" t="s">
        <v>357</v>
      </c>
      <c r="D68" s="395">
        <v>0</v>
      </c>
      <c r="E68" s="395"/>
      <c r="F68" s="396"/>
      <c r="G68" s="396"/>
      <c r="H68" s="396">
        <v>42308</v>
      </c>
    </row>
    <row r="69" spans="1:8" ht="15" customHeight="1">
      <c r="A69" s="280" t="s">
        <v>91</v>
      </c>
      <c r="B69" s="280" t="s">
        <v>497</v>
      </c>
      <c r="C69" s="280" t="s">
        <v>553</v>
      </c>
      <c r="D69" s="395">
        <v>0</v>
      </c>
      <c r="E69" s="395"/>
      <c r="F69" s="396"/>
      <c r="G69" s="396"/>
      <c r="H69" s="396">
        <v>42565</v>
      </c>
    </row>
    <row r="70" spans="1:8" ht="15" customHeight="1">
      <c r="A70" s="280" t="s">
        <v>91</v>
      </c>
      <c r="B70" s="280" t="s">
        <v>498</v>
      </c>
      <c r="C70" s="280" t="s">
        <v>554</v>
      </c>
      <c r="D70" s="395">
        <v>0</v>
      </c>
      <c r="E70" s="395"/>
      <c r="F70" s="396"/>
      <c r="G70" s="396"/>
      <c r="H70" s="396">
        <v>42565</v>
      </c>
    </row>
    <row r="71" spans="1:8" ht="15" customHeight="1">
      <c r="A71" s="280" t="s">
        <v>91</v>
      </c>
      <c r="B71" s="280" t="s">
        <v>505</v>
      </c>
      <c r="C71" s="280" t="s">
        <v>555</v>
      </c>
      <c r="D71" s="395">
        <v>0</v>
      </c>
      <c r="E71" s="395"/>
      <c r="F71" s="396"/>
      <c r="G71" s="396"/>
      <c r="H71" s="396">
        <v>42565</v>
      </c>
    </row>
    <row r="72" spans="1:8" ht="15" customHeight="1">
      <c r="A72" s="280" t="s">
        <v>91</v>
      </c>
      <c r="B72" s="280" t="s">
        <v>412</v>
      </c>
      <c r="C72" s="280" t="s">
        <v>415</v>
      </c>
      <c r="D72" s="395">
        <v>0</v>
      </c>
      <c r="E72" s="395"/>
      <c r="F72" s="396"/>
      <c r="G72" s="396"/>
      <c r="H72" s="396">
        <v>42565</v>
      </c>
    </row>
    <row r="73" spans="1:8" ht="15" customHeight="1">
      <c r="A73" s="280" t="s">
        <v>91</v>
      </c>
      <c r="B73" s="280" t="s">
        <v>231</v>
      </c>
      <c r="C73" s="280" t="s">
        <v>556</v>
      </c>
      <c r="D73" s="395">
        <v>0</v>
      </c>
      <c r="E73" s="395"/>
      <c r="F73" s="396"/>
      <c r="G73" s="396"/>
      <c r="H73" s="396">
        <v>42565</v>
      </c>
    </row>
    <row r="74" spans="1:8" ht="15" customHeight="1">
      <c r="A74" s="280" t="s">
        <v>91</v>
      </c>
      <c r="B74" s="280" t="s">
        <v>506</v>
      </c>
      <c r="C74" s="280" t="s">
        <v>557</v>
      </c>
      <c r="D74" s="395">
        <v>0</v>
      </c>
      <c r="E74" s="395"/>
      <c r="F74" s="396"/>
      <c r="G74" s="396"/>
      <c r="H74" s="396">
        <v>42565</v>
      </c>
    </row>
    <row r="75" spans="1:8" ht="15" customHeight="1">
      <c r="A75" s="280" t="s">
        <v>91</v>
      </c>
      <c r="B75" s="280" t="s">
        <v>232</v>
      </c>
      <c r="C75" s="280" t="s">
        <v>558</v>
      </c>
      <c r="D75" s="395">
        <v>0</v>
      </c>
      <c r="E75" s="395"/>
      <c r="F75" s="396"/>
      <c r="G75" s="396"/>
      <c r="H75" s="396">
        <v>42565</v>
      </c>
    </row>
    <row r="76" spans="1:8" ht="15" customHeight="1">
      <c r="A76" s="280" t="s">
        <v>78</v>
      </c>
      <c r="B76" s="280" t="s">
        <v>240</v>
      </c>
      <c r="C76" s="280" t="s">
        <v>358</v>
      </c>
      <c r="D76" s="395">
        <v>0</v>
      </c>
      <c r="E76" s="395"/>
      <c r="F76" s="396"/>
      <c r="G76" s="396"/>
      <c r="H76" s="396">
        <v>42308</v>
      </c>
    </row>
    <row r="77" spans="1:8" ht="15" customHeight="1">
      <c r="A77" s="280" t="s">
        <v>78</v>
      </c>
      <c r="B77" s="280" t="s">
        <v>497</v>
      </c>
      <c r="C77" s="280" t="s">
        <v>559</v>
      </c>
      <c r="D77" s="395">
        <v>0</v>
      </c>
      <c r="E77" s="395"/>
      <c r="F77" s="396"/>
      <c r="G77" s="396"/>
      <c r="H77" s="396">
        <v>42565</v>
      </c>
    </row>
    <row r="78" spans="1:8" ht="15" customHeight="1">
      <c r="A78" s="280" t="s">
        <v>78</v>
      </c>
      <c r="B78" s="280" t="s">
        <v>498</v>
      </c>
      <c r="C78" s="280" t="s">
        <v>560</v>
      </c>
      <c r="D78" s="395">
        <v>0</v>
      </c>
      <c r="E78" s="395"/>
      <c r="F78" s="396"/>
      <c r="G78" s="396"/>
      <c r="H78" s="396">
        <v>42565</v>
      </c>
    </row>
    <row r="79" spans="1:8" ht="15" customHeight="1">
      <c r="A79" s="280" t="s">
        <v>78</v>
      </c>
      <c r="B79" s="280" t="s">
        <v>505</v>
      </c>
      <c r="C79" s="280" t="s">
        <v>561</v>
      </c>
      <c r="D79" s="395">
        <v>0</v>
      </c>
      <c r="E79" s="395"/>
      <c r="F79" s="396"/>
      <c r="G79" s="396"/>
      <c r="H79" s="396">
        <v>42565</v>
      </c>
    </row>
    <row r="80" spans="1:8" ht="15" customHeight="1">
      <c r="A80" s="280" t="s">
        <v>78</v>
      </c>
      <c r="B80" s="280" t="s">
        <v>231</v>
      </c>
      <c r="C80" s="280" t="s">
        <v>562</v>
      </c>
      <c r="D80" s="395">
        <v>0</v>
      </c>
      <c r="E80" s="395"/>
      <c r="F80" s="396"/>
      <c r="G80" s="396"/>
      <c r="H80" s="396">
        <v>42565</v>
      </c>
    </row>
    <row r="81" spans="1:8" ht="15" customHeight="1">
      <c r="A81" s="280" t="s">
        <v>78</v>
      </c>
      <c r="B81" s="280" t="s">
        <v>506</v>
      </c>
      <c r="C81" s="280" t="s">
        <v>563</v>
      </c>
      <c r="D81" s="395">
        <v>0</v>
      </c>
      <c r="E81" s="395"/>
      <c r="F81" s="396"/>
      <c r="G81" s="396"/>
      <c r="H81" s="396">
        <v>42565</v>
      </c>
    </row>
    <row r="82" spans="1:8" ht="15" customHeight="1">
      <c r="A82" s="280" t="s">
        <v>78</v>
      </c>
      <c r="B82" s="280" t="s">
        <v>232</v>
      </c>
      <c r="C82" s="280" t="s">
        <v>564</v>
      </c>
      <c r="D82" s="395">
        <v>0</v>
      </c>
      <c r="E82" s="395"/>
      <c r="F82" s="396"/>
      <c r="G82" s="396"/>
      <c r="H82" s="396">
        <v>42565</v>
      </c>
    </row>
    <row r="83" spans="1:8" ht="15" customHeight="1">
      <c r="A83" s="280" t="s">
        <v>79</v>
      </c>
      <c r="B83" s="280" t="s">
        <v>240</v>
      </c>
      <c r="C83" s="280" t="s">
        <v>360</v>
      </c>
      <c r="D83" s="395">
        <v>0</v>
      </c>
      <c r="E83" s="395"/>
      <c r="F83" s="396"/>
      <c r="G83" s="396"/>
      <c r="H83" s="396">
        <v>42308</v>
      </c>
    </row>
    <row r="84" spans="1:8" ht="15" customHeight="1">
      <c r="A84" s="280" t="s">
        <v>79</v>
      </c>
      <c r="B84" s="280" t="s">
        <v>497</v>
      </c>
      <c r="C84" s="280" t="s">
        <v>565</v>
      </c>
      <c r="D84" s="395">
        <v>0</v>
      </c>
      <c r="E84" s="395"/>
      <c r="F84" s="396"/>
      <c r="G84" s="396"/>
      <c r="H84" s="396">
        <v>42565</v>
      </c>
    </row>
    <row r="85" spans="1:8" ht="15" customHeight="1">
      <c r="A85" s="280" t="s">
        <v>79</v>
      </c>
      <c r="B85" s="280" t="s">
        <v>498</v>
      </c>
      <c r="C85" s="280" t="s">
        <v>566</v>
      </c>
      <c r="D85" s="395">
        <v>0</v>
      </c>
      <c r="E85" s="395"/>
      <c r="F85" s="396"/>
      <c r="G85" s="396"/>
      <c r="H85" s="396">
        <v>42565</v>
      </c>
    </row>
    <row r="86" spans="1:8" ht="15" customHeight="1">
      <c r="A86" s="280" t="s">
        <v>79</v>
      </c>
      <c r="B86" s="280" t="s">
        <v>505</v>
      </c>
      <c r="C86" s="280" t="s">
        <v>567</v>
      </c>
      <c r="D86" s="395">
        <v>0</v>
      </c>
      <c r="E86" s="395"/>
      <c r="F86" s="396"/>
      <c r="G86" s="396"/>
      <c r="H86" s="396">
        <v>42565</v>
      </c>
    </row>
    <row r="87" spans="1:8" ht="15" customHeight="1">
      <c r="A87" s="280" t="s">
        <v>79</v>
      </c>
      <c r="B87" s="280" t="s">
        <v>267</v>
      </c>
      <c r="C87" s="280" t="s">
        <v>568</v>
      </c>
      <c r="D87" s="395">
        <v>0</v>
      </c>
      <c r="E87" s="395"/>
      <c r="F87" s="396"/>
      <c r="G87" s="396"/>
      <c r="H87" s="396">
        <v>42565</v>
      </c>
    </row>
    <row r="88" spans="1:8" ht="15" customHeight="1">
      <c r="A88" s="280" t="s">
        <v>79</v>
      </c>
      <c r="B88" s="280" t="s">
        <v>241</v>
      </c>
      <c r="C88" s="280" t="s">
        <v>569</v>
      </c>
      <c r="D88" s="395">
        <v>0</v>
      </c>
      <c r="E88" s="395"/>
      <c r="F88" s="396"/>
      <c r="G88" s="396"/>
      <c r="H88" s="396">
        <v>42565</v>
      </c>
    </row>
    <row r="89" spans="1:8" ht="15" customHeight="1">
      <c r="A89" s="280" t="s">
        <v>79</v>
      </c>
      <c r="B89" s="280" t="s">
        <v>242</v>
      </c>
      <c r="C89" s="280" t="s">
        <v>361</v>
      </c>
      <c r="D89" s="395">
        <v>0</v>
      </c>
      <c r="E89" s="395"/>
      <c r="F89" s="396"/>
      <c r="G89" s="396"/>
      <c r="H89" s="396">
        <v>42565</v>
      </c>
    </row>
    <row r="90" spans="1:8" ht="15" customHeight="1">
      <c r="A90" s="280" t="s">
        <v>79</v>
      </c>
      <c r="B90" s="280" t="s">
        <v>244</v>
      </c>
      <c r="C90" s="280" t="s">
        <v>570</v>
      </c>
      <c r="D90" s="395">
        <v>0</v>
      </c>
      <c r="E90" s="395"/>
      <c r="F90" s="396"/>
      <c r="G90" s="396"/>
      <c r="H90" s="396">
        <v>42565</v>
      </c>
    </row>
    <row r="91" spans="1:8" ht="15" customHeight="1">
      <c r="A91" s="280" t="s">
        <v>79</v>
      </c>
      <c r="B91" s="280" t="s">
        <v>233</v>
      </c>
      <c r="C91" s="280" t="s">
        <v>571</v>
      </c>
      <c r="D91" s="395">
        <v>0</v>
      </c>
      <c r="E91" s="395"/>
      <c r="F91" s="396"/>
      <c r="G91" s="396"/>
      <c r="H91" s="396">
        <v>42565</v>
      </c>
    </row>
    <row r="92" spans="1:8" ht="15" customHeight="1">
      <c r="A92" s="280" t="s">
        <v>79</v>
      </c>
      <c r="B92" s="280" t="s">
        <v>231</v>
      </c>
      <c r="C92" s="280" t="s">
        <v>572</v>
      </c>
      <c r="D92" s="395">
        <v>0</v>
      </c>
      <c r="E92" s="395"/>
      <c r="F92" s="396"/>
      <c r="G92" s="396"/>
      <c r="H92" s="396">
        <v>42565</v>
      </c>
    </row>
    <row r="93" spans="1:8" ht="15" customHeight="1">
      <c r="A93" s="280" t="s">
        <v>79</v>
      </c>
      <c r="B93" s="280" t="s">
        <v>232</v>
      </c>
      <c r="C93" s="280" t="s">
        <v>573</v>
      </c>
      <c r="D93" s="395">
        <v>0</v>
      </c>
      <c r="E93" s="395"/>
      <c r="F93" s="396"/>
      <c r="G93" s="396"/>
      <c r="H93" s="396">
        <v>42565</v>
      </c>
    </row>
    <row r="94" spans="1:8" ht="15" customHeight="1">
      <c r="A94" s="280" t="s">
        <v>92</v>
      </c>
      <c r="B94" s="280" t="s">
        <v>240</v>
      </c>
      <c r="C94" s="280" t="s">
        <v>362</v>
      </c>
      <c r="D94" s="395">
        <v>0</v>
      </c>
      <c r="E94" s="395"/>
      <c r="F94" s="396"/>
      <c r="G94" s="396"/>
      <c r="H94" s="396">
        <v>42308</v>
      </c>
    </row>
    <row r="95" spans="1:8" ht="15" customHeight="1">
      <c r="A95" s="280" t="s">
        <v>92</v>
      </c>
      <c r="B95" s="280" t="s">
        <v>497</v>
      </c>
      <c r="C95" s="280" t="s">
        <v>574</v>
      </c>
      <c r="D95" s="395">
        <v>0</v>
      </c>
      <c r="E95" s="395"/>
      <c r="F95" s="396"/>
      <c r="G95" s="396"/>
      <c r="H95" s="396">
        <v>42565</v>
      </c>
    </row>
    <row r="96" spans="1:8" ht="15" customHeight="1">
      <c r="A96" s="280" t="s">
        <v>92</v>
      </c>
      <c r="B96" s="280" t="s">
        <v>498</v>
      </c>
      <c r="C96" s="280" t="s">
        <v>575</v>
      </c>
      <c r="D96" s="395">
        <v>0</v>
      </c>
      <c r="E96" s="395"/>
      <c r="F96" s="396"/>
      <c r="G96" s="396"/>
      <c r="H96" s="396">
        <v>42565</v>
      </c>
    </row>
    <row r="97" spans="1:8" ht="15" customHeight="1">
      <c r="A97" s="280" t="s">
        <v>92</v>
      </c>
      <c r="B97" s="280" t="s">
        <v>505</v>
      </c>
      <c r="C97" s="280" t="s">
        <v>576</v>
      </c>
      <c r="D97" s="395">
        <v>0</v>
      </c>
      <c r="E97" s="395"/>
      <c r="F97" s="396"/>
      <c r="G97" s="396"/>
      <c r="H97" s="396">
        <v>42565</v>
      </c>
    </row>
    <row r="98" spans="1:8" ht="15" customHeight="1">
      <c r="A98" s="280" t="s">
        <v>92</v>
      </c>
      <c r="B98" s="280" t="s">
        <v>241</v>
      </c>
      <c r="C98" s="280" t="s">
        <v>577</v>
      </c>
      <c r="D98" s="395">
        <v>0</v>
      </c>
      <c r="E98" s="395"/>
      <c r="F98" s="396"/>
      <c r="G98" s="396"/>
      <c r="H98" s="396">
        <v>42565</v>
      </c>
    </row>
    <row r="99" spans="1:8" ht="15" customHeight="1">
      <c r="A99" s="280" t="s">
        <v>92</v>
      </c>
      <c r="B99" s="280" t="s">
        <v>235</v>
      </c>
      <c r="C99" s="280" t="s">
        <v>578</v>
      </c>
      <c r="D99" s="395">
        <v>0</v>
      </c>
      <c r="E99" s="395"/>
      <c r="F99" s="396"/>
      <c r="G99" s="396"/>
      <c r="H99" s="396">
        <v>42766</v>
      </c>
    </row>
    <row r="100" spans="1:8" ht="15" customHeight="1">
      <c r="A100" s="280" t="s">
        <v>92</v>
      </c>
      <c r="B100" s="280" t="s">
        <v>235</v>
      </c>
      <c r="C100" s="280" t="s">
        <v>579</v>
      </c>
      <c r="D100" s="395">
        <v>0</v>
      </c>
      <c r="E100" s="395"/>
      <c r="F100" s="396"/>
      <c r="G100" s="396"/>
      <c r="H100" s="396">
        <v>42565</v>
      </c>
    </row>
    <row r="101" spans="1:8" ht="15" customHeight="1">
      <c r="A101" s="280" t="s">
        <v>92</v>
      </c>
      <c r="B101" s="280" t="s">
        <v>233</v>
      </c>
      <c r="C101" s="280" t="s">
        <v>580</v>
      </c>
      <c r="D101" s="395">
        <v>0</v>
      </c>
      <c r="E101" s="395"/>
      <c r="F101" s="396"/>
      <c r="G101" s="396"/>
      <c r="H101" s="396">
        <v>42565</v>
      </c>
    </row>
    <row r="102" spans="1:8" ht="15" customHeight="1">
      <c r="A102" s="280" t="s">
        <v>92</v>
      </c>
      <c r="B102" s="280" t="s">
        <v>359</v>
      </c>
      <c r="C102" s="280" t="s">
        <v>581</v>
      </c>
      <c r="D102" s="395">
        <v>0</v>
      </c>
      <c r="E102" s="395"/>
      <c r="F102" s="396"/>
      <c r="G102" s="396"/>
      <c r="H102" s="396">
        <v>42565</v>
      </c>
    </row>
    <row r="103" spans="1:8" ht="15" customHeight="1">
      <c r="A103" s="280" t="s">
        <v>92</v>
      </c>
      <c r="B103" s="280" t="s">
        <v>231</v>
      </c>
      <c r="C103" s="280" t="s">
        <v>582</v>
      </c>
      <c r="D103" s="395">
        <v>0</v>
      </c>
      <c r="E103" s="395"/>
      <c r="F103" s="396"/>
      <c r="G103" s="396"/>
      <c r="H103" s="396">
        <v>42565</v>
      </c>
    </row>
    <row r="104" spans="1:8" ht="15" customHeight="1">
      <c r="A104" s="280" t="s">
        <v>92</v>
      </c>
      <c r="B104" s="280" t="s">
        <v>506</v>
      </c>
      <c r="C104" s="280" t="s">
        <v>583</v>
      </c>
      <c r="D104" s="395">
        <v>0</v>
      </c>
      <c r="E104" s="395"/>
      <c r="F104" s="396"/>
      <c r="G104" s="396"/>
      <c r="H104" s="396">
        <v>42565</v>
      </c>
    </row>
    <row r="105" spans="1:8" ht="15" customHeight="1">
      <c r="A105" s="280" t="s">
        <v>92</v>
      </c>
      <c r="B105" s="280" t="s">
        <v>232</v>
      </c>
      <c r="C105" s="280" t="s">
        <v>584</v>
      </c>
      <c r="D105" s="395">
        <v>0</v>
      </c>
      <c r="E105" s="395"/>
      <c r="F105" s="396"/>
      <c r="G105" s="396"/>
      <c r="H105" s="396">
        <v>42565</v>
      </c>
    </row>
    <row r="106" spans="1:8" ht="15" customHeight="1">
      <c r="A106" s="280" t="s">
        <v>93</v>
      </c>
      <c r="B106" s="280" t="s">
        <v>240</v>
      </c>
      <c r="C106" s="280" t="s">
        <v>363</v>
      </c>
      <c r="D106" s="395">
        <v>0</v>
      </c>
      <c r="E106" s="395"/>
      <c r="F106" s="396"/>
      <c r="G106" s="396"/>
      <c r="H106" s="396">
        <v>42308</v>
      </c>
    </row>
    <row r="107" spans="1:8" ht="15" customHeight="1">
      <c r="A107" s="280" t="s">
        <v>93</v>
      </c>
      <c r="B107" s="280" t="s">
        <v>498</v>
      </c>
      <c r="C107" s="280" t="s">
        <v>585</v>
      </c>
      <c r="D107" s="395">
        <v>0</v>
      </c>
      <c r="E107" s="395"/>
      <c r="F107" s="396"/>
      <c r="G107" s="396"/>
      <c r="H107" s="396">
        <v>42565</v>
      </c>
    </row>
    <row r="108" spans="1:8" ht="15" customHeight="1">
      <c r="A108" s="280" t="s">
        <v>93</v>
      </c>
      <c r="B108" s="280" t="s">
        <v>505</v>
      </c>
      <c r="C108" s="280" t="s">
        <v>586</v>
      </c>
      <c r="D108" s="395">
        <v>0</v>
      </c>
      <c r="E108" s="395"/>
      <c r="F108" s="396"/>
      <c r="G108" s="396"/>
      <c r="H108" s="396">
        <v>42565</v>
      </c>
    </row>
    <row r="109" spans="1:8" ht="15" customHeight="1">
      <c r="A109" s="280" t="s">
        <v>93</v>
      </c>
      <c r="B109" s="280" t="s">
        <v>412</v>
      </c>
      <c r="C109" s="280" t="s">
        <v>416</v>
      </c>
      <c r="D109" s="395">
        <v>0</v>
      </c>
      <c r="E109" s="395"/>
      <c r="F109" s="396"/>
      <c r="G109" s="396"/>
      <c r="H109" s="396">
        <v>42565</v>
      </c>
    </row>
    <row r="110" spans="1:8" ht="15" customHeight="1">
      <c r="A110" s="280" t="s">
        <v>93</v>
      </c>
      <c r="B110" s="280" t="s">
        <v>267</v>
      </c>
      <c r="C110" s="280" t="s">
        <v>587</v>
      </c>
      <c r="D110" s="395">
        <v>0</v>
      </c>
      <c r="E110" s="395"/>
      <c r="F110" s="396"/>
      <c r="G110" s="396"/>
      <c r="H110" s="396">
        <v>42565</v>
      </c>
    </row>
    <row r="111" spans="1:8" ht="15" customHeight="1">
      <c r="A111" s="280" t="s">
        <v>93</v>
      </c>
      <c r="B111" s="280" t="s">
        <v>242</v>
      </c>
      <c r="C111" s="280" t="s">
        <v>364</v>
      </c>
      <c r="D111" s="395">
        <v>0</v>
      </c>
      <c r="E111" s="395"/>
      <c r="F111" s="396"/>
      <c r="G111" s="396"/>
      <c r="H111" s="396">
        <v>42565</v>
      </c>
    </row>
    <row r="112" spans="1:8" ht="15" customHeight="1">
      <c r="A112" s="280" t="s">
        <v>93</v>
      </c>
      <c r="B112" s="280" t="s">
        <v>235</v>
      </c>
      <c r="C112" s="280" t="s">
        <v>588</v>
      </c>
      <c r="D112" s="395">
        <v>0</v>
      </c>
      <c r="E112" s="395"/>
      <c r="F112" s="396"/>
      <c r="G112" s="396"/>
      <c r="H112" s="396">
        <v>42308</v>
      </c>
    </row>
    <row r="113" spans="1:8" ht="15" customHeight="1">
      <c r="A113" s="280" t="s">
        <v>93</v>
      </c>
      <c r="B113" s="280" t="s">
        <v>233</v>
      </c>
      <c r="C113" s="280" t="s">
        <v>589</v>
      </c>
      <c r="D113" s="395">
        <v>0</v>
      </c>
      <c r="E113" s="395"/>
      <c r="F113" s="396"/>
      <c r="G113" s="396"/>
      <c r="H113" s="396">
        <v>42565</v>
      </c>
    </row>
    <row r="114" spans="1:8" ht="15" customHeight="1">
      <c r="A114" s="280" t="s">
        <v>93</v>
      </c>
      <c r="B114" s="280" t="s">
        <v>231</v>
      </c>
      <c r="C114" s="280" t="s">
        <v>590</v>
      </c>
      <c r="D114" s="395">
        <v>0</v>
      </c>
      <c r="E114" s="395"/>
      <c r="F114" s="396"/>
      <c r="G114" s="396"/>
      <c r="H114" s="396">
        <v>42565</v>
      </c>
    </row>
    <row r="115" spans="1:8" ht="15" customHeight="1">
      <c r="A115" s="280" t="s">
        <v>93</v>
      </c>
      <c r="B115" s="280" t="s">
        <v>232</v>
      </c>
      <c r="C115" s="280" t="s">
        <v>591</v>
      </c>
      <c r="D115" s="395">
        <v>0</v>
      </c>
      <c r="E115" s="395"/>
      <c r="F115" s="396"/>
      <c r="G115" s="396"/>
      <c r="H115" s="396">
        <v>42565</v>
      </c>
    </row>
    <row r="116" spans="1:8" ht="15" customHeight="1">
      <c r="A116" s="280" t="s">
        <v>435</v>
      </c>
      <c r="B116" s="280" t="s">
        <v>240</v>
      </c>
      <c r="C116" s="280" t="s">
        <v>365</v>
      </c>
      <c r="D116" s="395">
        <v>0</v>
      </c>
      <c r="E116" s="395"/>
      <c r="F116" s="396"/>
      <c r="G116" s="396"/>
      <c r="H116" s="396">
        <v>42308</v>
      </c>
    </row>
    <row r="117" spans="1:8" ht="15" customHeight="1">
      <c r="A117" s="280" t="s">
        <v>435</v>
      </c>
      <c r="B117" s="280" t="s">
        <v>497</v>
      </c>
      <c r="C117" s="280" t="s">
        <v>592</v>
      </c>
      <c r="D117" s="395">
        <v>0</v>
      </c>
      <c r="E117" s="395"/>
      <c r="F117" s="396"/>
      <c r="G117" s="396"/>
      <c r="H117" s="396">
        <v>42565</v>
      </c>
    </row>
    <row r="118" spans="1:8" ht="15" customHeight="1">
      <c r="A118" s="280" t="s">
        <v>435</v>
      </c>
      <c r="B118" s="280" t="s">
        <v>498</v>
      </c>
      <c r="C118" s="280" t="s">
        <v>593</v>
      </c>
      <c r="D118" s="395">
        <v>0</v>
      </c>
      <c r="E118" s="395"/>
      <c r="F118" s="396"/>
      <c r="G118" s="396"/>
      <c r="H118" s="396">
        <v>42565</v>
      </c>
    </row>
    <row r="119" spans="1:8" ht="15" customHeight="1">
      <c r="A119" s="280" t="s">
        <v>435</v>
      </c>
      <c r="B119" s="280" t="s">
        <v>505</v>
      </c>
      <c r="C119" s="280" t="s">
        <v>594</v>
      </c>
      <c r="D119" s="395">
        <v>0</v>
      </c>
      <c r="E119" s="395"/>
      <c r="F119" s="396"/>
      <c r="G119" s="396"/>
      <c r="H119" s="396">
        <v>42565</v>
      </c>
    </row>
    <row r="120" spans="1:8" ht="15" customHeight="1">
      <c r="A120" s="280" t="s">
        <v>435</v>
      </c>
      <c r="B120" s="280" t="s">
        <v>412</v>
      </c>
      <c r="C120" s="280" t="s">
        <v>417</v>
      </c>
      <c r="D120" s="395">
        <v>0</v>
      </c>
      <c r="E120" s="395"/>
      <c r="F120" s="396"/>
      <c r="G120" s="396"/>
      <c r="H120" s="396">
        <v>42565</v>
      </c>
    </row>
    <row r="121" spans="1:8" ht="15" customHeight="1">
      <c r="A121" s="280" t="s">
        <v>435</v>
      </c>
      <c r="B121" s="280" t="s">
        <v>241</v>
      </c>
      <c r="C121" s="280" t="s">
        <v>595</v>
      </c>
      <c r="D121" s="395">
        <v>0</v>
      </c>
      <c r="E121" s="395"/>
      <c r="F121" s="396"/>
      <c r="G121" s="396"/>
      <c r="H121" s="396">
        <v>42565</v>
      </c>
    </row>
    <row r="122" spans="1:8" ht="15" customHeight="1">
      <c r="A122" s="280" t="s">
        <v>435</v>
      </c>
      <c r="B122" s="280" t="s">
        <v>242</v>
      </c>
      <c r="C122" s="280" t="s">
        <v>366</v>
      </c>
      <c r="D122" s="395">
        <v>0</v>
      </c>
      <c r="E122" s="395"/>
      <c r="F122" s="396"/>
      <c r="G122" s="396"/>
      <c r="H122" s="396">
        <v>42565</v>
      </c>
    </row>
    <row r="123" spans="1:8" ht="15" customHeight="1">
      <c r="A123" s="280" t="s">
        <v>435</v>
      </c>
      <c r="B123" s="280" t="s">
        <v>269</v>
      </c>
      <c r="C123" s="280" t="s">
        <v>596</v>
      </c>
      <c r="D123" s="395">
        <v>0</v>
      </c>
      <c r="E123" s="395"/>
      <c r="F123" s="396"/>
      <c r="G123" s="396"/>
      <c r="H123" s="396">
        <v>42931</v>
      </c>
    </row>
    <row r="124" spans="1:8" ht="15" customHeight="1">
      <c r="A124" s="280" t="s">
        <v>435</v>
      </c>
      <c r="B124" s="280" t="s">
        <v>269</v>
      </c>
      <c r="C124" s="280" t="s">
        <v>597</v>
      </c>
      <c r="D124" s="395">
        <v>0</v>
      </c>
      <c r="E124" s="395"/>
      <c r="F124" s="396"/>
      <c r="G124" s="396"/>
      <c r="H124" s="396">
        <v>42931</v>
      </c>
    </row>
    <row r="125" spans="1:8" ht="15" customHeight="1">
      <c r="A125" s="280" t="s">
        <v>435</v>
      </c>
      <c r="B125" s="280" t="s">
        <v>269</v>
      </c>
      <c r="C125" s="280" t="s">
        <v>598</v>
      </c>
      <c r="D125" s="395">
        <v>0</v>
      </c>
      <c r="E125" s="395"/>
      <c r="F125" s="396"/>
      <c r="G125" s="396"/>
      <c r="H125" s="396">
        <v>42931</v>
      </c>
    </row>
    <row r="126" spans="1:8" ht="15" customHeight="1">
      <c r="A126" s="280" t="s">
        <v>435</v>
      </c>
      <c r="B126" s="280" t="s">
        <v>269</v>
      </c>
      <c r="C126" s="280" t="s">
        <v>599</v>
      </c>
      <c r="D126" s="395">
        <v>0</v>
      </c>
      <c r="E126" s="395"/>
      <c r="F126" s="396"/>
      <c r="G126" s="396"/>
      <c r="H126" s="396">
        <v>42931</v>
      </c>
    </row>
    <row r="127" spans="1:8" ht="15" customHeight="1">
      <c r="A127" s="280" t="s">
        <v>435</v>
      </c>
      <c r="B127" s="280" t="s">
        <v>269</v>
      </c>
      <c r="C127" s="280" t="s">
        <v>600</v>
      </c>
      <c r="D127" s="395">
        <v>0</v>
      </c>
      <c r="E127" s="395"/>
      <c r="F127" s="396"/>
      <c r="G127" s="396"/>
      <c r="H127" s="396">
        <v>42931</v>
      </c>
    </row>
    <row r="128" spans="1:8" ht="15" customHeight="1">
      <c r="A128" s="280" t="s">
        <v>435</v>
      </c>
      <c r="B128" s="280" t="s">
        <v>231</v>
      </c>
      <c r="C128" s="280" t="s">
        <v>601</v>
      </c>
      <c r="D128" s="395">
        <v>0</v>
      </c>
      <c r="E128" s="395"/>
      <c r="F128" s="396"/>
      <c r="G128" s="396"/>
      <c r="H128" s="396">
        <v>42565</v>
      </c>
    </row>
    <row r="129" spans="1:8" ht="15" customHeight="1">
      <c r="A129" s="280" t="s">
        <v>435</v>
      </c>
      <c r="B129" s="280" t="s">
        <v>354</v>
      </c>
      <c r="C129" s="280" t="s">
        <v>602</v>
      </c>
      <c r="D129" s="395">
        <v>0</v>
      </c>
      <c r="E129" s="395"/>
      <c r="F129" s="396"/>
      <c r="G129" s="396"/>
      <c r="H129" s="396">
        <v>42565</v>
      </c>
    </row>
    <row r="130" spans="1:8" ht="15" customHeight="1">
      <c r="A130" s="280" t="s">
        <v>435</v>
      </c>
      <c r="B130" s="280" t="s">
        <v>429</v>
      </c>
      <c r="C130" s="280" t="s">
        <v>431</v>
      </c>
      <c r="D130" s="395">
        <v>0</v>
      </c>
      <c r="E130" s="395"/>
      <c r="F130" s="396"/>
      <c r="G130" s="396"/>
      <c r="H130" s="396">
        <v>42308</v>
      </c>
    </row>
    <row r="131" spans="1:8" ht="15" customHeight="1">
      <c r="A131" s="280" t="s">
        <v>435</v>
      </c>
      <c r="B131" s="280" t="s">
        <v>232</v>
      </c>
      <c r="C131" s="280" t="s">
        <v>603</v>
      </c>
      <c r="D131" s="395">
        <v>0</v>
      </c>
      <c r="E131" s="395"/>
      <c r="F131" s="396"/>
      <c r="G131" s="396"/>
      <c r="H131" s="396">
        <v>42565</v>
      </c>
    </row>
    <row r="132" spans="1:8" ht="15" customHeight="1">
      <c r="A132" s="280" t="s">
        <v>392</v>
      </c>
      <c r="B132" s="280" t="s">
        <v>240</v>
      </c>
      <c r="C132" s="280" t="s">
        <v>367</v>
      </c>
      <c r="D132" s="395">
        <v>0</v>
      </c>
      <c r="E132" s="395"/>
      <c r="F132" s="396"/>
      <c r="G132" s="396"/>
      <c r="H132" s="396">
        <v>42308</v>
      </c>
    </row>
    <row r="133" spans="1:8" ht="15" customHeight="1">
      <c r="A133" s="280" t="s">
        <v>392</v>
      </c>
      <c r="B133" s="280" t="s">
        <v>497</v>
      </c>
      <c r="C133" s="280" t="s">
        <v>604</v>
      </c>
      <c r="D133" s="395">
        <v>0</v>
      </c>
      <c r="E133" s="395"/>
      <c r="F133" s="396"/>
      <c r="G133" s="396"/>
      <c r="H133" s="396">
        <v>42565</v>
      </c>
    </row>
    <row r="134" spans="1:8" ht="15" customHeight="1">
      <c r="A134" s="280" t="s">
        <v>392</v>
      </c>
      <c r="B134" s="280" t="s">
        <v>498</v>
      </c>
      <c r="C134" s="280" t="s">
        <v>605</v>
      </c>
      <c r="D134" s="395">
        <v>0</v>
      </c>
      <c r="E134" s="395"/>
      <c r="F134" s="396"/>
      <c r="G134" s="396"/>
      <c r="H134" s="396">
        <v>42565</v>
      </c>
    </row>
    <row r="135" spans="1:8" ht="15" customHeight="1">
      <c r="A135" s="280" t="s">
        <v>392</v>
      </c>
      <c r="B135" s="280" t="s">
        <v>505</v>
      </c>
      <c r="C135" s="280" t="s">
        <v>606</v>
      </c>
      <c r="D135" s="395">
        <v>0</v>
      </c>
      <c r="E135" s="395"/>
      <c r="F135" s="396"/>
      <c r="G135" s="396"/>
      <c r="H135" s="396">
        <v>42565</v>
      </c>
    </row>
    <row r="136" spans="1:8" ht="15" customHeight="1">
      <c r="A136" s="280" t="s">
        <v>392</v>
      </c>
      <c r="B136" s="280" t="s">
        <v>412</v>
      </c>
      <c r="C136" s="280" t="s">
        <v>418</v>
      </c>
      <c r="D136" s="395">
        <v>0</v>
      </c>
      <c r="E136" s="395"/>
      <c r="F136" s="396"/>
      <c r="G136" s="396"/>
      <c r="H136" s="396">
        <v>42565</v>
      </c>
    </row>
    <row r="137" spans="1:8" ht="15" customHeight="1">
      <c r="A137" s="280" t="s">
        <v>392</v>
      </c>
      <c r="B137" s="280" t="s">
        <v>241</v>
      </c>
      <c r="C137" s="280" t="s">
        <v>607</v>
      </c>
      <c r="D137" s="395">
        <v>0</v>
      </c>
      <c r="E137" s="395"/>
      <c r="F137" s="396"/>
      <c r="G137" s="396"/>
      <c r="H137" s="396">
        <v>42565</v>
      </c>
    </row>
    <row r="138" spans="1:8" ht="15" customHeight="1">
      <c r="A138" s="280" t="s">
        <v>392</v>
      </c>
      <c r="B138" s="280" t="s">
        <v>274</v>
      </c>
      <c r="C138" s="280" t="s">
        <v>608</v>
      </c>
      <c r="D138" s="395">
        <v>0</v>
      </c>
      <c r="E138" s="395"/>
      <c r="F138" s="396"/>
      <c r="G138" s="396"/>
      <c r="H138" s="396">
        <v>42565</v>
      </c>
    </row>
    <row r="139" spans="1:8" ht="15" customHeight="1">
      <c r="A139" s="280" t="s">
        <v>392</v>
      </c>
      <c r="B139" s="280" t="s">
        <v>274</v>
      </c>
      <c r="C139" s="280" t="s">
        <v>609</v>
      </c>
      <c r="D139" s="395">
        <v>0</v>
      </c>
      <c r="E139" s="395"/>
      <c r="F139" s="396"/>
      <c r="G139" s="396"/>
      <c r="H139" s="396">
        <v>42565</v>
      </c>
    </row>
    <row r="140" spans="1:8" ht="15" customHeight="1">
      <c r="A140" s="280" t="s">
        <v>392</v>
      </c>
      <c r="B140" s="280" t="s">
        <v>233</v>
      </c>
      <c r="C140" s="280" t="s">
        <v>610</v>
      </c>
      <c r="D140" s="395">
        <v>0</v>
      </c>
      <c r="E140" s="395"/>
      <c r="F140" s="396"/>
      <c r="G140" s="396"/>
      <c r="H140" s="396">
        <v>42565</v>
      </c>
    </row>
    <row r="141" spans="1:8" ht="15" customHeight="1">
      <c r="A141" s="280" t="s">
        <v>392</v>
      </c>
      <c r="B141" s="280" t="s">
        <v>231</v>
      </c>
      <c r="C141" s="280" t="s">
        <v>611</v>
      </c>
      <c r="D141" s="395">
        <v>0</v>
      </c>
      <c r="E141" s="395"/>
      <c r="F141" s="396"/>
      <c r="G141" s="396"/>
      <c r="H141" s="396">
        <v>42565</v>
      </c>
    </row>
    <row r="142" spans="1:8" ht="15" customHeight="1">
      <c r="A142" s="280" t="s">
        <v>392</v>
      </c>
      <c r="B142" s="280" t="s">
        <v>232</v>
      </c>
      <c r="C142" s="280" t="s">
        <v>612</v>
      </c>
      <c r="D142" s="395">
        <v>0</v>
      </c>
      <c r="E142" s="395"/>
      <c r="F142" s="396"/>
      <c r="G142" s="396"/>
      <c r="H142" s="396">
        <v>42565</v>
      </c>
    </row>
    <row r="143" spans="1:8" ht="15" customHeight="1">
      <c r="A143" s="280" t="s">
        <v>226</v>
      </c>
      <c r="B143" s="280" t="s">
        <v>240</v>
      </c>
      <c r="C143" s="280" t="s">
        <v>368</v>
      </c>
      <c r="D143" s="395">
        <v>0</v>
      </c>
      <c r="E143" s="395"/>
      <c r="F143" s="396"/>
      <c r="G143" s="396"/>
      <c r="H143" s="396">
        <v>42308</v>
      </c>
    </row>
    <row r="144" spans="1:8" ht="15" customHeight="1">
      <c r="A144" s="280" t="s">
        <v>226</v>
      </c>
      <c r="B144" s="280" t="s">
        <v>497</v>
      </c>
      <c r="C144" s="280" t="s">
        <v>613</v>
      </c>
      <c r="D144" s="395">
        <v>0</v>
      </c>
      <c r="E144" s="395"/>
      <c r="F144" s="396"/>
      <c r="G144" s="396"/>
      <c r="H144" s="396">
        <v>42565</v>
      </c>
    </row>
    <row r="145" spans="1:8" ht="15" customHeight="1">
      <c r="A145" s="280" t="s">
        <v>226</v>
      </c>
      <c r="B145" s="280" t="s">
        <v>498</v>
      </c>
      <c r="C145" s="280" t="s">
        <v>614</v>
      </c>
      <c r="D145" s="395">
        <v>0</v>
      </c>
      <c r="E145" s="395"/>
      <c r="F145" s="396"/>
      <c r="G145" s="396"/>
      <c r="H145" s="396">
        <v>42565</v>
      </c>
    </row>
    <row r="146" spans="1:8" ht="15" customHeight="1">
      <c r="A146" s="280" t="s">
        <v>226</v>
      </c>
      <c r="B146" s="280" t="s">
        <v>505</v>
      </c>
      <c r="C146" s="280" t="s">
        <v>615</v>
      </c>
      <c r="D146" s="395">
        <v>0</v>
      </c>
      <c r="E146" s="395"/>
      <c r="F146" s="396"/>
      <c r="G146" s="396"/>
      <c r="H146" s="396">
        <v>42565</v>
      </c>
    </row>
    <row r="147" spans="1:8" ht="15" customHeight="1">
      <c r="A147" s="280" t="s">
        <v>226</v>
      </c>
      <c r="B147" s="280" t="s">
        <v>412</v>
      </c>
      <c r="C147" s="280" t="s">
        <v>419</v>
      </c>
      <c r="D147" s="395">
        <v>0</v>
      </c>
      <c r="E147" s="395"/>
      <c r="F147" s="396"/>
      <c r="G147" s="396"/>
      <c r="H147" s="396">
        <v>42565</v>
      </c>
    </row>
    <row r="148" spans="1:8" ht="15" customHeight="1">
      <c r="A148" s="280" t="s">
        <v>226</v>
      </c>
      <c r="B148" s="280" t="s">
        <v>241</v>
      </c>
      <c r="C148" s="280" t="s">
        <v>616</v>
      </c>
      <c r="D148" s="395">
        <v>0</v>
      </c>
      <c r="E148" s="395"/>
      <c r="F148" s="396"/>
      <c r="G148" s="396"/>
      <c r="H148" s="396">
        <v>42565</v>
      </c>
    </row>
    <row r="149" spans="1:8" ht="15" customHeight="1">
      <c r="A149" s="280" t="s">
        <v>226</v>
      </c>
      <c r="B149" s="280" t="s">
        <v>274</v>
      </c>
      <c r="C149" s="280" t="s">
        <v>617</v>
      </c>
      <c r="D149" s="395">
        <v>0</v>
      </c>
      <c r="E149" s="395"/>
      <c r="F149" s="396"/>
      <c r="G149" s="396"/>
      <c r="H149" s="396">
        <v>42565</v>
      </c>
    </row>
    <row r="150" spans="1:8" ht="15" customHeight="1">
      <c r="A150" s="280" t="s">
        <v>226</v>
      </c>
      <c r="B150" s="280" t="s">
        <v>242</v>
      </c>
      <c r="C150" s="280" t="s">
        <v>245</v>
      </c>
      <c r="D150" s="395">
        <v>0</v>
      </c>
      <c r="E150" s="395"/>
      <c r="F150" s="396"/>
      <c r="G150" s="396"/>
      <c r="H150" s="396">
        <v>42565</v>
      </c>
    </row>
    <row r="151" spans="1:8" ht="15" customHeight="1">
      <c r="A151" s="280" t="s">
        <v>226</v>
      </c>
      <c r="B151" s="280" t="s">
        <v>231</v>
      </c>
      <c r="C151" s="280" t="s">
        <v>618</v>
      </c>
      <c r="D151" s="395">
        <v>0</v>
      </c>
      <c r="E151" s="395"/>
      <c r="F151" s="396"/>
      <c r="G151" s="396"/>
      <c r="H151" s="396">
        <v>42565</v>
      </c>
    </row>
    <row r="152" spans="1:8" ht="15" customHeight="1">
      <c r="A152" s="280" t="s">
        <v>226</v>
      </c>
      <c r="B152" s="280" t="s">
        <v>232</v>
      </c>
      <c r="C152" s="280" t="s">
        <v>619</v>
      </c>
      <c r="D152" s="395">
        <v>0</v>
      </c>
      <c r="E152" s="395"/>
      <c r="F152" s="396"/>
      <c r="G152" s="396"/>
      <c r="H152" s="396">
        <v>42565</v>
      </c>
    </row>
    <row r="153" spans="1:8" ht="15" customHeight="1">
      <c r="A153" s="280" t="s">
        <v>96</v>
      </c>
      <c r="B153" s="280" t="s">
        <v>240</v>
      </c>
      <c r="C153" s="280" t="s">
        <v>369</v>
      </c>
      <c r="D153" s="395">
        <v>0</v>
      </c>
      <c r="E153" s="395"/>
      <c r="F153" s="396"/>
      <c r="G153" s="396"/>
      <c r="H153" s="396">
        <v>42308</v>
      </c>
    </row>
    <row r="154" spans="1:8" ht="15" customHeight="1">
      <c r="A154" s="280" t="s">
        <v>96</v>
      </c>
      <c r="B154" s="280" t="s">
        <v>497</v>
      </c>
      <c r="C154" s="280" t="s">
        <v>620</v>
      </c>
      <c r="D154" s="395">
        <v>0</v>
      </c>
      <c r="E154" s="395"/>
      <c r="F154" s="396"/>
      <c r="G154" s="396"/>
      <c r="H154" s="396">
        <v>42565</v>
      </c>
    </row>
    <row r="155" spans="1:8" ht="15" customHeight="1">
      <c r="A155" s="280" t="s">
        <v>96</v>
      </c>
      <c r="B155" s="280" t="s">
        <v>498</v>
      </c>
      <c r="C155" s="280" t="s">
        <v>621</v>
      </c>
      <c r="D155" s="395">
        <v>0</v>
      </c>
      <c r="E155" s="395"/>
      <c r="F155" s="396"/>
      <c r="G155" s="396"/>
      <c r="H155" s="396">
        <v>42565</v>
      </c>
    </row>
    <row r="156" spans="1:8" ht="15" customHeight="1">
      <c r="A156" s="280" t="s">
        <v>96</v>
      </c>
      <c r="B156" s="280" t="s">
        <v>505</v>
      </c>
      <c r="C156" s="280" t="s">
        <v>622</v>
      </c>
      <c r="D156" s="395">
        <v>0</v>
      </c>
      <c r="E156" s="395"/>
      <c r="F156" s="396"/>
      <c r="G156" s="396"/>
      <c r="H156" s="396">
        <v>42565</v>
      </c>
    </row>
    <row r="157" spans="1:8" ht="15" customHeight="1">
      <c r="A157" s="280" t="s">
        <v>96</v>
      </c>
      <c r="B157" s="280" t="s">
        <v>241</v>
      </c>
      <c r="C157" s="280" t="s">
        <v>623</v>
      </c>
      <c r="D157" s="395">
        <v>0</v>
      </c>
      <c r="E157" s="395"/>
      <c r="F157" s="396"/>
      <c r="G157" s="396"/>
      <c r="H157" s="396">
        <v>42565</v>
      </c>
    </row>
    <row r="158" spans="1:8" ht="15" customHeight="1">
      <c r="A158" s="280" t="s">
        <v>96</v>
      </c>
      <c r="B158" s="280" t="s">
        <v>242</v>
      </c>
      <c r="C158" s="280" t="s">
        <v>370</v>
      </c>
      <c r="D158" s="395">
        <v>0</v>
      </c>
      <c r="E158" s="395"/>
      <c r="F158" s="396"/>
      <c r="G158" s="396"/>
      <c r="H158" s="396">
        <v>42565</v>
      </c>
    </row>
    <row r="159" spans="1:8" ht="15" customHeight="1">
      <c r="A159" s="280" t="s">
        <v>96</v>
      </c>
      <c r="B159" s="280" t="s">
        <v>359</v>
      </c>
      <c r="C159" s="280" t="s">
        <v>624</v>
      </c>
      <c r="D159" s="395">
        <v>0</v>
      </c>
      <c r="E159" s="395"/>
      <c r="F159" s="396"/>
      <c r="G159" s="396"/>
      <c r="H159" s="396">
        <v>42565</v>
      </c>
    </row>
    <row r="160" spans="1:8" ht="15" customHeight="1">
      <c r="A160" s="280" t="s">
        <v>96</v>
      </c>
      <c r="B160" s="280" t="s">
        <v>231</v>
      </c>
      <c r="C160" s="280" t="s">
        <v>625</v>
      </c>
      <c r="D160" s="395">
        <v>0</v>
      </c>
      <c r="E160" s="395"/>
      <c r="F160" s="396"/>
      <c r="G160" s="396"/>
      <c r="H160" s="396">
        <v>42565</v>
      </c>
    </row>
    <row r="161" spans="1:8" ht="15" customHeight="1">
      <c r="A161" s="280" t="s">
        <v>96</v>
      </c>
      <c r="B161" s="280" t="s">
        <v>232</v>
      </c>
      <c r="C161" s="280" t="s">
        <v>626</v>
      </c>
      <c r="D161" s="395">
        <v>0</v>
      </c>
      <c r="E161" s="395"/>
      <c r="F161" s="396"/>
      <c r="G161" s="396"/>
      <c r="H161" s="396">
        <v>42565</v>
      </c>
    </row>
    <row r="162" spans="1:8" ht="15" customHeight="1">
      <c r="A162" s="280" t="s">
        <v>320</v>
      </c>
      <c r="B162" s="280" t="s">
        <v>240</v>
      </c>
      <c r="C162" s="280" t="s">
        <v>371</v>
      </c>
      <c r="D162" s="395">
        <v>0</v>
      </c>
      <c r="E162" s="395"/>
      <c r="F162" s="396"/>
      <c r="G162" s="396"/>
      <c r="H162" s="396">
        <v>42308</v>
      </c>
    </row>
    <row r="163" spans="1:8" ht="15" customHeight="1">
      <c r="A163" s="280" t="s">
        <v>320</v>
      </c>
      <c r="B163" s="280" t="s">
        <v>497</v>
      </c>
      <c r="C163" s="280" t="s">
        <v>627</v>
      </c>
      <c r="D163" s="395">
        <v>0</v>
      </c>
      <c r="E163" s="395"/>
      <c r="F163" s="396"/>
      <c r="G163" s="396"/>
      <c r="H163" s="396">
        <v>42565</v>
      </c>
    </row>
    <row r="164" spans="1:8" ht="15" customHeight="1">
      <c r="A164" s="280" t="s">
        <v>320</v>
      </c>
      <c r="B164" s="280" t="s">
        <v>498</v>
      </c>
      <c r="C164" s="280" t="s">
        <v>628</v>
      </c>
      <c r="D164" s="395">
        <v>0</v>
      </c>
      <c r="E164" s="395"/>
      <c r="F164" s="396"/>
      <c r="G164" s="396"/>
      <c r="H164" s="396">
        <v>42565</v>
      </c>
    </row>
    <row r="165" spans="1:8" ht="15" customHeight="1">
      <c r="A165" s="280" t="s">
        <v>320</v>
      </c>
      <c r="B165" s="280" t="s">
        <v>505</v>
      </c>
      <c r="C165" s="280" t="s">
        <v>629</v>
      </c>
      <c r="D165" s="395">
        <v>0</v>
      </c>
      <c r="E165" s="395"/>
      <c r="F165" s="396"/>
      <c r="G165" s="396"/>
      <c r="H165" s="396">
        <v>42565</v>
      </c>
    </row>
    <row r="166" spans="1:8" ht="15" customHeight="1">
      <c r="A166" s="280" t="s">
        <v>320</v>
      </c>
      <c r="B166" s="280" t="s">
        <v>241</v>
      </c>
      <c r="C166" s="280" t="s">
        <v>630</v>
      </c>
      <c r="D166" s="395">
        <v>0</v>
      </c>
      <c r="E166" s="395"/>
      <c r="F166" s="396"/>
      <c r="G166" s="396"/>
      <c r="H166" s="396">
        <v>42565</v>
      </c>
    </row>
    <row r="167" spans="1:8" ht="15" customHeight="1">
      <c r="A167" s="280" t="s">
        <v>320</v>
      </c>
      <c r="B167" s="280" t="s">
        <v>242</v>
      </c>
      <c r="C167" s="280" t="s">
        <v>246</v>
      </c>
      <c r="D167" s="395">
        <v>0</v>
      </c>
      <c r="E167" s="395"/>
      <c r="F167" s="396"/>
      <c r="G167" s="396"/>
      <c r="H167" s="396">
        <v>42565</v>
      </c>
    </row>
    <row r="168" spans="1:8" ht="15" customHeight="1">
      <c r="A168" s="280" t="s">
        <v>320</v>
      </c>
      <c r="B168" s="280" t="s">
        <v>235</v>
      </c>
      <c r="C168" s="280" t="s">
        <v>631</v>
      </c>
      <c r="D168" s="395">
        <v>0</v>
      </c>
      <c r="E168" s="395"/>
      <c r="F168" s="396"/>
      <c r="G168" s="396"/>
      <c r="H168" s="396">
        <v>42308</v>
      </c>
    </row>
    <row r="169" spans="1:8" ht="15" customHeight="1">
      <c r="A169" s="280" t="s">
        <v>320</v>
      </c>
      <c r="B169" s="280" t="s">
        <v>231</v>
      </c>
      <c r="C169" s="280" t="s">
        <v>632</v>
      </c>
      <c r="D169" s="395">
        <v>0</v>
      </c>
      <c r="E169" s="395"/>
      <c r="F169" s="396"/>
      <c r="G169" s="396"/>
      <c r="H169" s="396">
        <v>42565</v>
      </c>
    </row>
    <row r="170" spans="1:8" ht="15" customHeight="1">
      <c r="A170" s="280" t="s">
        <v>320</v>
      </c>
      <c r="B170" s="280" t="s">
        <v>232</v>
      </c>
      <c r="C170" s="280" t="s">
        <v>633</v>
      </c>
      <c r="D170" s="395">
        <v>0</v>
      </c>
      <c r="E170" s="395"/>
      <c r="F170" s="396"/>
      <c r="G170" s="396"/>
      <c r="H170" s="396">
        <v>42565</v>
      </c>
    </row>
    <row r="171" spans="1:8" ht="15" customHeight="1">
      <c r="A171" s="280" t="s">
        <v>98</v>
      </c>
      <c r="B171" s="280" t="s">
        <v>240</v>
      </c>
      <c r="C171" s="280" t="s">
        <v>372</v>
      </c>
      <c r="D171" s="395">
        <v>0</v>
      </c>
      <c r="E171" s="395"/>
      <c r="F171" s="396"/>
      <c r="G171" s="396"/>
      <c r="H171" s="396">
        <v>42308</v>
      </c>
    </row>
    <row r="172" spans="1:8" ht="15" customHeight="1">
      <c r="A172" s="280" t="s">
        <v>98</v>
      </c>
      <c r="B172" s="280" t="s">
        <v>497</v>
      </c>
      <c r="C172" s="280" t="s">
        <v>634</v>
      </c>
      <c r="D172" s="395">
        <v>0</v>
      </c>
      <c r="E172" s="395"/>
      <c r="F172" s="396"/>
      <c r="G172" s="396"/>
      <c r="H172" s="396">
        <v>42565</v>
      </c>
    </row>
    <row r="173" spans="1:8" ht="15" customHeight="1">
      <c r="A173" s="280" t="s">
        <v>98</v>
      </c>
      <c r="B173" s="280" t="s">
        <v>498</v>
      </c>
      <c r="C173" s="280" t="s">
        <v>635</v>
      </c>
      <c r="D173" s="395">
        <v>0</v>
      </c>
      <c r="E173" s="395"/>
      <c r="F173" s="396"/>
      <c r="G173" s="396"/>
      <c r="H173" s="396">
        <v>42565</v>
      </c>
    </row>
    <row r="174" spans="1:8" ht="15" customHeight="1">
      <c r="A174" s="280" t="s">
        <v>98</v>
      </c>
      <c r="B174" s="280" t="s">
        <v>505</v>
      </c>
      <c r="C174" s="280" t="s">
        <v>636</v>
      </c>
      <c r="D174" s="395">
        <v>0</v>
      </c>
      <c r="E174" s="395"/>
      <c r="F174" s="396"/>
      <c r="G174" s="396"/>
      <c r="H174" s="396">
        <v>42565</v>
      </c>
    </row>
    <row r="175" spans="1:8" ht="15" customHeight="1">
      <c r="A175" s="280" t="s">
        <v>98</v>
      </c>
      <c r="B175" s="280" t="s">
        <v>241</v>
      </c>
      <c r="C175" s="280" t="s">
        <v>637</v>
      </c>
      <c r="D175" s="395">
        <v>0</v>
      </c>
      <c r="E175" s="395"/>
      <c r="F175" s="396"/>
      <c r="G175" s="396"/>
      <c r="H175" s="396">
        <v>42565</v>
      </c>
    </row>
    <row r="176" spans="1:8" ht="15" customHeight="1">
      <c r="A176" s="280" t="s">
        <v>98</v>
      </c>
      <c r="B176" s="280" t="s">
        <v>242</v>
      </c>
      <c r="C176" s="280" t="s">
        <v>373</v>
      </c>
      <c r="D176" s="395">
        <v>0</v>
      </c>
      <c r="E176" s="395"/>
      <c r="F176" s="396"/>
      <c r="G176" s="396"/>
      <c r="H176" s="396">
        <v>42565</v>
      </c>
    </row>
    <row r="177" spans="1:8" ht="15" customHeight="1">
      <c r="A177" s="280" t="s">
        <v>98</v>
      </c>
      <c r="B177" s="280" t="s">
        <v>235</v>
      </c>
      <c r="C177" s="280" t="s">
        <v>638</v>
      </c>
      <c r="D177" s="395">
        <v>0</v>
      </c>
      <c r="E177" s="395"/>
      <c r="F177" s="396"/>
      <c r="G177" s="396"/>
      <c r="H177" s="396">
        <v>42400</v>
      </c>
    </row>
    <row r="178" spans="1:8" ht="15" customHeight="1">
      <c r="A178" s="280" t="s">
        <v>98</v>
      </c>
      <c r="B178" s="280" t="s">
        <v>233</v>
      </c>
      <c r="C178" s="280" t="s">
        <v>639</v>
      </c>
      <c r="D178" s="395">
        <v>0</v>
      </c>
      <c r="E178" s="395"/>
      <c r="F178" s="396"/>
      <c r="G178" s="396"/>
      <c r="H178" s="396">
        <v>42565</v>
      </c>
    </row>
    <row r="179" spans="1:8" ht="15" customHeight="1">
      <c r="A179" s="280" t="s">
        <v>98</v>
      </c>
      <c r="B179" s="280" t="s">
        <v>359</v>
      </c>
      <c r="C179" s="280" t="s">
        <v>640</v>
      </c>
      <c r="D179" s="395">
        <v>0</v>
      </c>
      <c r="E179" s="395"/>
      <c r="F179" s="396"/>
      <c r="G179" s="396"/>
      <c r="H179" s="396">
        <v>42565</v>
      </c>
    </row>
    <row r="180" spans="1:8" ht="15" customHeight="1">
      <c r="A180" s="280" t="s">
        <v>98</v>
      </c>
      <c r="B180" s="280" t="s">
        <v>231</v>
      </c>
      <c r="C180" s="280" t="s">
        <v>641</v>
      </c>
      <c r="D180" s="395">
        <v>0</v>
      </c>
      <c r="E180" s="395"/>
      <c r="F180" s="396"/>
      <c r="G180" s="396"/>
      <c r="H180" s="396">
        <v>42565</v>
      </c>
    </row>
    <row r="181" spans="1:8" ht="15" customHeight="1">
      <c r="A181" s="280" t="s">
        <v>98</v>
      </c>
      <c r="B181" s="280" t="s">
        <v>354</v>
      </c>
      <c r="C181" s="280" t="s">
        <v>642</v>
      </c>
      <c r="D181" s="395">
        <v>0</v>
      </c>
      <c r="E181" s="395"/>
      <c r="F181" s="396"/>
      <c r="G181" s="396"/>
      <c r="H181" s="396">
        <v>42565</v>
      </c>
    </row>
    <row r="182" spans="1:8" ht="15" customHeight="1">
      <c r="A182" s="280" t="s">
        <v>98</v>
      </c>
      <c r="B182" s="280" t="s">
        <v>232</v>
      </c>
      <c r="C182" s="280" t="s">
        <v>643</v>
      </c>
      <c r="D182" s="395">
        <v>0</v>
      </c>
      <c r="E182" s="395"/>
      <c r="F182" s="396"/>
      <c r="G182" s="396"/>
      <c r="H182" s="396">
        <v>42565</v>
      </c>
    </row>
    <row r="183" spans="1:8" ht="15" customHeight="1">
      <c r="A183" s="280" t="s">
        <v>80</v>
      </c>
      <c r="B183" s="280" t="s">
        <v>240</v>
      </c>
      <c r="C183" s="280" t="s">
        <v>374</v>
      </c>
      <c r="D183" s="395">
        <v>0</v>
      </c>
      <c r="E183" s="395"/>
      <c r="F183" s="396"/>
      <c r="G183" s="396"/>
      <c r="H183" s="396">
        <v>42308</v>
      </c>
    </row>
    <row r="184" spans="1:8" ht="15" customHeight="1">
      <c r="A184" s="280" t="s">
        <v>80</v>
      </c>
      <c r="B184" s="280" t="s">
        <v>497</v>
      </c>
      <c r="C184" s="280" t="s">
        <v>644</v>
      </c>
      <c r="D184" s="395">
        <v>0</v>
      </c>
      <c r="E184" s="395"/>
      <c r="F184" s="396"/>
      <c r="G184" s="396"/>
      <c r="H184" s="396">
        <v>42565</v>
      </c>
    </row>
    <row r="185" spans="1:8" ht="15" customHeight="1">
      <c r="A185" s="280" t="s">
        <v>80</v>
      </c>
      <c r="B185" s="280" t="s">
        <v>498</v>
      </c>
      <c r="C185" s="280" t="s">
        <v>645</v>
      </c>
      <c r="D185" s="395">
        <v>0</v>
      </c>
      <c r="E185" s="395"/>
      <c r="F185" s="396"/>
      <c r="G185" s="396"/>
      <c r="H185" s="396">
        <v>42565</v>
      </c>
    </row>
    <row r="186" spans="1:8" ht="15" customHeight="1">
      <c r="A186" s="280" t="s">
        <v>80</v>
      </c>
      <c r="B186" s="280" t="s">
        <v>505</v>
      </c>
      <c r="C186" s="280" t="s">
        <v>646</v>
      </c>
      <c r="D186" s="395">
        <v>0</v>
      </c>
      <c r="E186" s="395"/>
      <c r="F186" s="396"/>
      <c r="G186" s="396"/>
      <c r="H186" s="396">
        <v>42565</v>
      </c>
    </row>
    <row r="187" spans="1:8" ht="15" customHeight="1">
      <c r="A187" s="280" t="s">
        <v>80</v>
      </c>
      <c r="B187" s="280" t="s">
        <v>412</v>
      </c>
      <c r="C187" s="280" t="s">
        <v>420</v>
      </c>
      <c r="D187" s="395">
        <v>0</v>
      </c>
      <c r="E187" s="395"/>
      <c r="F187" s="396"/>
      <c r="G187" s="396"/>
      <c r="H187" s="396">
        <v>42565</v>
      </c>
    </row>
    <row r="188" spans="1:8" ht="15" customHeight="1">
      <c r="A188" s="280" t="s">
        <v>80</v>
      </c>
      <c r="B188" s="280" t="s">
        <v>267</v>
      </c>
      <c r="C188" s="280" t="s">
        <v>647</v>
      </c>
      <c r="D188" s="395">
        <v>0</v>
      </c>
      <c r="E188" s="395"/>
      <c r="F188" s="396"/>
      <c r="G188" s="396"/>
      <c r="H188" s="396">
        <v>42565</v>
      </c>
    </row>
    <row r="189" spans="1:8" ht="15" customHeight="1">
      <c r="A189" s="280" t="s">
        <v>80</v>
      </c>
      <c r="B189" s="280" t="s">
        <v>241</v>
      </c>
      <c r="C189" s="280" t="s">
        <v>648</v>
      </c>
      <c r="D189" s="395">
        <v>0</v>
      </c>
      <c r="E189" s="395"/>
      <c r="F189" s="396"/>
      <c r="G189" s="396"/>
      <c r="H189" s="396">
        <v>42565</v>
      </c>
    </row>
    <row r="190" spans="1:8" ht="15" customHeight="1">
      <c r="A190" s="280" t="s">
        <v>80</v>
      </c>
      <c r="B190" s="280" t="s">
        <v>274</v>
      </c>
      <c r="C190" s="280" t="s">
        <v>649</v>
      </c>
      <c r="D190" s="395">
        <v>0</v>
      </c>
      <c r="E190" s="395"/>
      <c r="F190" s="396"/>
      <c r="G190" s="396"/>
      <c r="H190" s="396">
        <v>42565</v>
      </c>
    </row>
    <row r="191" spans="1:8" ht="15" customHeight="1">
      <c r="A191" s="280" t="s">
        <v>80</v>
      </c>
      <c r="B191" s="280" t="s">
        <v>242</v>
      </c>
      <c r="C191" s="280" t="s">
        <v>375</v>
      </c>
      <c r="D191" s="395">
        <v>0</v>
      </c>
      <c r="E191" s="395"/>
      <c r="F191" s="396"/>
      <c r="G191" s="396"/>
      <c r="H191" s="396">
        <v>42565</v>
      </c>
    </row>
    <row r="192" spans="1:8" ht="15" customHeight="1">
      <c r="A192" s="280" t="s">
        <v>80</v>
      </c>
      <c r="B192" s="280" t="s">
        <v>233</v>
      </c>
      <c r="C192" s="280" t="s">
        <v>650</v>
      </c>
      <c r="D192" s="395">
        <v>0</v>
      </c>
      <c r="E192" s="395"/>
      <c r="F192" s="396"/>
      <c r="G192" s="396"/>
      <c r="H192" s="396">
        <v>42565</v>
      </c>
    </row>
    <row r="193" spans="1:8" ht="15" customHeight="1">
      <c r="A193" s="280" t="s">
        <v>80</v>
      </c>
      <c r="B193" s="280" t="s">
        <v>231</v>
      </c>
      <c r="C193" s="280" t="s">
        <v>651</v>
      </c>
      <c r="D193" s="395">
        <v>0</v>
      </c>
      <c r="E193" s="395"/>
      <c r="F193" s="396"/>
      <c r="G193" s="396"/>
      <c r="H193" s="396">
        <v>42565</v>
      </c>
    </row>
    <row r="194" spans="1:8" ht="15" customHeight="1">
      <c r="A194" s="280" t="s">
        <v>80</v>
      </c>
      <c r="B194" s="280" t="s">
        <v>429</v>
      </c>
      <c r="C194" s="280" t="s">
        <v>432</v>
      </c>
      <c r="D194" s="395">
        <v>0</v>
      </c>
      <c r="E194" s="395"/>
      <c r="F194" s="396"/>
      <c r="G194" s="396"/>
      <c r="H194" s="396">
        <v>42338</v>
      </c>
    </row>
    <row r="195" spans="1:8" ht="15" customHeight="1">
      <c r="A195" s="280" t="s">
        <v>80</v>
      </c>
      <c r="B195" s="280" t="s">
        <v>232</v>
      </c>
      <c r="C195" s="280" t="s">
        <v>652</v>
      </c>
      <c r="D195" s="395">
        <v>0</v>
      </c>
      <c r="E195" s="395"/>
      <c r="F195" s="396"/>
      <c r="G195" s="396"/>
      <c r="H195" s="396">
        <v>42565</v>
      </c>
    </row>
    <row r="196" spans="1:8" ht="15" customHeight="1">
      <c r="A196" s="280" t="s">
        <v>99</v>
      </c>
      <c r="B196" s="280" t="s">
        <v>240</v>
      </c>
      <c r="C196" s="280" t="s">
        <v>376</v>
      </c>
      <c r="D196" s="395">
        <v>0</v>
      </c>
      <c r="E196" s="395"/>
      <c r="F196" s="396"/>
      <c r="G196" s="396"/>
      <c r="H196" s="396">
        <v>42308</v>
      </c>
    </row>
    <row r="197" spans="1:8" ht="15" customHeight="1">
      <c r="A197" s="280" t="s">
        <v>99</v>
      </c>
      <c r="B197" s="280" t="s">
        <v>497</v>
      </c>
      <c r="C197" s="280" t="s">
        <v>653</v>
      </c>
      <c r="D197" s="395">
        <v>0</v>
      </c>
      <c r="E197" s="395"/>
      <c r="F197" s="396"/>
      <c r="G197" s="396"/>
      <c r="H197" s="396">
        <v>42565</v>
      </c>
    </row>
    <row r="198" spans="1:8" ht="15" customHeight="1">
      <c r="A198" s="280" t="s">
        <v>99</v>
      </c>
      <c r="B198" s="280" t="s">
        <v>498</v>
      </c>
      <c r="C198" s="280" t="s">
        <v>654</v>
      </c>
      <c r="D198" s="395">
        <v>0</v>
      </c>
      <c r="E198" s="395"/>
      <c r="F198" s="396"/>
      <c r="G198" s="396"/>
      <c r="H198" s="396">
        <v>42565</v>
      </c>
    </row>
    <row r="199" spans="1:8" ht="15" customHeight="1">
      <c r="A199" s="280" t="s">
        <v>99</v>
      </c>
      <c r="B199" s="280" t="s">
        <v>505</v>
      </c>
      <c r="C199" s="280" t="s">
        <v>655</v>
      </c>
      <c r="D199" s="395">
        <v>0</v>
      </c>
      <c r="E199" s="395"/>
      <c r="F199" s="396"/>
      <c r="G199" s="396"/>
      <c r="H199" s="396">
        <v>42565</v>
      </c>
    </row>
    <row r="200" spans="1:8" ht="15" customHeight="1">
      <c r="A200" s="280" t="s">
        <v>99</v>
      </c>
      <c r="B200" s="280" t="s">
        <v>412</v>
      </c>
      <c r="C200" s="280" t="s">
        <v>421</v>
      </c>
      <c r="D200" s="395">
        <v>0</v>
      </c>
      <c r="E200" s="395"/>
      <c r="F200" s="396"/>
      <c r="G200" s="396"/>
      <c r="H200" s="396">
        <v>42565</v>
      </c>
    </row>
    <row r="201" spans="1:8" ht="15" customHeight="1">
      <c r="A201" s="280" t="s">
        <v>99</v>
      </c>
      <c r="B201" s="280" t="s">
        <v>241</v>
      </c>
      <c r="C201" s="280" t="s">
        <v>656</v>
      </c>
      <c r="D201" s="395">
        <v>0</v>
      </c>
      <c r="E201" s="395"/>
      <c r="F201" s="396"/>
      <c r="G201" s="396"/>
      <c r="H201" s="396">
        <v>42565</v>
      </c>
    </row>
    <row r="202" spans="1:8" ht="15" customHeight="1">
      <c r="A202" s="280" t="s">
        <v>99</v>
      </c>
      <c r="B202" s="280" t="s">
        <v>274</v>
      </c>
      <c r="C202" s="280" t="s">
        <v>657</v>
      </c>
      <c r="D202" s="395">
        <v>0</v>
      </c>
      <c r="E202" s="395"/>
      <c r="F202" s="396"/>
      <c r="G202" s="396"/>
      <c r="H202" s="396">
        <v>42565</v>
      </c>
    </row>
    <row r="203" spans="1:8" ht="15" customHeight="1">
      <c r="A203" s="280" t="s">
        <v>99</v>
      </c>
      <c r="B203" s="280" t="s">
        <v>235</v>
      </c>
      <c r="C203" s="280" t="s">
        <v>658</v>
      </c>
      <c r="D203" s="395">
        <v>0</v>
      </c>
      <c r="E203" s="395"/>
      <c r="F203" s="396"/>
      <c r="G203" s="396"/>
      <c r="H203" s="396">
        <v>42565</v>
      </c>
    </row>
    <row r="204" spans="1:8" ht="15" customHeight="1">
      <c r="A204" s="280" t="s">
        <v>99</v>
      </c>
      <c r="B204" s="280" t="s">
        <v>233</v>
      </c>
      <c r="C204" s="280" t="s">
        <v>659</v>
      </c>
      <c r="D204" s="395">
        <v>0</v>
      </c>
      <c r="E204" s="395"/>
      <c r="F204" s="396"/>
      <c r="G204" s="396"/>
      <c r="H204" s="396">
        <v>42565</v>
      </c>
    </row>
    <row r="205" spans="1:8" ht="15" customHeight="1">
      <c r="A205" s="280" t="s">
        <v>99</v>
      </c>
      <c r="B205" s="280" t="s">
        <v>359</v>
      </c>
      <c r="C205" s="280" t="s">
        <v>660</v>
      </c>
      <c r="D205" s="395">
        <v>0</v>
      </c>
      <c r="E205" s="395"/>
      <c r="F205" s="396"/>
      <c r="G205" s="396"/>
      <c r="H205" s="396">
        <v>42565</v>
      </c>
    </row>
    <row r="206" spans="1:8" ht="15" customHeight="1">
      <c r="A206" s="280" t="s">
        <v>99</v>
      </c>
      <c r="B206" s="280" t="s">
        <v>231</v>
      </c>
      <c r="C206" s="280" t="s">
        <v>661</v>
      </c>
      <c r="D206" s="395">
        <v>0</v>
      </c>
      <c r="E206" s="395"/>
      <c r="F206" s="396"/>
      <c r="G206" s="396"/>
      <c r="H206" s="396">
        <v>42565</v>
      </c>
    </row>
    <row r="207" spans="1:8" ht="15" customHeight="1">
      <c r="A207" s="280" t="s">
        <v>99</v>
      </c>
      <c r="B207" s="280" t="s">
        <v>354</v>
      </c>
      <c r="C207" s="280" t="s">
        <v>662</v>
      </c>
      <c r="D207" s="395">
        <v>0</v>
      </c>
      <c r="E207" s="395"/>
      <c r="F207" s="396"/>
      <c r="G207" s="396"/>
      <c r="H207" s="396">
        <v>42565</v>
      </c>
    </row>
    <row r="208" spans="1:8" ht="15" customHeight="1">
      <c r="A208" s="280" t="s">
        <v>99</v>
      </c>
      <c r="B208" s="280" t="s">
        <v>232</v>
      </c>
      <c r="C208" s="280" t="s">
        <v>663</v>
      </c>
      <c r="D208" s="395">
        <v>0</v>
      </c>
      <c r="E208" s="395"/>
      <c r="F208" s="396"/>
      <c r="G208" s="396"/>
      <c r="H208" s="396">
        <v>42565</v>
      </c>
    </row>
    <row r="209" spans="1:8" ht="15" customHeight="1">
      <c r="A209" s="280" t="s">
        <v>275</v>
      </c>
      <c r="B209" s="280" t="s">
        <v>242</v>
      </c>
      <c r="C209" s="280" t="s">
        <v>276</v>
      </c>
      <c r="D209" s="395">
        <v>0</v>
      </c>
      <c r="E209" s="395"/>
      <c r="F209" s="396"/>
      <c r="G209" s="396"/>
      <c r="H209" s="396">
        <v>42565</v>
      </c>
    </row>
    <row r="210" spans="1:8" ht="15" customHeight="1">
      <c r="A210" s="280" t="s">
        <v>321</v>
      </c>
      <c r="B210" s="280" t="s">
        <v>242</v>
      </c>
      <c r="C210" s="280" t="s">
        <v>377</v>
      </c>
      <c r="D210" s="395">
        <v>0</v>
      </c>
      <c r="E210" s="395"/>
      <c r="F210" s="396"/>
      <c r="G210" s="396"/>
      <c r="H210" s="396">
        <v>42565</v>
      </c>
    </row>
    <row r="211" spans="1:8" ht="15" customHeight="1">
      <c r="A211" s="280" t="s">
        <v>102</v>
      </c>
      <c r="B211" s="280" t="s">
        <v>268</v>
      </c>
      <c r="C211" s="280" t="s">
        <v>664</v>
      </c>
      <c r="D211" s="395">
        <v>0</v>
      </c>
      <c r="E211" s="395"/>
      <c r="F211" s="396"/>
      <c r="G211" s="396"/>
      <c r="H211" s="396">
        <v>42400</v>
      </c>
    </row>
    <row r="212" spans="1:8" ht="15" customHeight="1">
      <c r="A212" s="280" t="s">
        <v>102</v>
      </c>
      <c r="B212" s="280" t="s">
        <v>240</v>
      </c>
      <c r="C212" s="280" t="s">
        <v>378</v>
      </c>
      <c r="D212" s="395">
        <v>0</v>
      </c>
      <c r="E212" s="395"/>
      <c r="F212" s="396"/>
      <c r="G212" s="396"/>
      <c r="H212" s="396">
        <v>42308</v>
      </c>
    </row>
    <row r="213" spans="1:8" ht="15" customHeight="1">
      <c r="A213" s="280" t="s">
        <v>102</v>
      </c>
      <c r="B213" s="280" t="s">
        <v>497</v>
      </c>
      <c r="C213" s="280" t="s">
        <v>665</v>
      </c>
      <c r="D213" s="395">
        <v>0</v>
      </c>
      <c r="E213" s="395"/>
      <c r="F213" s="396"/>
      <c r="G213" s="396"/>
      <c r="H213" s="396">
        <v>42565</v>
      </c>
    </row>
    <row r="214" spans="1:8" ht="15" customHeight="1">
      <c r="A214" s="280" t="s">
        <v>102</v>
      </c>
      <c r="B214" s="280" t="s">
        <v>498</v>
      </c>
      <c r="C214" s="280" t="s">
        <v>666</v>
      </c>
      <c r="D214" s="395">
        <v>0</v>
      </c>
      <c r="E214" s="395"/>
      <c r="F214" s="396"/>
      <c r="G214" s="396"/>
      <c r="H214" s="396">
        <v>42565</v>
      </c>
    </row>
    <row r="215" spans="1:8" ht="15" customHeight="1">
      <c r="A215" s="280" t="s">
        <v>102</v>
      </c>
      <c r="B215" s="280" t="s">
        <v>505</v>
      </c>
      <c r="C215" s="280" t="s">
        <v>667</v>
      </c>
      <c r="D215" s="395">
        <v>0</v>
      </c>
      <c r="E215" s="395"/>
      <c r="F215" s="396"/>
      <c r="G215" s="396"/>
      <c r="H215" s="396">
        <v>42565</v>
      </c>
    </row>
    <row r="216" spans="1:8" ht="15" customHeight="1">
      <c r="A216" s="280" t="s">
        <v>102</v>
      </c>
      <c r="B216" s="280" t="s">
        <v>241</v>
      </c>
      <c r="C216" s="280" t="s">
        <v>668</v>
      </c>
      <c r="D216" s="395">
        <v>0</v>
      </c>
      <c r="E216" s="395"/>
      <c r="F216" s="396"/>
      <c r="G216" s="396"/>
      <c r="H216" s="396">
        <v>42565</v>
      </c>
    </row>
    <row r="217" spans="1:8" ht="15" customHeight="1">
      <c r="A217" s="280" t="s">
        <v>102</v>
      </c>
      <c r="B217" s="280" t="s">
        <v>274</v>
      </c>
      <c r="C217" s="280" t="s">
        <v>669</v>
      </c>
      <c r="D217" s="395">
        <v>0</v>
      </c>
      <c r="E217" s="395"/>
      <c r="F217" s="396"/>
      <c r="G217" s="396"/>
      <c r="H217" s="396">
        <v>42565</v>
      </c>
    </row>
    <row r="218" spans="1:8" ht="15" customHeight="1">
      <c r="A218" s="280" t="s">
        <v>102</v>
      </c>
      <c r="B218" s="280" t="s">
        <v>242</v>
      </c>
      <c r="C218" s="280" t="s">
        <v>247</v>
      </c>
      <c r="D218" s="395">
        <v>0</v>
      </c>
      <c r="E218" s="395"/>
      <c r="F218" s="396"/>
      <c r="G218" s="396"/>
      <c r="H218" s="396">
        <v>42565</v>
      </c>
    </row>
    <row r="219" spans="1:8" ht="15" customHeight="1">
      <c r="A219" s="280" t="s">
        <v>102</v>
      </c>
      <c r="B219" s="280" t="s">
        <v>233</v>
      </c>
      <c r="C219" s="280" t="s">
        <v>670</v>
      </c>
      <c r="D219" s="395">
        <v>0</v>
      </c>
      <c r="E219" s="395"/>
      <c r="F219" s="396"/>
      <c r="G219" s="396"/>
      <c r="H219" s="396">
        <v>42565</v>
      </c>
    </row>
    <row r="220" spans="1:8" ht="15" customHeight="1">
      <c r="A220" s="280" t="s">
        <v>102</v>
      </c>
      <c r="B220" s="280" t="s">
        <v>231</v>
      </c>
      <c r="C220" s="280" t="s">
        <v>671</v>
      </c>
      <c r="D220" s="395">
        <v>0</v>
      </c>
      <c r="E220" s="395"/>
      <c r="F220" s="396"/>
      <c r="G220" s="396"/>
      <c r="H220" s="396">
        <v>42565</v>
      </c>
    </row>
    <row r="221" spans="1:8" ht="15" customHeight="1">
      <c r="A221" s="280" t="s">
        <v>102</v>
      </c>
      <c r="B221" s="280" t="s">
        <v>232</v>
      </c>
      <c r="C221" s="280" t="s">
        <v>672</v>
      </c>
      <c r="D221" s="395">
        <v>0</v>
      </c>
      <c r="E221" s="395"/>
      <c r="F221" s="396"/>
      <c r="G221" s="396"/>
      <c r="H221" s="396">
        <v>42565</v>
      </c>
    </row>
    <row r="222" spans="1:8" ht="15" customHeight="1">
      <c r="A222" s="280" t="s">
        <v>322</v>
      </c>
      <c r="B222" s="280" t="s">
        <v>240</v>
      </c>
      <c r="C222" s="280" t="s">
        <v>379</v>
      </c>
      <c r="D222" s="395">
        <v>0</v>
      </c>
      <c r="E222" s="395"/>
      <c r="F222" s="396"/>
      <c r="G222" s="396"/>
      <c r="H222" s="396">
        <v>42308</v>
      </c>
    </row>
    <row r="223" spans="1:8" ht="15" customHeight="1">
      <c r="A223" s="280" t="s">
        <v>322</v>
      </c>
      <c r="B223" s="280" t="s">
        <v>497</v>
      </c>
      <c r="C223" s="280" t="s">
        <v>673</v>
      </c>
      <c r="D223" s="395">
        <v>0</v>
      </c>
      <c r="E223" s="395"/>
      <c r="F223" s="396"/>
      <c r="G223" s="396"/>
      <c r="H223" s="396">
        <v>42565</v>
      </c>
    </row>
    <row r="224" spans="1:8" ht="15" customHeight="1">
      <c r="A224" s="280" t="s">
        <v>322</v>
      </c>
      <c r="B224" s="280" t="s">
        <v>498</v>
      </c>
      <c r="C224" s="280" t="s">
        <v>674</v>
      </c>
      <c r="D224" s="395">
        <v>0</v>
      </c>
      <c r="E224" s="395"/>
      <c r="F224" s="396"/>
      <c r="G224" s="396"/>
      <c r="H224" s="396">
        <v>42565</v>
      </c>
    </row>
    <row r="225" spans="1:8" ht="15" customHeight="1">
      <c r="A225" s="280" t="s">
        <v>322</v>
      </c>
      <c r="B225" s="280" t="s">
        <v>505</v>
      </c>
      <c r="C225" s="280" t="s">
        <v>675</v>
      </c>
      <c r="D225" s="395">
        <v>0</v>
      </c>
      <c r="E225" s="395"/>
      <c r="F225" s="396"/>
      <c r="G225" s="396"/>
      <c r="H225" s="396">
        <v>42565</v>
      </c>
    </row>
    <row r="226" spans="1:8" ht="15" customHeight="1">
      <c r="A226" s="280" t="s">
        <v>322</v>
      </c>
      <c r="B226" s="280" t="s">
        <v>242</v>
      </c>
      <c r="C226" s="280" t="s">
        <v>248</v>
      </c>
      <c r="D226" s="395">
        <v>0</v>
      </c>
      <c r="E226" s="395"/>
      <c r="F226" s="396"/>
      <c r="G226" s="396"/>
      <c r="H226" s="396">
        <v>42565</v>
      </c>
    </row>
    <row r="227" spans="1:8" ht="15" customHeight="1">
      <c r="A227" s="280" t="s">
        <v>322</v>
      </c>
      <c r="B227" s="280" t="s">
        <v>231</v>
      </c>
      <c r="C227" s="280" t="s">
        <v>676</v>
      </c>
      <c r="D227" s="395">
        <v>0</v>
      </c>
      <c r="E227" s="395"/>
      <c r="F227" s="396"/>
      <c r="G227" s="396"/>
      <c r="H227" s="396">
        <v>42565</v>
      </c>
    </row>
    <row r="228" spans="1:8" ht="15" customHeight="1">
      <c r="A228" s="280" t="s">
        <v>322</v>
      </c>
      <c r="B228" s="280" t="s">
        <v>232</v>
      </c>
      <c r="C228" s="280" t="s">
        <v>677</v>
      </c>
      <c r="D228" s="395">
        <v>0</v>
      </c>
      <c r="E228" s="395"/>
      <c r="F228" s="396"/>
      <c r="G228" s="396"/>
      <c r="H228" s="396">
        <v>42565</v>
      </c>
    </row>
    <row r="229" spans="1:8" ht="15" customHeight="1">
      <c r="A229" s="280" t="s">
        <v>104</v>
      </c>
      <c r="B229" s="280" t="s">
        <v>240</v>
      </c>
      <c r="C229" s="280" t="s">
        <v>380</v>
      </c>
      <c r="D229" s="395">
        <v>0</v>
      </c>
      <c r="E229" s="395"/>
      <c r="F229" s="396"/>
      <c r="G229" s="396"/>
      <c r="H229" s="396">
        <v>42308</v>
      </c>
    </row>
    <row r="230" spans="1:8" ht="15" customHeight="1">
      <c r="A230" s="280" t="s">
        <v>104</v>
      </c>
      <c r="B230" s="280" t="s">
        <v>497</v>
      </c>
      <c r="C230" s="280" t="s">
        <v>678</v>
      </c>
      <c r="D230" s="395">
        <v>0</v>
      </c>
      <c r="E230" s="395"/>
      <c r="F230" s="396"/>
      <c r="G230" s="396"/>
      <c r="H230" s="396">
        <v>42565</v>
      </c>
    </row>
    <row r="231" spans="1:8" ht="15" customHeight="1">
      <c r="A231" s="280" t="s">
        <v>104</v>
      </c>
      <c r="B231" s="280" t="s">
        <v>498</v>
      </c>
      <c r="C231" s="280" t="s">
        <v>679</v>
      </c>
      <c r="D231" s="395">
        <v>0</v>
      </c>
      <c r="E231" s="395"/>
      <c r="F231" s="396"/>
      <c r="G231" s="396"/>
      <c r="H231" s="396">
        <v>42565</v>
      </c>
    </row>
    <row r="232" spans="1:8" ht="15" customHeight="1">
      <c r="A232" s="280" t="s">
        <v>104</v>
      </c>
      <c r="B232" s="280" t="s">
        <v>231</v>
      </c>
      <c r="C232" s="280" t="s">
        <v>680</v>
      </c>
      <c r="D232" s="395">
        <v>0</v>
      </c>
      <c r="E232" s="395"/>
      <c r="F232" s="396"/>
      <c r="G232" s="396"/>
      <c r="H232" s="396">
        <v>42565</v>
      </c>
    </row>
    <row r="233" spans="1:8" ht="15" customHeight="1">
      <c r="A233" s="280" t="s">
        <v>104</v>
      </c>
      <c r="B233" s="280" t="s">
        <v>232</v>
      </c>
      <c r="C233" s="280" t="s">
        <v>681</v>
      </c>
      <c r="D233" s="395">
        <v>0</v>
      </c>
      <c r="E233" s="395"/>
      <c r="F233" s="396"/>
      <c r="G233" s="396"/>
      <c r="H233" s="396">
        <v>42565</v>
      </c>
    </row>
    <row r="234" spans="1:8" ht="15" customHeight="1">
      <c r="A234" s="280" t="s">
        <v>105</v>
      </c>
      <c r="B234" s="280" t="s">
        <v>240</v>
      </c>
      <c r="C234" s="280" t="s">
        <v>381</v>
      </c>
      <c r="D234" s="395">
        <v>0</v>
      </c>
      <c r="E234" s="395"/>
      <c r="F234" s="396"/>
      <c r="G234" s="396"/>
      <c r="H234" s="396">
        <v>42308</v>
      </c>
    </row>
    <row r="235" spans="1:8" ht="15" customHeight="1">
      <c r="A235" s="280" t="s">
        <v>105</v>
      </c>
      <c r="B235" s="280" t="s">
        <v>497</v>
      </c>
      <c r="C235" s="280" t="s">
        <v>682</v>
      </c>
      <c r="D235" s="395">
        <v>0</v>
      </c>
      <c r="E235" s="395"/>
      <c r="F235" s="396"/>
      <c r="G235" s="396"/>
      <c r="H235" s="396">
        <v>42565</v>
      </c>
    </row>
    <row r="236" spans="1:8" ht="15" customHeight="1">
      <c r="A236" s="280" t="s">
        <v>105</v>
      </c>
      <c r="B236" s="280" t="s">
        <v>498</v>
      </c>
      <c r="C236" s="280" t="s">
        <v>683</v>
      </c>
      <c r="D236" s="395">
        <v>0</v>
      </c>
      <c r="E236" s="395"/>
      <c r="F236" s="396"/>
      <c r="G236" s="396"/>
      <c r="H236" s="396">
        <v>42565</v>
      </c>
    </row>
    <row r="237" spans="1:8" ht="15" customHeight="1">
      <c r="A237" s="280" t="s">
        <v>105</v>
      </c>
      <c r="B237" s="280" t="s">
        <v>505</v>
      </c>
      <c r="C237" s="280" t="s">
        <v>684</v>
      </c>
      <c r="D237" s="395">
        <v>0</v>
      </c>
      <c r="E237" s="395"/>
      <c r="F237" s="396"/>
      <c r="G237" s="396"/>
      <c r="H237" s="396">
        <v>42565</v>
      </c>
    </row>
    <row r="238" spans="1:8" ht="15" customHeight="1">
      <c r="A238" s="280" t="s">
        <v>105</v>
      </c>
      <c r="B238" s="280" t="s">
        <v>235</v>
      </c>
      <c r="C238" s="280" t="s">
        <v>428</v>
      </c>
      <c r="D238" s="395">
        <v>0</v>
      </c>
      <c r="E238" s="395"/>
      <c r="F238" s="396"/>
      <c r="G238" s="396"/>
      <c r="H238" s="396">
        <v>42308</v>
      </c>
    </row>
    <row r="239" spans="1:8" ht="15" customHeight="1">
      <c r="A239" s="280" t="s">
        <v>105</v>
      </c>
      <c r="B239" s="280" t="s">
        <v>231</v>
      </c>
      <c r="C239" s="280" t="s">
        <v>685</v>
      </c>
      <c r="D239" s="395">
        <v>0</v>
      </c>
      <c r="E239" s="395"/>
      <c r="F239" s="396"/>
      <c r="G239" s="396"/>
      <c r="H239" s="396">
        <v>42565</v>
      </c>
    </row>
    <row r="240" spans="1:8" ht="15" customHeight="1">
      <c r="A240" s="280" t="s">
        <v>105</v>
      </c>
      <c r="B240" s="280" t="s">
        <v>506</v>
      </c>
      <c r="C240" s="280" t="s">
        <v>686</v>
      </c>
      <c r="D240" s="395">
        <v>0</v>
      </c>
      <c r="E240" s="395"/>
      <c r="F240" s="396"/>
      <c r="G240" s="396"/>
      <c r="H240" s="396">
        <v>42565</v>
      </c>
    </row>
    <row r="241" spans="1:8" ht="15" customHeight="1">
      <c r="A241" s="280" t="s">
        <v>105</v>
      </c>
      <c r="B241" s="280" t="s">
        <v>232</v>
      </c>
      <c r="C241" s="280" t="s">
        <v>687</v>
      </c>
      <c r="D241" s="395">
        <v>0</v>
      </c>
      <c r="E241" s="395"/>
      <c r="F241" s="396"/>
      <c r="G241" s="396"/>
      <c r="H241" s="396">
        <v>42565</v>
      </c>
    </row>
    <row r="242" spans="1:8" ht="15" customHeight="1">
      <c r="A242" s="280" t="s">
        <v>81</v>
      </c>
      <c r="B242" s="280" t="s">
        <v>240</v>
      </c>
      <c r="C242" s="280" t="s">
        <v>382</v>
      </c>
      <c r="D242" s="395">
        <v>0</v>
      </c>
      <c r="E242" s="395"/>
      <c r="F242" s="396"/>
      <c r="G242" s="396"/>
      <c r="H242" s="396">
        <v>42308</v>
      </c>
    </row>
    <row r="243" spans="1:8" ht="15" customHeight="1">
      <c r="A243" s="280" t="s">
        <v>81</v>
      </c>
      <c r="B243" s="280" t="s">
        <v>497</v>
      </c>
      <c r="C243" s="280" t="s">
        <v>688</v>
      </c>
      <c r="D243" s="395">
        <v>0</v>
      </c>
      <c r="E243" s="395"/>
      <c r="F243" s="396"/>
      <c r="G243" s="396"/>
      <c r="H243" s="396">
        <v>42565</v>
      </c>
    </row>
    <row r="244" spans="1:8" ht="15" customHeight="1">
      <c r="A244" s="280" t="s">
        <v>81</v>
      </c>
      <c r="B244" s="280" t="s">
        <v>498</v>
      </c>
      <c r="C244" s="280" t="s">
        <v>689</v>
      </c>
      <c r="D244" s="395">
        <v>0</v>
      </c>
      <c r="E244" s="395"/>
      <c r="F244" s="396"/>
      <c r="G244" s="396"/>
      <c r="H244" s="396">
        <v>42565</v>
      </c>
    </row>
    <row r="245" spans="1:8" ht="15" customHeight="1">
      <c r="A245" s="280" t="s">
        <v>81</v>
      </c>
      <c r="B245" s="280" t="s">
        <v>505</v>
      </c>
      <c r="C245" s="280" t="s">
        <v>690</v>
      </c>
      <c r="D245" s="395">
        <v>0</v>
      </c>
      <c r="E245" s="395"/>
      <c r="F245" s="396"/>
      <c r="G245" s="396"/>
      <c r="H245" s="396">
        <v>42565</v>
      </c>
    </row>
    <row r="246" spans="1:8" ht="15" customHeight="1">
      <c r="A246" s="280" t="s">
        <v>81</v>
      </c>
      <c r="B246" s="280" t="s">
        <v>412</v>
      </c>
      <c r="C246" s="280" t="s">
        <v>422</v>
      </c>
      <c r="D246" s="395">
        <v>0</v>
      </c>
      <c r="E246" s="395"/>
      <c r="F246" s="396"/>
      <c r="G246" s="396"/>
      <c r="H246" s="396">
        <v>42565</v>
      </c>
    </row>
    <row r="247" spans="1:8" ht="15" customHeight="1">
      <c r="A247" s="280" t="s">
        <v>81</v>
      </c>
      <c r="B247" s="280" t="s">
        <v>241</v>
      </c>
      <c r="C247" s="280" t="s">
        <v>691</v>
      </c>
      <c r="D247" s="395">
        <v>0</v>
      </c>
      <c r="E247" s="395"/>
      <c r="F247" s="396"/>
      <c r="G247" s="396"/>
      <c r="H247" s="396">
        <v>42565</v>
      </c>
    </row>
    <row r="248" spans="1:8" ht="15" customHeight="1">
      <c r="A248" s="280" t="s">
        <v>81</v>
      </c>
      <c r="B248" s="280" t="s">
        <v>234</v>
      </c>
      <c r="C248" s="280" t="s">
        <v>692</v>
      </c>
      <c r="D248" s="395">
        <v>0</v>
      </c>
      <c r="E248" s="395"/>
      <c r="F248" s="396"/>
      <c r="G248" s="396"/>
      <c r="H248" s="396">
        <v>42565</v>
      </c>
    </row>
    <row r="249" spans="1:8" ht="15" customHeight="1">
      <c r="A249" s="280" t="s">
        <v>81</v>
      </c>
      <c r="B249" s="280" t="s">
        <v>233</v>
      </c>
      <c r="C249" s="280" t="s">
        <v>693</v>
      </c>
      <c r="D249" s="395">
        <v>0</v>
      </c>
      <c r="E249" s="395"/>
      <c r="F249" s="396"/>
      <c r="G249" s="396"/>
      <c r="H249" s="396">
        <v>42565</v>
      </c>
    </row>
    <row r="250" spans="1:8" ht="15" customHeight="1">
      <c r="A250" s="280" t="s">
        <v>81</v>
      </c>
      <c r="B250" s="280" t="s">
        <v>231</v>
      </c>
      <c r="C250" s="280" t="s">
        <v>694</v>
      </c>
      <c r="D250" s="395">
        <v>0</v>
      </c>
      <c r="E250" s="395"/>
      <c r="F250" s="396"/>
      <c r="G250" s="396"/>
      <c r="H250" s="396">
        <v>42565</v>
      </c>
    </row>
    <row r="251" spans="1:8" ht="15" customHeight="1">
      <c r="A251" s="280" t="s">
        <v>81</v>
      </c>
      <c r="B251" s="280" t="s">
        <v>506</v>
      </c>
      <c r="C251" s="280" t="s">
        <v>695</v>
      </c>
      <c r="D251" s="395">
        <v>0</v>
      </c>
      <c r="E251" s="395"/>
      <c r="F251" s="396"/>
      <c r="G251" s="396"/>
      <c r="H251" s="396">
        <v>42565</v>
      </c>
    </row>
    <row r="252" spans="1:8" ht="15" customHeight="1">
      <c r="A252" s="280" t="s">
        <v>81</v>
      </c>
      <c r="B252" s="280" t="s">
        <v>232</v>
      </c>
      <c r="C252" s="280" t="s">
        <v>696</v>
      </c>
      <c r="D252" s="395">
        <v>0</v>
      </c>
      <c r="E252" s="395"/>
      <c r="F252" s="396"/>
      <c r="G252" s="396"/>
      <c r="H252" s="396">
        <v>42565</v>
      </c>
    </row>
    <row r="253" spans="1:8" ht="15" customHeight="1">
      <c r="A253" s="280" t="s">
        <v>106</v>
      </c>
      <c r="B253" s="280" t="s">
        <v>240</v>
      </c>
      <c r="C253" s="280" t="s">
        <v>383</v>
      </c>
      <c r="D253" s="395">
        <v>0</v>
      </c>
      <c r="E253" s="395"/>
      <c r="F253" s="396"/>
      <c r="G253" s="396"/>
      <c r="H253" s="396">
        <v>42308</v>
      </c>
    </row>
    <row r="254" spans="1:8" ht="15" customHeight="1">
      <c r="A254" s="280" t="s">
        <v>106</v>
      </c>
      <c r="B254" s="280" t="s">
        <v>497</v>
      </c>
      <c r="C254" s="280" t="s">
        <v>697</v>
      </c>
      <c r="D254" s="395">
        <v>0</v>
      </c>
      <c r="E254" s="395"/>
      <c r="F254" s="396"/>
      <c r="G254" s="396"/>
      <c r="H254" s="396">
        <v>42565</v>
      </c>
    </row>
    <row r="255" spans="1:8" ht="15" customHeight="1">
      <c r="A255" s="280" t="s">
        <v>106</v>
      </c>
      <c r="B255" s="280" t="s">
        <v>498</v>
      </c>
      <c r="C255" s="280" t="s">
        <v>698</v>
      </c>
      <c r="D255" s="395">
        <v>0</v>
      </c>
      <c r="E255" s="395"/>
      <c r="F255" s="396"/>
      <c r="G255" s="396"/>
      <c r="H255" s="396">
        <v>42565</v>
      </c>
    </row>
    <row r="256" spans="1:8" ht="15" customHeight="1">
      <c r="A256" s="280" t="s">
        <v>106</v>
      </c>
      <c r="B256" s="280" t="s">
        <v>241</v>
      </c>
      <c r="C256" s="280" t="s">
        <v>699</v>
      </c>
      <c r="D256" s="395">
        <v>0</v>
      </c>
      <c r="E256" s="395"/>
      <c r="F256" s="396"/>
      <c r="G256" s="396"/>
      <c r="H256" s="396">
        <v>42565</v>
      </c>
    </row>
    <row r="257" spans="1:8" ht="15" customHeight="1">
      <c r="A257" s="280" t="s">
        <v>106</v>
      </c>
      <c r="B257" s="280" t="s">
        <v>231</v>
      </c>
      <c r="C257" s="280" t="s">
        <v>700</v>
      </c>
      <c r="D257" s="395">
        <v>0</v>
      </c>
      <c r="E257" s="395"/>
      <c r="F257" s="396"/>
      <c r="G257" s="396"/>
      <c r="H257" s="396">
        <v>42565</v>
      </c>
    </row>
    <row r="258" spans="1:8" ht="15" customHeight="1">
      <c r="A258" s="280" t="s">
        <v>106</v>
      </c>
      <c r="B258" s="280" t="s">
        <v>506</v>
      </c>
      <c r="C258" s="280" t="s">
        <v>701</v>
      </c>
      <c r="D258" s="395">
        <v>0</v>
      </c>
      <c r="E258" s="395"/>
      <c r="F258" s="396"/>
      <c r="G258" s="396"/>
      <c r="H258" s="396">
        <v>42565</v>
      </c>
    </row>
    <row r="259" spans="1:8" ht="15" customHeight="1">
      <c r="A259" s="280" t="s">
        <v>106</v>
      </c>
      <c r="B259" s="280" t="s">
        <v>232</v>
      </c>
      <c r="C259" s="280" t="s">
        <v>702</v>
      </c>
      <c r="D259" s="395">
        <v>0</v>
      </c>
      <c r="E259" s="395"/>
      <c r="F259" s="396"/>
      <c r="G259" s="396"/>
      <c r="H259" s="396">
        <v>42565</v>
      </c>
    </row>
    <row r="260" spans="1:8" ht="15" customHeight="1">
      <c r="A260" s="280" t="s">
        <v>323</v>
      </c>
      <c r="B260" s="280" t="s">
        <v>240</v>
      </c>
      <c r="C260" s="280" t="s">
        <v>384</v>
      </c>
      <c r="D260" s="395">
        <v>0</v>
      </c>
      <c r="E260" s="395"/>
      <c r="F260" s="396"/>
      <c r="G260" s="396"/>
      <c r="H260" s="396">
        <v>42308</v>
      </c>
    </row>
    <row r="261" spans="1:8" ht="15" customHeight="1">
      <c r="A261" s="280" t="s">
        <v>323</v>
      </c>
      <c r="B261" s="280" t="s">
        <v>497</v>
      </c>
      <c r="C261" s="280" t="s">
        <v>703</v>
      </c>
      <c r="D261" s="395">
        <v>0</v>
      </c>
      <c r="E261" s="395"/>
      <c r="F261" s="396"/>
      <c r="G261" s="396"/>
      <c r="H261" s="396">
        <v>42565</v>
      </c>
    </row>
    <row r="262" spans="1:8" ht="15" customHeight="1">
      <c r="A262" s="280" t="s">
        <v>323</v>
      </c>
      <c r="B262" s="280" t="s">
        <v>498</v>
      </c>
      <c r="C262" s="280" t="s">
        <v>704</v>
      </c>
      <c r="D262" s="395">
        <v>0</v>
      </c>
      <c r="E262" s="395"/>
      <c r="F262" s="396"/>
      <c r="G262" s="396"/>
      <c r="H262" s="396">
        <v>42565</v>
      </c>
    </row>
    <row r="263" spans="1:8" ht="15" customHeight="1">
      <c r="A263" s="280" t="s">
        <v>323</v>
      </c>
      <c r="B263" s="280" t="s">
        <v>505</v>
      </c>
      <c r="C263" s="280" t="s">
        <v>705</v>
      </c>
      <c r="D263" s="395">
        <v>0</v>
      </c>
      <c r="E263" s="395"/>
      <c r="F263" s="396"/>
      <c r="G263" s="396"/>
      <c r="H263" s="396">
        <v>42565</v>
      </c>
    </row>
    <row r="264" spans="1:8" ht="15" customHeight="1">
      <c r="A264" s="280" t="s">
        <v>323</v>
      </c>
      <c r="B264" s="280" t="s">
        <v>269</v>
      </c>
      <c r="C264" s="280" t="s">
        <v>706</v>
      </c>
      <c r="D264" s="395">
        <v>0</v>
      </c>
      <c r="E264" s="395"/>
      <c r="F264" s="396"/>
      <c r="G264" s="396"/>
      <c r="H264" s="396">
        <v>42931</v>
      </c>
    </row>
    <row r="265" spans="1:8" ht="15" customHeight="1">
      <c r="A265" s="280" t="s">
        <v>323</v>
      </c>
      <c r="B265" s="280" t="s">
        <v>269</v>
      </c>
      <c r="C265" s="280" t="s">
        <v>707</v>
      </c>
      <c r="D265" s="395">
        <v>0</v>
      </c>
      <c r="E265" s="395"/>
      <c r="F265" s="396"/>
      <c r="G265" s="396"/>
      <c r="H265" s="396">
        <v>42931</v>
      </c>
    </row>
    <row r="266" spans="1:8" ht="15" customHeight="1">
      <c r="A266" s="280" t="s">
        <v>323</v>
      </c>
      <c r="B266" s="280" t="s">
        <v>231</v>
      </c>
      <c r="C266" s="280" t="s">
        <v>708</v>
      </c>
      <c r="D266" s="395">
        <v>0</v>
      </c>
      <c r="E266" s="395"/>
      <c r="F266" s="396"/>
      <c r="G266" s="396"/>
      <c r="H266" s="396">
        <v>42565</v>
      </c>
    </row>
    <row r="267" spans="1:8" ht="15" customHeight="1">
      <c r="A267" s="280" t="s">
        <v>323</v>
      </c>
      <c r="B267" s="280" t="s">
        <v>506</v>
      </c>
      <c r="C267" s="280" t="s">
        <v>709</v>
      </c>
      <c r="D267" s="395">
        <v>0</v>
      </c>
      <c r="E267" s="395"/>
      <c r="F267" s="396"/>
      <c r="G267" s="396"/>
      <c r="H267" s="396">
        <v>42565</v>
      </c>
    </row>
    <row r="268" spans="1:8" ht="15" customHeight="1">
      <c r="A268" s="280" t="s">
        <v>323</v>
      </c>
      <c r="B268" s="280" t="s">
        <v>232</v>
      </c>
      <c r="C268" s="280" t="s">
        <v>710</v>
      </c>
      <c r="D268" s="395">
        <v>0</v>
      </c>
      <c r="E268" s="395"/>
      <c r="F268" s="396"/>
      <c r="G268" s="396"/>
      <c r="H268" s="396">
        <v>42565</v>
      </c>
    </row>
    <row r="269" spans="1:8" ht="15" customHeight="1">
      <c r="A269" s="280" t="s">
        <v>82</v>
      </c>
      <c r="B269" s="280" t="s">
        <v>240</v>
      </c>
      <c r="C269" s="280" t="s">
        <v>385</v>
      </c>
      <c r="D269" s="395">
        <v>0</v>
      </c>
      <c r="E269" s="395"/>
      <c r="F269" s="396"/>
      <c r="G269" s="396"/>
      <c r="H269" s="396">
        <v>42308</v>
      </c>
    </row>
    <row r="270" spans="1:8" ht="15" customHeight="1">
      <c r="A270" s="280" t="s">
        <v>82</v>
      </c>
      <c r="B270" s="280" t="s">
        <v>497</v>
      </c>
      <c r="C270" s="280" t="s">
        <v>711</v>
      </c>
      <c r="D270" s="395">
        <v>0</v>
      </c>
      <c r="E270" s="395"/>
      <c r="F270" s="396"/>
      <c r="G270" s="396"/>
      <c r="H270" s="396">
        <v>42565</v>
      </c>
    </row>
    <row r="271" spans="1:8" ht="15" customHeight="1">
      <c r="A271" s="280" t="s">
        <v>82</v>
      </c>
      <c r="B271" s="280" t="s">
        <v>498</v>
      </c>
      <c r="C271" s="280" t="s">
        <v>712</v>
      </c>
      <c r="D271" s="395">
        <v>0</v>
      </c>
      <c r="E271" s="395"/>
      <c r="F271" s="396"/>
      <c r="G271" s="396"/>
      <c r="H271" s="396">
        <v>42565</v>
      </c>
    </row>
    <row r="272" spans="1:8" ht="15" customHeight="1">
      <c r="A272" s="280" t="s">
        <v>82</v>
      </c>
      <c r="B272" s="280" t="s">
        <v>505</v>
      </c>
      <c r="C272" s="280" t="s">
        <v>713</v>
      </c>
      <c r="D272" s="395">
        <v>0</v>
      </c>
      <c r="E272" s="395"/>
      <c r="F272" s="396"/>
      <c r="G272" s="396"/>
      <c r="H272" s="396">
        <v>42565</v>
      </c>
    </row>
    <row r="273" spans="1:8" ht="15" customHeight="1">
      <c r="A273" s="280" t="s">
        <v>82</v>
      </c>
      <c r="B273" s="280" t="s">
        <v>267</v>
      </c>
      <c r="C273" s="280" t="s">
        <v>714</v>
      </c>
      <c r="D273" s="395">
        <v>0</v>
      </c>
      <c r="E273" s="395"/>
      <c r="F273" s="396"/>
      <c r="G273" s="396"/>
      <c r="H273" s="396">
        <v>42565</v>
      </c>
    </row>
    <row r="274" spans="1:8" ht="15" customHeight="1">
      <c r="A274" s="280" t="s">
        <v>82</v>
      </c>
      <c r="B274" s="280" t="s">
        <v>242</v>
      </c>
      <c r="C274" s="280" t="s">
        <v>249</v>
      </c>
      <c r="D274" s="395">
        <v>0</v>
      </c>
      <c r="E274" s="395"/>
      <c r="F274" s="396"/>
      <c r="G274" s="396"/>
      <c r="H274" s="396">
        <v>42565</v>
      </c>
    </row>
    <row r="275" spans="1:8" ht="15" customHeight="1">
      <c r="A275" s="280" t="s">
        <v>82</v>
      </c>
      <c r="B275" s="280" t="s">
        <v>235</v>
      </c>
      <c r="C275" s="280" t="s">
        <v>715</v>
      </c>
      <c r="D275" s="395">
        <v>0</v>
      </c>
      <c r="E275" s="395"/>
      <c r="F275" s="396"/>
      <c r="G275" s="396"/>
      <c r="H275" s="396">
        <v>42766</v>
      </c>
    </row>
    <row r="276" spans="1:8" ht="15" customHeight="1">
      <c r="A276" s="280" t="s">
        <v>82</v>
      </c>
      <c r="B276" s="280" t="s">
        <v>235</v>
      </c>
      <c r="C276" s="280" t="s">
        <v>716</v>
      </c>
      <c r="D276" s="395">
        <v>0</v>
      </c>
      <c r="E276" s="395"/>
      <c r="F276" s="396"/>
      <c r="G276" s="396"/>
      <c r="H276" s="396">
        <v>42565</v>
      </c>
    </row>
    <row r="277" spans="1:8" ht="15" customHeight="1">
      <c r="A277" s="280" t="s">
        <v>82</v>
      </c>
      <c r="B277" s="280" t="s">
        <v>235</v>
      </c>
      <c r="C277" s="280" t="s">
        <v>717</v>
      </c>
      <c r="D277" s="395">
        <v>0</v>
      </c>
      <c r="E277" s="395"/>
      <c r="F277" s="396"/>
      <c r="G277" s="396"/>
      <c r="H277" s="396">
        <v>42565</v>
      </c>
    </row>
    <row r="278" spans="1:8" ht="15" customHeight="1">
      <c r="A278" s="280" t="s">
        <v>82</v>
      </c>
      <c r="B278" s="280" t="s">
        <v>359</v>
      </c>
      <c r="C278" s="280" t="s">
        <v>718</v>
      </c>
      <c r="D278" s="395">
        <v>0</v>
      </c>
      <c r="E278" s="395"/>
      <c r="F278" s="396"/>
      <c r="G278" s="396"/>
      <c r="H278" s="396">
        <v>42565</v>
      </c>
    </row>
    <row r="279" spans="1:8" ht="15" customHeight="1">
      <c r="A279" s="280" t="s">
        <v>82</v>
      </c>
      <c r="B279" s="280" t="s">
        <v>231</v>
      </c>
      <c r="C279" s="280" t="s">
        <v>719</v>
      </c>
      <c r="D279" s="395">
        <v>0</v>
      </c>
      <c r="E279" s="395"/>
      <c r="F279" s="396"/>
      <c r="G279" s="396"/>
      <c r="H279" s="396">
        <v>42565</v>
      </c>
    </row>
    <row r="280" spans="1:8" ht="15" customHeight="1">
      <c r="A280" s="280" t="s">
        <v>82</v>
      </c>
      <c r="B280" s="280" t="s">
        <v>232</v>
      </c>
      <c r="C280" s="280" t="s">
        <v>720</v>
      </c>
      <c r="D280" s="395">
        <v>0</v>
      </c>
      <c r="E280" s="395"/>
      <c r="F280" s="396"/>
      <c r="G280" s="396"/>
      <c r="H280" s="396">
        <v>42565</v>
      </c>
    </row>
    <row r="281" spans="1:8" ht="15" customHeight="1">
      <c r="A281" s="280" t="s">
        <v>109</v>
      </c>
      <c r="B281" s="280" t="s">
        <v>233</v>
      </c>
      <c r="C281" s="280" t="s">
        <v>721</v>
      </c>
      <c r="D281" s="395">
        <v>0</v>
      </c>
      <c r="E281" s="395"/>
      <c r="F281" s="396"/>
      <c r="G281" s="396"/>
      <c r="H281" s="396">
        <v>42565</v>
      </c>
    </row>
    <row r="282" spans="1:8" ht="15" customHeight="1">
      <c r="A282" s="280" t="s">
        <v>111</v>
      </c>
      <c r="B282" s="280" t="s">
        <v>240</v>
      </c>
      <c r="C282" s="280" t="s">
        <v>386</v>
      </c>
      <c r="D282" s="395">
        <v>0</v>
      </c>
      <c r="E282" s="395"/>
      <c r="F282" s="396"/>
      <c r="G282" s="396"/>
      <c r="H282" s="396">
        <v>42308</v>
      </c>
    </row>
    <row r="283" spans="1:8" ht="15" customHeight="1">
      <c r="A283" s="280" t="s">
        <v>111</v>
      </c>
      <c r="B283" s="280" t="s">
        <v>498</v>
      </c>
      <c r="C283" s="280" t="s">
        <v>722</v>
      </c>
      <c r="D283" s="395">
        <v>0</v>
      </c>
      <c r="E283" s="395"/>
      <c r="F283" s="396"/>
      <c r="G283" s="396"/>
      <c r="H283" s="396">
        <v>42565</v>
      </c>
    </row>
    <row r="284" spans="1:8" ht="15" customHeight="1">
      <c r="A284" s="280" t="s">
        <v>111</v>
      </c>
      <c r="B284" s="280" t="s">
        <v>505</v>
      </c>
      <c r="C284" s="280" t="s">
        <v>723</v>
      </c>
      <c r="D284" s="395">
        <v>0</v>
      </c>
      <c r="E284" s="395"/>
      <c r="F284" s="396"/>
      <c r="G284" s="396"/>
      <c r="H284" s="396">
        <v>42565</v>
      </c>
    </row>
    <row r="285" spans="1:8" ht="15" customHeight="1">
      <c r="A285" s="280" t="s">
        <v>111</v>
      </c>
      <c r="B285" s="280" t="s">
        <v>412</v>
      </c>
      <c r="C285" s="280" t="s">
        <v>423</v>
      </c>
      <c r="D285" s="395">
        <v>0</v>
      </c>
      <c r="E285" s="395"/>
      <c r="F285" s="396"/>
      <c r="G285" s="396"/>
      <c r="H285" s="396">
        <v>42565</v>
      </c>
    </row>
    <row r="286" spans="1:8" ht="15" customHeight="1">
      <c r="A286" s="280" t="s">
        <v>111</v>
      </c>
      <c r="B286" s="280" t="s">
        <v>267</v>
      </c>
      <c r="C286" s="280" t="s">
        <v>724</v>
      </c>
      <c r="D286" s="395">
        <v>0</v>
      </c>
      <c r="E286" s="395"/>
      <c r="F286" s="396"/>
      <c r="G286" s="396"/>
      <c r="H286" s="396">
        <v>42565</v>
      </c>
    </row>
    <row r="287" spans="1:8" ht="15" customHeight="1">
      <c r="A287" s="280" t="s">
        <v>111</v>
      </c>
      <c r="B287" s="280" t="s">
        <v>274</v>
      </c>
      <c r="C287" s="280" t="s">
        <v>725</v>
      </c>
      <c r="D287" s="395">
        <v>0</v>
      </c>
      <c r="E287" s="395"/>
      <c r="F287" s="396"/>
      <c r="G287" s="396"/>
      <c r="H287" s="396">
        <v>42565</v>
      </c>
    </row>
    <row r="288" spans="1:8" ht="15" customHeight="1">
      <c r="A288" s="280" t="s">
        <v>111</v>
      </c>
      <c r="B288" s="280" t="s">
        <v>242</v>
      </c>
      <c r="C288" s="280" t="s">
        <v>250</v>
      </c>
      <c r="D288" s="395">
        <v>0</v>
      </c>
      <c r="E288" s="395"/>
      <c r="F288" s="396"/>
      <c r="G288" s="396"/>
      <c r="H288" s="396">
        <v>42565</v>
      </c>
    </row>
    <row r="289" spans="1:8" ht="15" customHeight="1">
      <c r="A289" s="280" t="s">
        <v>111</v>
      </c>
      <c r="B289" s="280" t="s">
        <v>233</v>
      </c>
      <c r="C289" s="280" t="s">
        <v>726</v>
      </c>
      <c r="D289" s="395">
        <v>0</v>
      </c>
      <c r="E289" s="395"/>
      <c r="F289" s="396"/>
      <c r="G289" s="396"/>
      <c r="H289" s="396">
        <v>42565</v>
      </c>
    </row>
    <row r="290" spans="1:8" ht="15" customHeight="1">
      <c r="A290" s="280" t="s">
        <v>111</v>
      </c>
      <c r="B290" s="280" t="s">
        <v>231</v>
      </c>
      <c r="C290" s="280" t="s">
        <v>727</v>
      </c>
      <c r="D290" s="395">
        <v>0</v>
      </c>
      <c r="E290" s="395"/>
      <c r="F290" s="396"/>
      <c r="G290" s="396"/>
      <c r="H290" s="396">
        <v>42565</v>
      </c>
    </row>
    <row r="291" spans="1:8" ht="15" customHeight="1">
      <c r="A291" s="280" t="s">
        <v>111</v>
      </c>
      <c r="B291" s="280" t="s">
        <v>429</v>
      </c>
      <c r="C291" s="280" t="s">
        <v>434</v>
      </c>
      <c r="D291" s="395">
        <v>0</v>
      </c>
      <c r="E291" s="395"/>
      <c r="F291" s="396"/>
      <c r="G291" s="396"/>
      <c r="H291" s="396">
        <v>42308</v>
      </c>
    </row>
    <row r="292" spans="1:8" ht="15" customHeight="1">
      <c r="A292" s="280" t="s">
        <v>111</v>
      </c>
      <c r="B292" s="280" t="s">
        <v>232</v>
      </c>
      <c r="C292" s="280" t="s">
        <v>728</v>
      </c>
      <c r="D292" s="395">
        <v>0</v>
      </c>
      <c r="E292" s="395"/>
      <c r="F292" s="396"/>
      <c r="G292" s="396"/>
      <c r="H292" s="396">
        <v>42565</v>
      </c>
    </row>
    <row r="293" spans="1:8" ht="15" customHeight="1">
      <c r="A293" s="280" t="s">
        <v>83</v>
      </c>
      <c r="B293" s="280" t="s">
        <v>240</v>
      </c>
      <c r="C293" s="280" t="s">
        <v>387</v>
      </c>
      <c r="D293" s="395">
        <v>0</v>
      </c>
      <c r="E293" s="395"/>
      <c r="F293" s="396"/>
      <c r="G293" s="396"/>
      <c r="H293" s="396">
        <v>42308</v>
      </c>
    </row>
    <row r="294" spans="1:8" ht="15" customHeight="1">
      <c r="A294" s="280" t="s">
        <v>83</v>
      </c>
      <c r="B294" s="280" t="s">
        <v>497</v>
      </c>
      <c r="C294" s="280" t="s">
        <v>729</v>
      </c>
      <c r="D294" s="395">
        <v>0</v>
      </c>
      <c r="E294" s="395"/>
      <c r="F294" s="396"/>
      <c r="G294" s="396"/>
      <c r="H294" s="396">
        <v>42565</v>
      </c>
    </row>
    <row r="295" spans="1:8" ht="15" customHeight="1">
      <c r="A295" s="280" t="s">
        <v>83</v>
      </c>
      <c r="B295" s="280" t="s">
        <v>498</v>
      </c>
      <c r="C295" s="280" t="s">
        <v>730</v>
      </c>
      <c r="D295" s="395">
        <v>0</v>
      </c>
      <c r="E295" s="395"/>
      <c r="F295" s="396"/>
      <c r="G295" s="396"/>
      <c r="H295" s="396">
        <v>42565</v>
      </c>
    </row>
    <row r="296" spans="1:8" ht="15" customHeight="1">
      <c r="A296" s="280" t="s">
        <v>83</v>
      </c>
      <c r="B296" s="280" t="s">
        <v>505</v>
      </c>
      <c r="C296" s="280" t="s">
        <v>731</v>
      </c>
      <c r="D296" s="395">
        <v>0</v>
      </c>
      <c r="E296" s="395"/>
      <c r="F296" s="396"/>
      <c r="G296" s="396"/>
      <c r="H296" s="396">
        <v>42565</v>
      </c>
    </row>
    <row r="297" spans="1:8" ht="15" customHeight="1">
      <c r="A297" s="280" t="s">
        <v>83</v>
      </c>
      <c r="B297" s="280" t="s">
        <v>267</v>
      </c>
      <c r="C297" s="280" t="s">
        <v>732</v>
      </c>
      <c r="D297" s="395">
        <v>0</v>
      </c>
      <c r="E297" s="395"/>
      <c r="F297" s="396"/>
      <c r="G297" s="396"/>
      <c r="H297" s="396">
        <v>42565</v>
      </c>
    </row>
    <row r="298" spans="1:8" ht="15" customHeight="1">
      <c r="A298" s="280" t="s">
        <v>83</v>
      </c>
      <c r="B298" s="280" t="s">
        <v>242</v>
      </c>
      <c r="C298" s="280" t="s">
        <v>251</v>
      </c>
      <c r="D298" s="395">
        <v>0</v>
      </c>
      <c r="E298" s="395"/>
      <c r="F298" s="396"/>
      <c r="G298" s="396"/>
      <c r="H298" s="396">
        <v>42565</v>
      </c>
    </row>
    <row r="299" spans="1:8" ht="15" customHeight="1">
      <c r="A299" s="280" t="s">
        <v>83</v>
      </c>
      <c r="B299" s="280" t="s">
        <v>235</v>
      </c>
      <c r="C299" s="280" t="s">
        <v>733</v>
      </c>
      <c r="D299" s="395">
        <v>0</v>
      </c>
      <c r="E299" s="395"/>
      <c r="F299" s="396"/>
      <c r="G299" s="396"/>
      <c r="H299" s="396">
        <v>42308</v>
      </c>
    </row>
    <row r="300" spans="1:8" ht="15" customHeight="1">
      <c r="A300" s="280" t="s">
        <v>83</v>
      </c>
      <c r="B300" s="280" t="s">
        <v>233</v>
      </c>
      <c r="C300" s="280" t="s">
        <v>734</v>
      </c>
      <c r="D300" s="395">
        <v>0</v>
      </c>
      <c r="E300" s="395"/>
      <c r="F300" s="396"/>
      <c r="G300" s="396"/>
      <c r="H300" s="396">
        <v>42565</v>
      </c>
    </row>
    <row r="301" spans="1:8" ht="15" customHeight="1">
      <c r="A301" s="280" t="s">
        <v>83</v>
      </c>
      <c r="B301" s="280" t="s">
        <v>231</v>
      </c>
      <c r="C301" s="280" t="s">
        <v>735</v>
      </c>
      <c r="D301" s="395">
        <v>0</v>
      </c>
      <c r="E301" s="395"/>
      <c r="F301" s="396"/>
      <c r="G301" s="396"/>
      <c r="H301" s="396">
        <v>42565</v>
      </c>
    </row>
    <row r="302" spans="1:8" ht="15" customHeight="1">
      <c r="A302" s="280" t="s">
        <v>83</v>
      </c>
      <c r="B302" s="280" t="s">
        <v>232</v>
      </c>
      <c r="C302" s="280" t="s">
        <v>736</v>
      </c>
      <c r="D302" s="395">
        <v>0</v>
      </c>
      <c r="E302" s="395"/>
      <c r="F302" s="396"/>
      <c r="G302" s="396"/>
      <c r="H302" s="396">
        <v>42565</v>
      </c>
    </row>
    <row r="303" spans="1:8" ht="15" customHeight="1">
      <c r="A303" s="280" t="s">
        <v>112</v>
      </c>
      <c r="B303" s="280" t="s">
        <v>240</v>
      </c>
      <c r="C303" s="280" t="s">
        <v>388</v>
      </c>
      <c r="D303" s="395">
        <v>0</v>
      </c>
      <c r="E303" s="395"/>
      <c r="F303" s="396"/>
      <c r="G303" s="396"/>
      <c r="H303" s="396">
        <v>42308</v>
      </c>
    </row>
    <row r="304" spans="1:8" ht="15" customHeight="1">
      <c r="A304" s="280" t="s">
        <v>112</v>
      </c>
      <c r="B304" s="280" t="s">
        <v>497</v>
      </c>
      <c r="C304" s="280" t="s">
        <v>737</v>
      </c>
      <c r="D304" s="395">
        <v>0</v>
      </c>
      <c r="E304" s="395"/>
      <c r="F304" s="396"/>
      <c r="G304" s="396"/>
      <c r="H304" s="396">
        <v>42565</v>
      </c>
    </row>
    <row r="305" spans="1:8" ht="15" customHeight="1">
      <c r="A305" s="280" t="s">
        <v>112</v>
      </c>
      <c r="B305" s="280" t="s">
        <v>498</v>
      </c>
      <c r="C305" s="280" t="s">
        <v>738</v>
      </c>
      <c r="D305" s="395">
        <v>0</v>
      </c>
      <c r="E305" s="395"/>
      <c r="F305" s="396"/>
      <c r="G305" s="396"/>
      <c r="H305" s="396">
        <v>42565</v>
      </c>
    </row>
    <row r="306" spans="1:8" ht="15" customHeight="1">
      <c r="A306" s="280" t="s">
        <v>112</v>
      </c>
      <c r="B306" s="280" t="s">
        <v>505</v>
      </c>
      <c r="C306" s="280" t="s">
        <v>739</v>
      </c>
      <c r="D306" s="395">
        <v>0</v>
      </c>
      <c r="E306" s="395"/>
      <c r="F306" s="396"/>
      <c r="G306" s="396"/>
      <c r="H306" s="396">
        <v>42565</v>
      </c>
    </row>
    <row r="307" spans="1:8" ht="15" customHeight="1">
      <c r="A307" s="280" t="s">
        <v>112</v>
      </c>
      <c r="B307" s="280" t="s">
        <v>242</v>
      </c>
      <c r="C307" s="280" t="s">
        <v>389</v>
      </c>
      <c r="D307" s="395">
        <v>0</v>
      </c>
      <c r="E307" s="395"/>
      <c r="F307" s="396"/>
      <c r="G307" s="396"/>
      <c r="H307" s="396">
        <v>42565</v>
      </c>
    </row>
    <row r="308" spans="1:8" ht="15" customHeight="1">
      <c r="A308" s="280" t="s">
        <v>112</v>
      </c>
      <c r="B308" s="280" t="s">
        <v>359</v>
      </c>
      <c r="C308" s="280" t="s">
        <v>740</v>
      </c>
      <c r="D308" s="395">
        <v>0</v>
      </c>
      <c r="E308" s="395"/>
      <c r="F308" s="396"/>
      <c r="G308" s="396"/>
      <c r="H308" s="396">
        <v>42565</v>
      </c>
    </row>
    <row r="309" spans="1:8" ht="15" customHeight="1">
      <c r="A309" s="280" t="s">
        <v>112</v>
      </c>
      <c r="B309" s="280" t="s">
        <v>231</v>
      </c>
      <c r="C309" s="280" t="s">
        <v>741</v>
      </c>
      <c r="D309" s="395">
        <v>0</v>
      </c>
      <c r="E309" s="395"/>
      <c r="F309" s="396"/>
      <c r="G309" s="396"/>
      <c r="H309" s="396">
        <v>42565</v>
      </c>
    </row>
    <row r="310" spans="1:8" ht="15" customHeight="1">
      <c r="A310" s="280" t="s">
        <v>112</v>
      </c>
      <c r="B310" s="280" t="s">
        <v>232</v>
      </c>
      <c r="C310" s="280" t="s">
        <v>742</v>
      </c>
      <c r="D310" s="395">
        <v>0</v>
      </c>
      <c r="E310" s="395"/>
      <c r="F310" s="396"/>
      <c r="G310" s="396"/>
      <c r="H310" s="396">
        <v>42565</v>
      </c>
    </row>
    <row r="311" spans="1:8" ht="15" customHeight="1">
      <c r="A311" s="280" t="s">
        <v>84</v>
      </c>
      <c r="B311" s="280" t="s">
        <v>240</v>
      </c>
      <c r="C311" s="280" t="s">
        <v>390</v>
      </c>
      <c r="D311" s="395">
        <v>0</v>
      </c>
      <c r="E311" s="395"/>
      <c r="F311" s="396"/>
      <c r="G311" s="396"/>
      <c r="H311" s="396">
        <v>42308</v>
      </c>
    </row>
    <row r="312" spans="1:8" ht="15" customHeight="1">
      <c r="A312" s="280" t="s">
        <v>84</v>
      </c>
      <c r="B312" s="280" t="s">
        <v>497</v>
      </c>
      <c r="C312" s="280" t="s">
        <v>743</v>
      </c>
      <c r="D312" s="395">
        <v>0</v>
      </c>
      <c r="E312" s="395"/>
      <c r="F312" s="396"/>
      <c r="G312" s="396"/>
      <c r="H312" s="396">
        <v>42565</v>
      </c>
    </row>
    <row r="313" spans="1:8" ht="15" customHeight="1">
      <c r="A313" s="280" t="s">
        <v>84</v>
      </c>
      <c r="B313" s="280" t="s">
        <v>498</v>
      </c>
      <c r="C313" s="280" t="s">
        <v>744</v>
      </c>
      <c r="D313" s="395">
        <v>0</v>
      </c>
      <c r="E313" s="395"/>
      <c r="F313" s="396"/>
      <c r="G313" s="396"/>
      <c r="H313" s="396">
        <v>42565</v>
      </c>
    </row>
    <row r="314" spans="1:8" ht="15" customHeight="1">
      <c r="A314" s="280" t="s">
        <v>84</v>
      </c>
      <c r="B314" s="280" t="s">
        <v>505</v>
      </c>
      <c r="C314" s="280" t="s">
        <v>745</v>
      </c>
      <c r="D314" s="395">
        <v>0</v>
      </c>
      <c r="E314" s="395"/>
      <c r="F314" s="396"/>
      <c r="G314" s="396"/>
      <c r="H314" s="396">
        <v>42565</v>
      </c>
    </row>
    <row r="315" spans="1:8" ht="15" customHeight="1">
      <c r="A315" s="280" t="s">
        <v>84</v>
      </c>
      <c r="B315" s="280" t="s">
        <v>241</v>
      </c>
      <c r="C315" s="280" t="s">
        <v>746</v>
      </c>
      <c r="D315" s="395">
        <v>0</v>
      </c>
      <c r="E315" s="395"/>
      <c r="F315" s="396"/>
      <c r="G315" s="396"/>
      <c r="H315" s="396">
        <v>42565</v>
      </c>
    </row>
    <row r="316" spans="1:8" ht="15" customHeight="1">
      <c r="A316" s="280" t="s">
        <v>84</v>
      </c>
      <c r="B316" s="280" t="s">
        <v>274</v>
      </c>
      <c r="C316" s="280" t="s">
        <v>747</v>
      </c>
      <c r="D316" s="395">
        <v>0</v>
      </c>
      <c r="E316" s="395"/>
      <c r="F316" s="396"/>
      <c r="G316" s="396"/>
      <c r="H316" s="396">
        <v>42565</v>
      </c>
    </row>
    <row r="317" spans="1:8" ht="15" customHeight="1">
      <c r="A317" s="280" t="s">
        <v>84</v>
      </c>
      <c r="B317" s="280" t="s">
        <v>274</v>
      </c>
      <c r="C317" s="280" t="s">
        <v>748</v>
      </c>
      <c r="D317" s="395">
        <v>0</v>
      </c>
      <c r="E317" s="395"/>
      <c r="F317" s="396"/>
      <c r="G317" s="396"/>
      <c r="H317" s="396">
        <v>42565</v>
      </c>
    </row>
    <row r="318" spans="1:8" ht="15" customHeight="1">
      <c r="A318" s="280" t="s">
        <v>84</v>
      </c>
      <c r="B318" s="280" t="s">
        <v>244</v>
      </c>
      <c r="C318" s="280" t="s">
        <v>749</v>
      </c>
      <c r="D318" s="395">
        <v>0</v>
      </c>
      <c r="E318" s="395"/>
      <c r="F318" s="396"/>
      <c r="G318" s="396"/>
      <c r="H318" s="396">
        <v>42428</v>
      </c>
    </row>
    <row r="319" spans="1:8" ht="15" customHeight="1">
      <c r="A319" s="280" t="s">
        <v>84</v>
      </c>
      <c r="B319" s="280" t="s">
        <v>234</v>
      </c>
      <c r="C319" s="280" t="s">
        <v>750</v>
      </c>
      <c r="D319" s="395">
        <v>0</v>
      </c>
      <c r="E319" s="395"/>
      <c r="F319" s="396"/>
      <c r="G319" s="396"/>
      <c r="H319" s="396">
        <v>42565</v>
      </c>
    </row>
    <row r="320" spans="1:8" ht="15" customHeight="1">
      <c r="A320" s="280" t="s">
        <v>84</v>
      </c>
      <c r="B320" s="280" t="s">
        <v>233</v>
      </c>
      <c r="C320" s="280" t="s">
        <v>751</v>
      </c>
      <c r="D320" s="395">
        <v>0</v>
      </c>
      <c r="E320" s="395"/>
      <c r="F320" s="396"/>
      <c r="G320" s="396"/>
      <c r="H320" s="396">
        <v>42565</v>
      </c>
    </row>
    <row r="321" spans="1:8" ht="15" customHeight="1">
      <c r="A321" s="280" t="s">
        <v>84</v>
      </c>
      <c r="B321" s="280" t="s">
        <v>359</v>
      </c>
      <c r="C321" s="280" t="s">
        <v>752</v>
      </c>
      <c r="D321" s="395">
        <v>0</v>
      </c>
      <c r="E321" s="395"/>
      <c r="F321" s="396"/>
      <c r="G321" s="396"/>
      <c r="H321" s="396">
        <v>42565</v>
      </c>
    </row>
    <row r="322" spans="1:8" ht="15" customHeight="1">
      <c r="A322" s="280" t="s">
        <v>84</v>
      </c>
      <c r="B322" s="280" t="s">
        <v>231</v>
      </c>
      <c r="C322" s="280" t="s">
        <v>753</v>
      </c>
      <c r="D322" s="395">
        <v>0</v>
      </c>
      <c r="E322" s="395"/>
      <c r="F322" s="396"/>
      <c r="G322" s="396"/>
      <c r="H322" s="396">
        <v>42565</v>
      </c>
    </row>
    <row r="323" spans="1:8" ht="15" customHeight="1">
      <c r="A323" s="280" t="s">
        <v>84</v>
      </c>
      <c r="B323" s="280" t="s">
        <v>506</v>
      </c>
      <c r="C323" s="280" t="s">
        <v>754</v>
      </c>
      <c r="D323" s="395">
        <v>0</v>
      </c>
      <c r="E323" s="395"/>
      <c r="F323" s="396"/>
      <c r="G323" s="396"/>
      <c r="H323" s="396">
        <v>42565</v>
      </c>
    </row>
    <row r="324" spans="1:8" ht="15" customHeight="1">
      <c r="A324" s="280" t="s">
        <v>84</v>
      </c>
      <c r="B324" s="280" t="s">
        <v>232</v>
      </c>
      <c r="C324" s="280" t="s">
        <v>755</v>
      </c>
      <c r="D324" s="395">
        <v>0</v>
      </c>
      <c r="E324" s="395"/>
      <c r="F324" s="396"/>
      <c r="G324" s="396"/>
      <c r="H324" s="396">
        <v>42565</v>
      </c>
    </row>
    <row r="325" spans="1:8" ht="15" customHeight="1">
      <c r="A325" s="280" t="s">
        <v>85</v>
      </c>
      <c r="B325" s="280" t="s">
        <v>240</v>
      </c>
      <c r="C325" s="280" t="s">
        <v>391</v>
      </c>
      <c r="D325" s="395">
        <v>0</v>
      </c>
      <c r="E325" s="395"/>
      <c r="F325" s="396"/>
      <c r="G325" s="396"/>
      <c r="H325" s="396">
        <v>42308</v>
      </c>
    </row>
    <row r="326" spans="1:8" ht="15" customHeight="1">
      <c r="A326" s="280" t="s">
        <v>85</v>
      </c>
      <c r="B326" s="280" t="s">
        <v>497</v>
      </c>
      <c r="C326" s="280" t="s">
        <v>756</v>
      </c>
      <c r="D326" s="395">
        <v>0</v>
      </c>
      <c r="E326" s="395"/>
      <c r="F326" s="396"/>
      <c r="G326" s="396"/>
      <c r="H326" s="396">
        <v>42565</v>
      </c>
    </row>
    <row r="327" spans="1:8" ht="15" customHeight="1">
      <c r="A327" s="280" t="s">
        <v>85</v>
      </c>
      <c r="B327" s="280" t="s">
        <v>498</v>
      </c>
      <c r="C327" s="280" t="s">
        <v>757</v>
      </c>
      <c r="D327" s="395">
        <v>0</v>
      </c>
      <c r="E327" s="395"/>
      <c r="F327" s="396"/>
      <c r="G327" s="396"/>
      <c r="H327" s="396">
        <v>42565</v>
      </c>
    </row>
    <row r="328" spans="1:8" ht="15" customHeight="1">
      <c r="A328" s="280" t="s">
        <v>85</v>
      </c>
      <c r="B328" s="280" t="s">
        <v>505</v>
      </c>
      <c r="C328" s="280" t="s">
        <v>758</v>
      </c>
      <c r="D328" s="395">
        <v>0</v>
      </c>
      <c r="E328" s="395"/>
      <c r="F328" s="396"/>
      <c r="G328" s="396"/>
      <c r="H328" s="396">
        <v>42565</v>
      </c>
    </row>
    <row r="329" spans="1:8" ht="15" customHeight="1">
      <c r="A329" s="280" t="s">
        <v>85</v>
      </c>
      <c r="B329" s="280" t="s">
        <v>412</v>
      </c>
      <c r="C329" s="280" t="s">
        <v>424</v>
      </c>
      <c r="D329" s="395">
        <v>0</v>
      </c>
      <c r="E329" s="395"/>
      <c r="F329" s="396"/>
      <c r="G329" s="396"/>
      <c r="H329" s="396">
        <v>42565</v>
      </c>
    </row>
    <row r="330" spans="1:8" ht="15" customHeight="1">
      <c r="A330" s="280" t="s">
        <v>85</v>
      </c>
      <c r="B330" s="280" t="s">
        <v>241</v>
      </c>
      <c r="C330" s="280" t="s">
        <v>759</v>
      </c>
      <c r="D330" s="395">
        <v>0</v>
      </c>
      <c r="E330" s="395"/>
      <c r="F330" s="396"/>
      <c r="G330" s="396"/>
      <c r="H330" s="396">
        <v>42565</v>
      </c>
    </row>
    <row r="331" spans="1:8" ht="15" customHeight="1">
      <c r="A331" s="280" t="s">
        <v>85</v>
      </c>
      <c r="B331" s="280" t="s">
        <v>231</v>
      </c>
      <c r="C331" s="280" t="s">
        <v>760</v>
      </c>
      <c r="D331" s="395">
        <v>0</v>
      </c>
      <c r="E331" s="395"/>
      <c r="F331" s="396"/>
      <c r="G331" s="396"/>
      <c r="H331" s="396">
        <v>42565</v>
      </c>
    </row>
    <row r="332" spans="1:8" ht="15" customHeight="1">
      <c r="A332" s="280" t="s">
        <v>85</v>
      </c>
      <c r="B332" s="280" t="s">
        <v>506</v>
      </c>
      <c r="C332" s="280" t="s">
        <v>761</v>
      </c>
      <c r="D332" s="395">
        <v>0</v>
      </c>
      <c r="E332" s="395"/>
      <c r="F332" s="396"/>
      <c r="G332" s="396"/>
      <c r="H332" s="396">
        <v>42565</v>
      </c>
    </row>
    <row r="333" spans="1:8" ht="15" customHeight="1">
      <c r="A333" s="280" t="s">
        <v>85</v>
      </c>
      <c r="B333" s="280" t="s">
        <v>232</v>
      </c>
      <c r="C333" s="280" t="s">
        <v>762</v>
      </c>
      <c r="D333" s="395">
        <v>0</v>
      </c>
      <c r="E333" s="395"/>
      <c r="F333" s="396"/>
      <c r="G333" s="396"/>
      <c r="H333" s="396">
        <v>42565</v>
      </c>
    </row>
    <row r="334" spans="1:8" ht="15" customHeight="1">
      <c r="A334" s="361"/>
      <c r="B334" s="361"/>
      <c r="C334" s="361"/>
      <c r="D334" s="362"/>
      <c r="E334" s="362">
        <f>SUM(E2:E333)</f>
        <v>0</v>
      </c>
      <c r="F334" s="363"/>
      <c r="G334" s="363"/>
      <c r="H334" s="363"/>
    </row>
    <row r="335" spans="1:8" ht="15" customHeight="1">
      <c r="A335" s="361"/>
      <c r="B335" s="361"/>
      <c r="C335" s="361"/>
      <c r="D335" s="362"/>
      <c r="E335" s="362"/>
      <c r="F335" s="363"/>
      <c r="G335" s="363"/>
      <c r="H335" s="363"/>
    </row>
    <row r="336" spans="1:8" ht="15" customHeight="1">
      <c r="A336" s="361"/>
      <c r="B336" s="361"/>
      <c r="C336" s="361"/>
      <c r="D336" s="362"/>
      <c r="E336" s="362"/>
      <c r="F336" s="363"/>
      <c r="G336" s="363"/>
      <c r="H336" s="363"/>
    </row>
    <row r="337" spans="1:8" ht="15" customHeight="1">
      <c r="A337" s="361"/>
      <c r="B337" s="361"/>
      <c r="C337" s="361"/>
      <c r="D337" s="362"/>
      <c r="E337" s="362"/>
      <c r="F337" s="363"/>
      <c r="G337" s="363"/>
      <c r="H337" s="363"/>
    </row>
    <row r="338" spans="1:8" ht="15" customHeight="1">
      <c r="A338" s="361"/>
      <c r="B338" s="361"/>
      <c r="C338" s="361"/>
      <c r="D338" s="362"/>
      <c r="E338" s="362"/>
      <c r="F338" s="363"/>
      <c r="G338" s="363"/>
      <c r="H338" s="363"/>
    </row>
    <row r="339" spans="1:8" ht="15" customHeight="1">
      <c r="A339" s="361"/>
      <c r="B339" s="361"/>
      <c r="C339" s="361"/>
      <c r="D339" s="362"/>
      <c r="E339" s="362"/>
      <c r="F339" s="363"/>
      <c r="G339" s="363"/>
      <c r="H339" s="363"/>
    </row>
    <row r="340" spans="1:8" ht="15" customHeight="1">
      <c r="A340" s="361"/>
      <c r="B340" s="361"/>
      <c r="C340" s="361"/>
      <c r="D340" s="362"/>
      <c r="E340" s="362"/>
      <c r="F340" s="363"/>
      <c r="G340" s="363"/>
      <c r="H340" s="363"/>
    </row>
    <row r="341" spans="1:8" ht="15" customHeight="1">
      <c r="A341" s="361"/>
      <c r="B341" s="361"/>
      <c r="C341" s="361"/>
      <c r="D341" s="362"/>
      <c r="E341" s="362"/>
      <c r="F341" s="363"/>
      <c r="G341" s="363"/>
      <c r="H341" s="363"/>
    </row>
    <row r="342" spans="1:8" ht="15" customHeight="1">
      <c r="A342" s="361"/>
      <c r="B342" s="361"/>
      <c r="C342" s="361"/>
      <c r="D342" s="362"/>
      <c r="E342" s="362"/>
      <c r="F342" s="363"/>
      <c r="G342" s="363"/>
      <c r="H342" s="363"/>
    </row>
    <row r="343" spans="1:8" ht="15" customHeight="1">
      <c r="A343" s="361"/>
      <c r="B343" s="361"/>
      <c r="C343" s="361"/>
      <c r="D343" s="362"/>
      <c r="E343" s="362"/>
      <c r="F343" s="363"/>
      <c r="G343" s="363"/>
      <c r="H343" s="363"/>
    </row>
    <row r="344" spans="1:8" ht="15" customHeight="1">
      <c r="A344" s="361"/>
      <c r="B344" s="361"/>
      <c r="C344" s="361"/>
      <c r="D344" s="362"/>
      <c r="E344" s="362"/>
      <c r="F344" s="363"/>
      <c r="G344" s="363"/>
      <c r="H344" s="363"/>
    </row>
    <row r="345" spans="1:8" ht="15" customHeight="1">
      <c r="A345" s="361"/>
      <c r="B345" s="361"/>
      <c r="C345" s="361"/>
      <c r="D345" s="362"/>
      <c r="E345" s="362"/>
      <c r="F345" s="363"/>
      <c r="G345" s="363"/>
      <c r="H345" s="363"/>
    </row>
    <row r="346" spans="1:8" ht="15" customHeight="1">
      <c r="A346" s="361"/>
      <c r="B346" s="361"/>
      <c r="C346" s="361"/>
      <c r="D346" s="362"/>
      <c r="E346" s="362"/>
      <c r="F346" s="363"/>
      <c r="G346" s="363"/>
      <c r="H346" s="363"/>
    </row>
    <row r="347" spans="1:8" ht="15" customHeight="1">
      <c r="A347" s="361"/>
      <c r="B347" s="361"/>
      <c r="C347" s="361"/>
      <c r="D347" s="362"/>
      <c r="E347" s="362"/>
      <c r="F347" s="363"/>
      <c r="G347" s="363"/>
      <c r="H347" s="363"/>
    </row>
    <row r="348" spans="1:8" ht="15" customHeight="1">
      <c r="A348" s="361"/>
      <c r="B348" s="361"/>
      <c r="C348" s="361"/>
      <c r="D348" s="362"/>
      <c r="E348" s="362"/>
      <c r="F348" s="363"/>
      <c r="G348" s="363"/>
      <c r="H348" s="363"/>
    </row>
    <row r="349" spans="1:8" ht="15" customHeight="1">
      <c r="A349" s="361"/>
      <c r="B349" s="361"/>
      <c r="C349" s="361"/>
      <c r="D349" s="362"/>
      <c r="E349" s="362"/>
      <c r="F349" s="363"/>
      <c r="G349" s="363"/>
      <c r="H349" s="363"/>
    </row>
    <row r="350" spans="1:8" ht="15" customHeight="1">
      <c r="A350" s="361"/>
      <c r="B350" s="361"/>
      <c r="C350" s="361"/>
      <c r="D350" s="362"/>
      <c r="E350" s="362"/>
      <c r="F350" s="363"/>
      <c r="G350" s="363"/>
      <c r="H350" s="363"/>
    </row>
    <row r="351" spans="1:8" ht="15" customHeight="1">
      <c r="A351" s="361"/>
      <c r="B351" s="361"/>
      <c r="C351" s="361"/>
      <c r="D351" s="362"/>
      <c r="E351" s="362"/>
      <c r="F351" s="363"/>
      <c r="G351" s="363"/>
      <c r="H351" s="363"/>
    </row>
    <row r="352" spans="1:8" ht="15" customHeight="1">
      <c r="A352" s="361"/>
      <c r="B352" s="361"/>
      <c r="C352" s="361"/>
      <c r="D352" s="362"/>
      <c r="E352" s="362"/>
      <c r="F352" s="363"/>
      <c r="G352" s="363"/>
      <c r="H352" s="363"/>
    </row>
    <row r="353" spans="1:8" ht="15" customHeight="1">
      <c r="A353" s="361"/>
      <c r="B353" s="361"/>
      <c r="C353" s="361"/>
      <c r="D353" s="362"/>
      <c r="E353" s="362"/>
      <c r="F353" s="363"/>
      <c r="G353" s="363"/>
      <c r="H353" s="363"/>
    </row>
    <row r="354" spans="1:8" ht="15" customHeight="1">
      <c r="A354" s="361"/>
      <c r="B354" s="361"/>
      <c r="C354" s="361"/>
      <c r="D354" s="362"/>
      <c r="E354" s="362"/>
      <c r="F354" s="363"/>
      <c r="G354" s="363"/>
      <c r="H354" s="363"/>
    </row>
    <row r="355" spans="1:8" ht="15" customHeight="1">
      <c r="A355" s="361"/>
      <c r="B355" s="361"/>
      <c r="C355" s="361"/>
      <c r="D355" s="362"/>
      <c r="E355" s="362"/>
      <c r="F355" s="363"/>
      <c r="G355" s="363"/>
      <c r="H355" s="363"/>
    </row>
    <row r="356" spans="1:8" ht="15" customHeight="1">
      <c r="A356" s="361"/>
      <c r="B356" s="361"/>
      <c r="C356" s="361"/>
      <c r="D356" s="362"/>
      <c r="E356" s="362"/>
      <c r="F356" s="363"/>
      <c r="G356" s="363"/>
      <c r="H356" s="363"/>
    </row>
    <row r="357" spans="1:8" ht="15" customHeight="1">
      <c r="A357" s="361"/>
      <c r="B357" s="361"/>
      <c r="C357" s="361"/>
      <c r="D357" s="362"/>
      <c r="E357" s="362"/>
      <c r="F357" s="363"/>
      <c r="G357" s="363"/>
      <c r="H357" s="363"/>
    </row>
    <row r="358" spans="1:8" ht="15" customHeight="1">
      <c r="A358" s="361"/>
      <c r="B358" s="361"/>
      <c r="C358" s="361"/>
      <c r="D358" s="362"/>
      <c r="E358" s="362"/>
      <c r="F358" s="363"/>
      <c r="G358" s="363"/>
      <c r="H358" s="363"/>
    </row>
    <row r="359" spans="1:8" ht="15" customHeight="1">
      <c r="A359" s="361"/>
      <c r="B359" s="361"/>
      <c r="C359" s="361"/>
      <c r="D359" s="362"/>
      <c r="E359" s="362"/>
      <c r="F359" s="363"/>
      <c r="G359" s="363"/>
      <c r="H359" s="363"/>
    </row>
    <row r="360" spans="1:8" ht="15" customHeight="1">
      <c r="A360" s="361"/>
      <c r="B360" s="361"/>
      <c r="C360" s="361"/>
      <c r="D360" s="362"/>
      <c r="E360" s="362"/>
      <c r="F360" s="363"/>
      <c r="G360" s="363"/>
      <c r="H360" s="363"/>
    </row>
    <row r="361" spans="1:8" ht="15" customHeight="1">
      <c r="A361" s="361"/>
      <c r="B361" s="361"/>
      <c r="C361" s="361"/>
      <c r="D361" s="362"/>
      <c r="E361" s="362"/>
      <c r="F361" s="363"/>
      <c r="G361" s="363"/>
      <c r="H361" s="363"/>
    </row>
    <row r="362" spans="1:8" ht="15" customHeight="1">
      <c r="A362" s="361"/>
      <c r="B362" s="361"/>
      <c r="C362" s="361"/>
      <c r="D362" s="362"/>
      <c r="E362" s="362"/>
      <c r="F362" s="363"/>
      <c r="G362" s="363"/>
      <c r="H362" s="363"/>
    </row>
    <row r="363" spans="1:8" ht="15" customHeight="1">
      <c r="A363" s="361"/>
      <c r="B363" s="361"/>
      <c r="C363" s="361"/>
      <c r="D363" s="362"/>
      <c r="E363" s="362"/>
      <c r="F363" s="363"/>
      <c r="G363" s="363"/>
      <c r="H363" s="363"/>
    </row>
    <row r="364" spans="1:8" ht="15" customHeight="1">
      <c r="A364" s="361"/>
      <c r="B364" s="361"/>
      <c r="C364" s="361"/>
      <c r="D364" s="362"/>
      <c r="E364" s="362"/>
      <c r="F364" s="363"/>
      <c r="G364" s="363"/>
      <c r="H364" s="363"/>
    </row>
    <row r="365" spans="1:8" ht="15" customHeight="1">
      <c r="A365" s="361"/>
      <c r="B365" s="361"/>
      <c r="C365" s="361"/>
      <c r="D365" s="362"/>
      <c r="E365" s="362"/>
      <c r="F365" s="363"/>
      <c r="G365" s="363"/>
      <c r="H365" s="363"/>
    </row>
    <row r="366" spans="1:8" ht="15" customHeight="1">
      <c r="A366" s="361"/>
      <c r="B366" s="361"/>
      <c r="C366" s="361"/>
      <c r="D366" s="362"/>
      <c r="E366" s="362"/>
      <c r="F366" s="363"/>
      <c r="G366" s="363"/>
      <c r="H366" s="363"/>
    </row>
    <row r="367" spans="1:8" ht="15" customHeight="1">
      <c r="A367" s="361"/>
      <c r="B367" s="361"/>
      <c r="C367" s="361"/>
      <c r="D367" s="362"/>
      <c r="E367" s="362"/>
      <c r="F367" s="363"/>
      <c r="G367" s="363"/>
      <c r="H367" s="363"/>
    </row>
    <row r="368" spans="1:8" ht="15" customHeight="1">
      <c r="A368" s="361"/>
      <c r="B368" s="361"/>
      <c r="C368" s="361"/>
      <c r="D368" s="362"/>
      <c r="E368" s="362"/>
      <c r="F368" s="363"/>
      <c r="G368" s="363"/>
      <c r="H368" s="363"/>
    </row>
    <row r="369" spans="1:8" ht="15" customHeight="1">
      <c r="A369" s="361"/>
      <c r="B369" s="361"/>
      <c r="C369" s="361"/>
      <c r="D369" s="362"/>
      <c r="E369" s="362"/>
      <c r="F369" s="363"/>
      <c r="G369" s="363"/>
      <c r="H369" s="363"/>
    </row>
    <row r="370" spans="1:8" ht="15" customHeight="1">
      <c r="A370" s="361"/>
      <c r="B370" s="361"/>
      <c r="C370" s="361"/>
      <c r="D370" s="362"/>
      <c r="E370" s="362"/>
      <c r="F370" s="363"/>
      <c r="G370" s="363"/>
      <c r="H370" s="363"/>
    </row>
    <row r="371" spans="1:8" ht="15" customHeight="1">
      <c r="A371" s="361"/>
      <c r="B371" s="361"/>
      <c r="C371" s="361"/>
      <c r="D371" s="362"/>
      <c r="E371" s="362"/>
      <c r="F371" s="363"/>
      <c r="G371" s="363"/>
      <c r="H371" s="363"/>
    </row>
    <row r="372" spans="1:8" ht="15" customHeight="1">
      <c r="A372" s="361"/>
      <c r="B372" s="361"/>
      <c r="C372" s="361"/>
      <c r="D372" s="362"/>
      <c r="E372" s="362"/>
      <c r="F372" s="363"/>
      <c r="G372" s="363"/>
      <c r="H372" s="363"/>
    </row>
    <row r="373" spans="1:8" ht="15" customHeight="1">
      <c r="A373" s="361"/>
      <c r="B373" s="361"/>
      <c r="C373" s="361"/>
      <c r="D373" s="362"/>
      <c r="E373" s="362"/>
      <c r="F373" s="363"/>
      <c r="G373" s="363"/>
      <c r="H373" s="363"/>
    </row>
    <row r="374" spans="1:8" ht="15" customHeight="1">
      <c r="A374" s="361"/>
      <c r="B374" s="361"/>
      <c r="C374" s="361"/>
      <c r="D374" s="362"/>
      <c r="E374" s="362"/>
      <c r="F374" s="363"/>
      <c r="G374" s="363"/>
      <c r="H374" s="363"/>
    </row>
    <row r="375" spans="1:8" ht="15" customHeight="1">
      <c r="A375" s="361"/>
      <c r="B375" s="361"/>
      <c r="C375" s="361"/>
      <c r="D375" s="362"/>
      <c r="E375" s="362"/>
      <c r="F375" s="363"/>
      <c r="G375" s="363"/>
      <c r="H375" s="363"/>
    </row>
    <row r="376" spans="1:8" ht="15" customHeight="1">
      <c r="A376" s="361"/>
      <c r="B376" s="361"/>
      <c r="C376" s="361"/>
      <c r="D376" s="362"/>
      <c r="E376" s="362"/>
      <c r="F376" s="363"/>
      <c r="G376" s="363"/>
      <c r="H376" s="363"/>
    </row>
    <row r="377" spans="1:8" ht="15" customHeight="1">
      <c r="A377" s="361"/>
      <c r="B377" s="361"/>
      <c r="C377" s="361"/>
      <c r="D377" s="362"/>
      <c r="E377" s="362"/>
      <c r="F377" s="363"/>
      <c r="G377" s="363"/>
      <c r="H377" s="363"/>
    </row>
    <row r="378" spans="1:8" ht="15" customHeight="1">
      <c r="A378" s="361"/>
      <c r="B378" s="361"/>
      <c r="C378" s="361"/>
      <c r="D378" s="362"/>
      <c r="E378" s="362"/>
      <c r="F378" s="363"/>
      <c r="G378" s="363"/>
      <c r="H378" s="363"/>
    </row>
    <row r="379" spans="1:8" ht="15" customHeight="1">
      <c r="A379" s="361"/>
      <c r="B379" s="361"/>
      <c r="C379" s="361"/>
      <c r="D379" s="362"/>
      <c r="E379" s="362"/>
      <c r="F379" s="363"/>
      <c r="G379" s="363"/>
      <c r="H379" s="363"/>
    </row>
    <row r="380" spans="1:8" ht="15" customHeight="1">
      <c r="A380" s="361"/>
      <c r="B380" s="361"/>
      <c r="C380" s="361"/>
      <c r="D380" s="362"/>
      <c r="E380" s="362"/>
      <c r="F380" s="363"/>
      <c r="G380" s="363"/>
      <c r="H380" s="363"/>
    </row>
    <row r="381" spans="1:8" ht="15" customHeight="1">
      <c r="A381" s="361"/>
      <c r="B381" s="361"/>
      <c r="C381" s="361"/>
      <c r="D381" s="362"/>
      <c r="E381" s="362"/>
      <c r="F381" s="363"/>
      <c r="G381" s="363"/>
      <c r="H381" s="363"/>
    </row>
    <row r="382" spans="1:8" ht="15" customHeight="1">
      <c r="A382" s="361"/>
      <c r="B382" s="361"/>
      <c r="C382" s="361"/>
      <c r="D382" s="362"/>
      <c r="E382" s="362"/>
      <c r="F382" s="363"/>
      <c r="G382" s="363"/>
      <c r="H382" s="363"/>
    </row>
    <row r="383" spans="1:8" ht="15" customHeight="1">
      <c r="A383" s="361"/>
      <c r="B383" s="361"/>
      <c r="C383" s="361"/>
      <c r="D383" s="362"/>
      <c r="E383" s="362"/>
      <c r="F383" s="363"/>
      <c r="G383" s="363"/>
      <c r="H383" s="363"/>
    </row>
    <row r="384" spans="1:8" ht="15" customHeight="1">
      <c r="A384" s="361"/>
      <c r="B384" s="361"/>
      <c r="C384" s="361"/>
      <c r="D384" s="362"/>
      <c r="E384" s="362"/>
      <c r="F384" s="363"/>
      <c r="G384" s="363"/>
      <c r="H384" s="363"/>
    </row>
    <row r="385" spans="1:8" ht="15" customHeight="1">
      <c r="A385" s="361"/>
      <c r="B385" s="361"/>
      <c r="C385" s="361"/>
      <c r="D385" s="362"/>
      <c r="E385" s="362"/>
      <c r="F385" s="363"/>
      <c r="G385" s="363"/>
      <c r="H385" s="363"/>
    </row>
    <row r="386" spans="1:8" ht="15" customHeight="1">
      <c r="A386" s="361"/>
      <c r="B386" s="361"/>
      <c r="C386" s="361"/>
      <c r="D386" s="362"/>
      <c r="E386" s="362"/>
      <c r="F386" s="363"/>
      <c r="G386" s="363"/>
      <c r="H386" s="363"/>
    </row>
    <row r="387" spans="1:8" ht="15" customHeight="1">
      <c r="A387" s="361"/>
      <c r="B387" s="361"/>
      <c r="C387" s="361"/>
      <c r="D387" s="362"/>
      <c r="E387" s="362"/>
      <c r="F387" s="363"/>
      <c r="G387" s="363"/>
      <c r="H387" s="363"/>
    </row>
    <row r="388" spans="1:8" ht="15" customHeight="1">
      <c r="A388" s="361"/>
      <c r="B388" s="361"/>
      <c r="C388" s="361"/>
      <c r="D388" s="362"/>
      <c r="E388" s="362"/>
      <c r="F388" s="363"/>
      <c r="G388" s="363"/>
      <c r="H388" s="363"/>
    </row>
    <row r="389" spans="1:8" ht="15" customHeight="1">
      <c r="A389" s="361"/>
      <c r="B389" s="361"/>
      <c r="C389" s="361"/>
      <c r="D389" s="362"/>
      <c r="E389" s="362"/>
      <c r="F389" s="363"/>
      <c r="G389" s="363"/>
      <c r="H389" s="363"/>
    </row>
    <row r="390" spans="1:8" ht="15" customHeight="1">
      <c r="A390" s="361"/>
      <c r="B390" s="361"/>
      <c r="C390" s="361"/>
      <c r="D390" s="362"/>
      <c r="E390" s="362"/>
      <c r="F390" s="363"/>
      <c r="G390" s="363"/>
      <c r="H390" s="363"/>
    </row>
    <row r="391" spans="1:8" ht="15" customHeight="1">
      <c r="A391" s="361"/>
      <c r="B391" s="361"/>
      <c r="C391" s="361"/>
      <c r="D391" s="362"/>
      <c r="E391" s="362"/>
      <c r="F391" s="363"/>
      <c r="G391" s="363"/>
      <c r="H391" s="363"/>
    </row>
    <row r="392" spans="1:8" ht="15" customHeight="1">
      <c r="A392" s="361"/>
      <c r="B392" s="361"/>
      <c r="C392" s="361"/>
      <c r="D392" s="362"/>
      <c r="E392" s="362"/>
      <c r="F392" s="363"/>
      <c r="G392" s="363"/>
      <c r="H392" s="363"/>
    </row>
    <row r="393" spans="1:8" ht="15" customHeight="1">
      <c r="A393" s="361"/>
      <c r="B393" s="361"/>
      <c r="C393" s="361"/>
      <c r="D393" s="362"/>
      <c r="E393" s="362"/>
      <c r="F393" s="363"/>
      <c r="G393" s="363"/>
      <c r="H393" s="363"/>
    </row>
    <row r="394" spans="1:8" ht="15" customHeight="1">
      <c r="A394" s="361"/>
      <c r="B394" s="361"/>
      <c r="C394" s="361"/>
      <c r="D394" s="362"/>
      <c r="E394" s="362"/>
      <c r="F394" s="363"/>
      <c r="G394" s="363"/>
      <c r="H394" s="363"/>
    </row>
    <row r="395" spans="1:8" ht="15" customHeight="1">
      <c r="A395" s="361"/>
      <c r="B395" s="361"/>
      <c r="C395" s="361"/>
      <c r="D395" s="362"/>
      <c r="E395" s="362"/>
      <c r="F395" s="363"/>
      <c r="G395" s="363"/>
      <c r="H395" s="363"/>
    </row>
    <row r="396" spans="1:8" ht="15" customHeight="1">
      <c r="A396" s="361"/>
      <c r="B396" s="361"/>
      <c r="C396" s="361"/>
      <c r="D396" s="362"/>
      <c r="E396" s="362"/>
      <c r="F396" s="363"/>
      <c r="G396" s="363"/>
      <c r="H396" s="363"/>
    </row>
    <row r="397" spans="1:8" ht="15" customHeight="1">
      <c r="A397" s="361"/>
      <c r="B397" s="361"/>
      <c r="C397" s="361"/>
      <c r="D397" s="362"/>
      <c r="E397" s="362"/>
      <c r="F397" s="363"/>
      <c r="G397" s="363"/>
      <c r="H397" s="363"/>
    </row>
    <row r="398" spans="1:8" ht="15" customHeight="1">
      <c r="A398" s="361"/>
      <c r="B398" s="361"/>
      <c r="C398" s="361"/>
      <c r="D398" s="362"/>
      <c r="E398" s="362"/>
      <c r="F398" s="363"/>
      <c r="G398" s="363"/>
      <c r="H398" s="363"/>
    </row>
    <row r="399" spans="1:8" ht="15" customHeight="1">
      <c r="A399" s="361"/>
      <c r="B399" s="361"/>
      <c r="C399" s="361"/>
      <c r="D399" s="362"/>
      <c r="E399" s="362"/>
      <c r="F399" s="363"/>
      <c r="G399" s="363"/>
      <c r="H399" s="363"/>
    </row>
    <row r="400" spans="1:8" ht="15" customHeight="1">
      <c r="A400" s="361"/>
      <c r="B400" s="361"/>
      <c r="C400" s="361"/>
      <c r="D400" s="362"/>
      <c r="E400" s="362"/>
      <c r="F400" s="363"/>
      <c r="G400" s="363"/>
      <c r="H400" s="363"/>
    </row>
    <row r="401" spans="1:8" ht="15" customHeight="1">
      <c r="A401" s="361"/>
      <c r="B401" s="361"/>
      <c r="C401" s="361"/>
      <c r="D401" s="362"/>
      <c r="E401" s="362"/>
      <c r="F401" s="363"/>
      <c r="G401" s="363"/>
      <c r="H401" s="363"/>
    </row>
    <row r="402" spans="1:8" ht="15" customHeight="1">
      <c r="A402" s="361"/>
      <c r="B402" s="361"/>
      <c r="C402" s="361"/>
      <c r="D402" s="362"/>
      <c r="E402" s="362"/>
      <c r="F402" s="363"/>
      <c r="G402" s="363"/>
      <c r="H402" s="363"/>
    </row>
    <row r="403" spans="1:8" ht="15" customHeight="1">
      <c r="A403" s="361"/>
      <c r="B403" s="361"/>
      <c r="C403" s="361"/>
      <c r="D403" s="362"/>
      <c r="E403" s="362"/>
      <c r="F403" s="363"/>
      <c r="G403" s="363"/>
      <c r="H403" s="363"/>
    </row>
    <row r="404" spans="1:8" ht="15" customHeight="1">
      <c r="A404" s="361"/>
      <c r="B404" s="361"/>
      <c r="C404" s="361"/>
      <c r="D404" s="362"/>
      <c r="E404" s="362"/>
      <c r="F404" s="363"/>
      <c r="G404" s="363"/>
      <c r="H404" s="363"/>
    </row>
    <row r="405" spans="1:8" ht="15" customHeight="1">
      <c r="A405" s="361"/>
      <c r="B405" s="361"/>
      <c r="C405" s="361"/>
      <c r="D405" s="362"/>
      <c r="E405" s="362"/>
      <c r="F405" s="363"/>
      <c r="G405" s="363"/>
      <c r="H405" s="363"/>
    </row>
    <row r="406" spans="1:8" ht="15" customHeight="1">
      <c r="A406" s="361"/>
      <c r="B406" s="361"/>
      <c r="C406" s="361"/>
      <c r="D406" s="362"/>
      <c r="E406" s="362"/>
      <c r="F406" s="363"/>
      <c r="G406" s="363"/>
      <c r="H406" s="363"/>
    </row>
    <row r="407" spans="1:8" ht="15" customHeight="1">
      <c r="A407" s="361"/>
      <c r="B407" s="361"/>
      <c r="C407" s="361"/>
      <c r="D407" s="362"/>
      <c r="E407" s="362"/>
      <c r="F407" s="363"/>
      <c r="G407" s="363"/>
      <c r="H407" s="363"/>
    </row>
    <row r="408" spans="1:8" ht="15" customHeight="1">
      <c r="A408" s="361"/>
      <c r="B408" s="361"/>
      <c r="C408" s="361"/>
      <c r="D408" s="362"/>
      <c r="E408" s="362"/>
      <c r="F408" s="363"/>
      <c r="G408" s="363"/>
      <c r="H408" s="363"/>
    </row>
    <row r="409" spans="1:8" ht="15" customHeight="1">
      <c r="A409" s="361"/>
      <c r="B409" s="361"/>
      <c r="C409" s="361"/>
      <c r="D409" s="362"/>
      <c r="E409" s="362"/>
      <c r="F409" s="363"/>
      <c r="G409" s="363"/>
      <c r="H409" s="363"/>
    </row>
    <row r="410" spans="1:8" ht="15" customHeight="1">
      <c r="A410" s="361"/>
      <c r="B410" s="361"/>
      <c r="C410" s="361"/>
      <c r="D410" s="362"/>
      <c r="E410" s="362"/>
      <c r="F410" s="363"/>
      <c r="G410" s="363"/>
      <c r="H410" s="363"/>
    </row>
    <row r="411" spans="1:8" ht="15" customHeight="1">
      <c r="A411" s="361"/>
      <c r="B411" s="361"/>
      <c r="C411" s="361"/>
      <c r="D411" s="362"/>
      <c r="E411" s="362"/>
      <c r="F411" s="363"/>
      <c r="G411" s="363"/>
      <c r="H411" s="363"/>
    </row>
    <row r="412" spans="1:8" ht="15" customHeight="1">
      <c r="A412" s="361"/>
      <c r="B412" s="361"/>
      <c r="C412" s="361"/>
      <c r="D412" s="362"/>
      <c r="E412" s="362"/>
      <c r="F412" s="363"/>
      <c r="G412" s="363"/>
      <c r="H412" s="363"/>
    </row>
    <row r="413" spans="1:8" ht="15" customHeight="1">
      <c r="A413" s="361"/>
      <c r="B413" s="361"/>
      <c r="C413" s="361"/>
      <c r="D413" s="362"/>
      <c r="E413" s="362"/>
      <c r="F413" s="363"/>
      <c r="G413" s="363"/>
      <c r="H413" s="363"/>
    </row>
    <row r="414" spans="1:8" ht="15" customHeight="1">
      <c r="A414" s="361"/>
      <c r="B414" s="361"/>
      <c r="C414" s="361"/>
      <c r="D414" s="362"/>
      <c r="E414" s="362"/>
      <c r="F414" s="363"/>
      <c r="G414" s="363"/>
      <c r="H414" s="363"/>
    </row>
    <row r="415" spans="1:8" ht="15" customHeight="1">
      <c r="A415" s="361"/>
      <c r="B415" s="361"/>
      <c r="C415" s="361"/>
      <c r="D415" s="362"/>
      <c r="E415" s="362"/>
      <c r="F415" s="363"/>
      <c r="G415" s="363"/>
      <c r="H415" s="363"/>
    </row>
    <row r="416" spans="1:8" ht="15" customHeight="1">
      <c r="A416" s="361"/>
      <c r="B416" s="361"/>
      <c r="C416" s="361"/>
      <c r="D416" s="362"/>
      <c r="E416" s="362"/>
      <c r="F416" s="363"/>
      <c r="G416" s="363"/>
      <c r="H416" s="363"/>
    </row>
    <row r="417" spans="1:8" ht="15" customHeight="1">
      <c r="A417" s="361"/>
      <c r="B417" s="361"/>
      <c r="C417" s="361"/>
      <c r="D417" s="362"/>
      <c r="E417" s="362"/>
      <c r="F417" s="363"/>
      <c r="G417" s="363"/>
      <c r="H417" s="363"/>
    </row>
    <row r="418" spans="1:8" ht="15" customHeight="1">
      <c r="A418" s="361"/>
      <c r="B418" s="361"/>
      <c r="C418" s="361"/>
      <c r="D418" s="362"/>
      <c r="E418" s="362"/>
      <c r="F418" s="363"/>
      <c r="G418" s="363"/>
      <c r="H418" s="363"/>
    </row>
    <row r="419" spans="1:8" ht="15" customHeight="1">
      <c r="A419" s="361"/>
      <c r="B419" s="361"/>
      <c r="C419" s="361"/>
      <c r="D419" s="362"/>
      <c r="E419" s="362"/>
      <c r="F419" s="363"/>
      <c r="G419" s="363"/>
      <c r="H419" s="363"/>
    </row>
    <row r="420" spans="1:8" ht="15" customHeight="1">
      <c r="A420" s="361"/>
      <c r="B420" s="361"/>
      <c r="C420" s="361"/>
      <c r="D420" s="362"/>
      <c r="E420" s="362"/>
      <c r="F420" s="363"/>
      <c r="G420" s="363"/>
      <c r="H420" s="363"/>
    </row>
    <row r="421" spans="1:8" ht="15" customHeight="1">
      <c r="A421" s="361"/>
      <c r="B421" s="361"/>
      <c r="C421" s="361"/>
      <c r="D421" s="362"/>
      <c r="E421" s="362"/>
      <c r="F421" s="363"/>
      <c r="G421" s="363"/>
      <c r="H421" s="363"/>
    </row>
    <row r="422" spans="1:8" ht="15" customHeight="1">
      <c r="A422" s="361"/>
      <c r="B422" s="361"/>
      <c r="C422" s="361"/>
      <c r="D422" s="362"/>
      <c r="E422" s="362"/>
      <c r="F422" s="363"/>
      <c r="G422" s="363"/>
      <c r="H422" s="363"/>
    </row>
    <row r="423" spans="1:8" ht="15" customHeight="1">
      <c r="A423" s="361"/>
      <c r="B423" s="361"/>
      <c r="C423" s="361"/>
      <c r="D423" s="362"/>
      <c r="E423" s="362"/>
      <c r="F423" s="363"/>
      <c r="G423" s="363"/>
      <c r="H423" s="363"/>
    </row>
    <row r="424" spans="1:8" ht="15" customHeight="1">
      <c r="A424" s="361"/>
      <c r="B424" s="361"/>
      <c r="C424" s="361"/>
      <c r="D424" s="362"/>
      <c r="E424" s="362"/>
      <c r="F424" s="363"/>
      <c r="G424" s="363"/>
      <c r="H424" s="363"/>
    </row>
    <row r="425" spans="1:8" ht="15" customHeight="1">
      <c r="A425" s="361"/>
      <c r="B425" s="361"/>
      <c r="C425" s="361"/>
      <c r="D425" s="362"/>
      <c r="E425" s="362"/>
      <c r="F425" s="363"/>
      <c r="G425" s="363"/>
      <c r="H425" s="363"/>
    </row>
    <row r="426" spans="1:8" ht="15" customHeight="1">
      <c r="A426" s="361"/>
      <c r="B426" s="361"/>
      <c r="C426" s="361"/>
      <c r="D426" s="362"/>
      <c r="E426" s="362"/>
      <c r="F426" s="363"/>
      <c r="G426" s="363"/>
      <c r="H426" s="363"/>
    </row>
    <row r="427" spans="1:8" ht="15" customHeight="1">
      <c r="A427" s="361"/>
      <c r="B427" s="361"/>
      <c r="C427" s="361"/>
      <c r="D427" s="362"/>
      <c r="E427" s="362"/>
      <c r="F427" s="363"/>
      <c r="G427" s="363"/>
      <c r="H427" s="363"/>
    </row>
    <row r="428" spans="1:8" ht="15" customHeight="1">
      <c r="A428" s="361"/>
      <c r="B428" s="361"/>
      <c r="C428" s="361"/>
      <c r="D428" s="362"/>
      <c r="E428" s="362"/>
      <c r="F428" s="363"/>
      <c r="G428" s="363"/>
      <c r="H428" s="363"/>
    </row>
    <row r="429" spans="1:8" ht="15" customHeight="1">
      <c r="A429" s="361"/>
      <c r="B429" s="361"/>
      <c r="C429" s="361"/>
      <c r="D429" s="362"/>
      <c r="E429" s="362"/>
      <c r="F429" s="363"/>
      <c r="G429" s="363"/>
      <c r="H429" s="363"/>
    </row>
    <row r="430" spans="1:8" ht="15" customHeight="1">
      <c r="A430" s="361"/>
      <c r="B430" s="361"/>
      <c r="C430" s="361"/>
      <c r="D430" s="362"/>
      <c r="E430" s="362"/>
      <c r="F430" s="363"/>
      <c r="G430" s="363"/>
      <c r="H430" s="363"/>
    </row>
    <row r="431" spans="1:8" ht="15" customHeight="1">
      <c r="A431" s="361"/>
      <c r="B431" s="361"/>
      <c r="C431" s="361"/>
      <c r="D431" s="362"/>
      <c r="E431" s="362"/>
      <c r="F431" s="363"/>
      <c r="G431" s="363"/>
      <c r="H431" s="363"/>
    </row>
    <row r="432" spans="1:8" ht="15" customHeight="1">
      <c r="A432" s="361"/>
      <c r="B432" s="361"/>
      <c r="C432" s="361"/>
      <c r="D432" s="362"/>
      <c r="E432" s="362"/>
      <c r="F432" s="363"/>
      <c r="G432" s="363"/>
      <c r="H432" s="363"/>
    </row>
    <row r="433" spans="1:8" ht="15" customHeight="1">
      <c r="A433" s="361"/>
      <c r="B433" s="361"/>
      <c r="C433" s="361"/>
      <c r="D433" s="362"/>
      <c r="E433" s="362"/>
      <c r="F433" s="363"/>
      <c r="G433" s="363"/>
      <c r="H433" s="363"/>
    </row>
    <row r="434" spans="1:8" ht="15" customHeight="1">
      <c r="A434" s="361"/>
      <c r="B434" s="361"/>
      <c r="C434" s="361"/>
      <c r="D434" s="362"/>
      <c r="E434" s="362"/>
      <c r="F434" s="363"/>
      <c r="G434" s="363"/>
      <c r="H434" s="363"/>
    </row>
    <row r="435" spans="1:8" ht="15" customHeight="1">
      <c r="A435" s="361"/>
      <c r="B435" s="361"/>
      <c r="C435" s="361"/>
      <c r="D435" s="362"/>
      <c r="E435" s="362"/>
      <c r="F435" s="363"/>
      <c r="G435" s="363"/>
      <c r="H435" s="363"/>
    </row>
    <row r="436" spans="1:8" ht="15" customHeight="1">
      <c r="A436" s="361"/>
      <c r="B436" s="361"/>
      <c r="C436" s="361"/>
      <c r="D436" s="362"/>
      <c r="E436" s="362"/>
      <c r="F436" s="363"/>
      <c r="G436" s="363"/>
      <c r="H436" s="363"/>
    </row>
    <row r="437" spans="1:8" ht="15" customHeight="1">
      <c r="A437" s="361"/>
      <c r="B437" s="361"/>
      <c r="C437" s="361"/>
      <c r="D437" s="362"/>
      <c r="E437" s="362"/>
      <c r="F437" s="363"/>
      <c r="G437" s="363"/>
      <c r="H437" s="363"/>
    </row>
    <row r="438" spans="1:8" ht="15" customHeight="1">
      <c r="A438" s="361"/>
      <c r="B438" s="361"/>
      <c r="C438" s="361"/>
      <c r="D438" s="362"/>
      <c r="E438" s="362"/>
      <c r="F438" s="363"/>
      <c r="G438" s="363"/>
      <c r="H438" s="363"/>
    </row>
    <row r="439" spans="1:8" ht="15" customHeight="1">
      <c r="A439" s="361"/>
      <c r="B439" s="361"/>
      <c r="C439" s="361"/>
      <c r="D439" s="362"/>
      <c r="E439" s="362"/>
      <c r="F439" s="363"/>
      <c r="G439" s="363"/>
      <c r="H439" s="363"/>
    </row>
  </sheetData>
  <conditionalFormatting sqref="E419:E1048576">
    <cfRule type="containsText" dxfId="215" priority="15" operator="containsText" text=".">
      <formula>NOT(ISERROR(SEARCH(".",E419)))</formula>
    </cfRule>
  </conditionalFormatting>
  <conditionalFormatting sqref="D419:D1048576">
    <cfRule type="containsText" dxfId="214" priority="14" operator="containsText" text=".">
      <formula>NOT(ISERROR(SEARCH(".",D419)))</formula>
    </cfRule>
  </conditionalFormatting>
  <conditionalFormatting sqref="E334:E418">
    <cfRule type="containsText" dxfId="213" priority="4" stopIfTrue="1" operator="containsText" text=".6">
      <formula>NOT(ISERROR(SEARCH(".6",E334)))</formula>
    </cfRule>
    <cfRule type="containsText" dxfId="212" priority="5" stopIfTrue="1" operator="containsText" text=".8">
      <formula>NOT(ISERROR(SEARCH(".8",E334)))</formula>
    </cfRule>
    <cfRule type="containsText" dxfId="211" priority="6" stopIfTrue="1" operator="containsText" text=".5">
      <formula>NOT(ISERROR(SEARCH(".5",E334)))</formula>
    </cfRule>
    <cfRule type="containsText" dxfId="210" priority="7" stopIfTrue="1" operator="containsText" text=".3">
      <formula>NOT(ISERROR(SEARCH(".3",E334)))</formula>
    </cfRule>
    <cfRule type="containsText" dxfId="209" priority="8" stopIfTrue="1" operator="containsText" text=".74">
      <formula>NOT(ISERROR(SEARCH(".74",E334)))</formula>
    </cfRule>
    <cfRule type="containsText" dxfId="208" priority="9" stopIfTrue="1" operator="containsText" text=".4">
      <formula>NOT(ISERROR(SEARCH(".4",E334)))</formula>
    </cfRule>
    <cfRule type="containsText" dxfId="207" priority="10" stopIfTrue="1" operator="containsText" text=".09">
      <formula>NOT(ISERROR(SEARCH(".09",E334)))</formula>
    </cfRule>
    <cfRule type="containsText" dxfId="206" priority="11" stopIfTrue="1" operator="containsText" text=".9">
      <formula>NOT(ISERROR(SEARCH(".9",E334)))</formula>
    </cfRule>
    <cfRule type="containsText" dxfId="205" priority="12" stopIfTrue="1" operator="containsText" text=".2">
      <formula>NOT(ISERROR(SEARCH(".2",E334)))</formula>
    </cfRule>
    <cfRule type="containsText" dxfId="204" priority="13" stopIfTrue="1" operator="containsText" text=".1">
      <formula>NOT(ISERROR(SEARCH(".1",E334)))</formula>
    </cfRule>
  </conditionalFormatting>
  <conditionalFormatting sqref="E334:E418">
    <cfRule type="containsText" dxfId="203" priority="3" stopIfTrue="1" operator="containsText" text=".06">
      <formula>NOT(ISERROR(SEARCH(".06",E334)))</formula>
    </cfRule>
  </conditionalFormatting>
  <conditionalFormatting sqref="E1:E333">
    <cfRule type="cellIs" dxfId="202" priority="1" operator="lessThan">
      <formula>0.99</formula>
    </cfRule>
    <cfRule type="cellIs" dxfId="201" priority="2" operator="lessThan">
      <formula>0.9</formula>
    </cfRule>
  </conditionalFormatting>
  <pageMargins left="0.75" right="0.75" top="1" bottom="1" header="0.5" footer="0.5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L141"/>
  <sheetViews>
    <sheetView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3.5703125" style="23" bestFit="1" customWidth="1"/>
    <col min="11" max="11" width="12.42578125" style="23" bestFit="1" customWidth="1"/>
    <col min="12" max="12" width="11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140</v>
      </c>
      <c r="G5" s="505" t="str">
        <f>VLOOKUP($F5,District,2,FALSE)</f>
        <v>Lake WA Institute of Technology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2915</v>
      </c>
      <c r="D10" s="48"/>
      <c r="E10" s="48">
        <f>IF(ISNA(VLOOKUP($F$5,Student,14,FALSE)),0,VLOOKUP($F$5,Student,14,FALSE))</f>
        <v>45</v>
      </c>
      <c r="F10" s="48"/>
      <c r="G10" s="48">
        <f>$E$10+$C$10+$A$10</f>
        <v>2960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23" si="0">IF(ISNA(VLOOKUP($F$5 &amp;A16, AllocSched,12,FALSE)),"-",VLOOKUP($F$5 &amp;A16, AllocSched,12,FALSE))</f>
        <v>9976689</v>
      </c>
      <c r="D16" s="112" t="s">
        <v>51</v>
      </c>
      <c r="E16" s="16">
        <f t="shared" ref="E16:E23" si="1">IF(ISNA(VLOOKUP($F$5 &amp; A16, AllocSched,13,FALSE)),"-",VLOOKUP($F$5 &amp; A16, AllocSched,13,FALSE))</f>
        <v>-9298</v>
      </c>
      <c r="F16" s="16" t="s">
        <v>51</v>
      </c>
      <c r="G16" s="16">
        <f t="shared" ref="G16:G23" si="2">IF(C16="-",E16,C16+E16)</f>
        <v>9967391</v>
      </c>
      <c r="H16" s="55" t="str">
        <f t="shared" ref="H16:H39" si="3">IF(ISNA(VLOOKUP($F$5 &amp; A16, AllocSched,9,FALSE))," ",VLOOKUP($F$5 &amp; A16, AllocSched,9,FALSE))</f>
        <v>001-011</v>
      </c>
      <c r="I16" s="56">
        <f t="shared" ref="I16:I34" si="4">IF(ISNA(VLOOKUP($F$5 &amp; A16, AllocSched,14,FALSE))," ",VLOOKUP($F$5 &amp; A16, AllocSched,14,FALSE))</f>
        <v>101</v>
      </c>
    </row>
    <row r="17" spans="1:9" ht="12.75" customHeight="1">
      <c r="A17" s="115" t="s">
        <v>171</v>
      </c>
      <c r="B17" s="54"/>
      <c r="C17" s="16">
        <f t="shared" si="0"/>
        <v>1212989</v>
      </c>
      <c r="D17" s="112"/>
      <c r="E17" s="16">
        <f t="shared" si="1"/>
        <v>9298</v>
      </c>
      <c r="F17" s="16"/>
      <c r="G17" s="16">
        <f t="shared" si="2"/>
        <v>1222287</v>
      </c>
      <c r="H17" s="55" t="str">
        <f t="shared" si="3"/>
        <v>08A-3E0</v>
      </c>
      <c r="I17" s="56" t="str">
        <f t="shared" si="4"/>
        <v>3E0</v>
      </c>
    </row>
    <row r="18" spans="1:9" s="272" customFormat="1" ht="12.75" customHeight="1">
      <c r="A18" s="38" t="s">
        <v>781</v>
      </c>
      <c r="B18" s="54"/>
      <c r="C18" s="16">
        <f t="shared" si="0"/>
        <v>0</v>
      </c>
      <c r="D18" s="112"/>
      <c r="E18" s="16">
        <f t="shared" si="1"/>
        <v>50771</v>
      </c>
      <c r="F18" s="16"/>
      <c r="G18" s="16">
        <f t="shared" si="2"/>
        <v>50771</v>
      </c>
      <c r="H18" s="55" t="str">
        <f>IF(ISNA(VLOOKUP($F$5 &amp; A18, AllocSched,9,FALSE))," ",VLOOKUP($F$5 &amp; A18, AllocSched,9,FALSE))</f>
        <v>001-011</v>
      </c>
      <c r="I18" s="56">
        <f>IF(ISNA(VLOOKUP($F$5 &amp; A18, AllocSched,14,FALSE))," ",VLOOKUP($F$5 &amp; A18, AllocSched,14,FALSE))</f>
        <v>101</v>
      </c>
    </row>
    <row r="19" spans="1:9" s="272" customFormat="1" ht="12.75" customHeight="1">
      <c r="A19" s="115" t="s">
        <v>448</v>
      </c>
      <c r="B19" s="54"/>
      <c r="C19" s="16">
        <f t="shared" si="0"/>
        <v>0</v>
      </c>
      <c r="D19" s="112"/>
      <c r="E19" s="16">
        <f t="shared" si="1"/>
        <v>302593</v>
      </c>
      <c r="F19" s="16"/>
      <c r="G19" s="16">
        <f t="shared" si="2"/>
        <v>302593</v>
      </c>
      <c r="H19" s="55" t="str">
        <f>IF(ISNA(VLOOKUP($F$5 &amp; A19, AllocSched,9,FALSE))," ",VLOOKUP($F$5 &amp; A19, AllocSched,9,FALSE))</f>
        <v>001-011</v>
      </c>
      <c r="I19" s="56">
        <f>IF(ISNA(VLOOKUP($F$5 &amp; A19, AllocSched,14,FALSE))," ",VLOOKUP($F$5 &amp; A19, AllocSched,14,FALSE))</f>
        <v>101</v>
      </c>
    </row>
    <row r="20" spans="1:9" s="269" customFormat="1" ht="12.75" customHeight="1">
      <c r="A20" s="115" t="s">
        <v>340</v>
      </c>
      <c r="B20" s="54"/>
      <c r="C20" s="16">
        <f t="shared" si="0"/>
        <v>0</v>
      </c>
      <c r="D20" s="112"/>
      <c r="E20" s="16">
        <f t="shared" si="1"/>
        <v>592728</v>
      </c>
      <c r="F20" s="16"/>
      <c r="G20" s="16">
        <f t="shared" si="2"/>
        <v>592728</v>
      </c>
      <c r="H20" s="55" t="str">
        <f>IF(ISNA(VLOOKUP($F$5 &amp; A20, AllocSched,9,FALSE))," ",VLOOKUP($F$5 &amp; A20, AllocSched,9,FALSE))</f>
        <v>001-011</v>
      </c>
      <c r="I20" s="56">
        <f>IF(ISNA(VLOOKUP($F$5 &amp; A20, AllocSched,14,FALSE))," ",VLOOKUP($F$5 &amp; A20, AllocSched,14,FALSE))</f>
        <v>101</v>
      </c>
    </row>
    <row r="21" spans="1:9" ht="12.75" customHeight="1">
      <c r="A21" s="115" t="s">
        <v>207</v>
      </c>
      <c r="B21" s="54"/>
      <c r="C21" s="16">
        <f t="shared" si="0"/>
        <v>0</v>
      </c>
      <c r="D21" s="112"/>
      <c r="E21" s="16">
        <f t="shared" si="1"/>
        <v>42372</v>
      </c>
      <c r="F21" s="16"/>
      <c r="G21" s="16">
        <f t="shared" si="2"/>
        <v>42372</v>
      </c>
      <c r="H21" s="55" t="str">
        <f t="shared" si="3"/>
        <v>001-011</v>
      </c>
      <c r="I21" s="56">
        <f t="shared" si="4"/>
        <v>101</v>
      </c>
    </row>
    <row r="22" spans="1:9" s="272" customFormat="1" ht="12.75" customHeight="1">
      <c r="A22" s="115" t="s">
        <v>203</v>
      </c>
      <c r="B22" s="54"/>
      <c r="C22" s="16">
        <f t="shared" si="0"/>
        <v>0</v>
      </c>
      <c r="D22" s="112"/>
      <c r="E22" s="16">
        <f t="shared" si="1"/>
        <v>-3337</v>
      </c>
      <c r="F22" s="16"/>
      <c r="G22" s="16">
        <f t="shared" si="2"/>
        <v>-3337</v>
      </c>
      <c r="H22" s="55" t="str">
        <f>IF(ISNA(VLOOKUP($F$5 &amp; A22, AllocSched,9,FALSE))," ",VLOOKUP($F$5 &amp; A22, AllocSched,9,FALSE))</f>
        <v>001-011</v>
      </c>
      <c r="I22" s="56">
        <f>IF(ISNA(VLOOKUP($F$5 &amp; A22, AllocSched,14,FALSE))," ",VLOOKUP($F$5 &amp; A22, AllocSched,14,FALSE))</f>
        <v>101</v>
      </c>
    </row>
    <row r="23" spans="1:9" s="272" customFormat="1" ht="12.75" customHeight="1">
      <c r="A23" s="115" t="s">
        <v>454</v>
      </c>
      <c r="B23" s="54"/>
      <c r="C23" s="16">
        <f t="shared" si="0"/>
        <v>0</v>
      </c>
      <c r="D23" s="112"/>
      <c r="E23" s="16">
        <f t="shared" si="1"/>
        <v>1149</v>
      </c>
      <c r="F23" s="16"/>
      <c r="G23" s="16">
        <f t="shared" si="2"/>
        <v>1149</v>
      </c>
      <c r="H23" s="55" t="str">
        <f>IF(ISNA(VLOOKUP($F$5 &amp; A23, AllocSched,9,FALSE))," ",VLOOKUP($F$5 &amp; A23, AllocSched,9,FALSE))</f>
        <v>001-011</v>
      </c>
      <c r="I23" s="56">
        <f>IF(ISNA(VLOOKUP($F$5 &amp; A23, AllocSched,14,FALSE))," ",VLOOKUP($F$5 &amp; A23, AllocSched,14,FALSE))</f>
        <v>101</v>
      </c>
    </row>
    <row r="24" spans="1:9" ht="12.75" customHeight="1">
      <c r="A24" s="115"/>
      <c r="B24" s="54"/>
      <c r="C24" s="16" t="s">
        <v>403</v>
      </c>
      <c r="D24" s="112"/>
      <c r="E24" s="16" t="s">
        <v>403</v>
      </c>
      <c r="F24" s="16"/>
      <c r="G24" s="16"/>
      <c r="H24" s="55" t="str">
        <f t="shared" si="3"/>
        <v xml:space="preserve"> </v>
      </c>
      <c r="I24" s="56" t="str">
        <f t="shared" si="4"/>
        <v xml:space="preserve"> </v>
      </c>
    </row>
    <row r="25" spans="1:9" s="83" customFormat="1">
      <c r="A25" s="114" t="s">
        <v>168</v>
      </c>
      <c r="B25" s="84"/>
      <c r="C25" s="16"/>
      <c r="D25" s="112"/>
      <c r="E25" s="16"/>
      <c r="F25" s="16"/>
      <c r="G25" s="16"/>
      <c r="H25" s="55" t="str">
        <f t="shared" si="3"/>
        <v xml:space="preserve"> </v>
      </c>
      <c r="I25" s="56" t="str">
        <f t="shared" si="4"/>
        <v xml:space="preserve"> </v>
      </c>
    </row>
    <row r="26" spans="1:9" s="83" customFormat="1">
      <c r="A26" s="38" t="s">
        <v>345</v>
      </c>
      <c r="B26" s="84"/>
      <c r="C26" s="16">
        <f>IF(ISNA(VLOOKUP($F$5 &amp;A26, AllocSched,12,FALSE)),"-",VLOOKUP($F$5 &amp;A26, AllocSched,12,FALSE))</f>
        <v>354960</v>
      </c>
      <c r="D26" s="112"/>
      <c r="E26" s="16">
        <f>IF(ISNA(VLOOKUP($F$5 &amp; A26, AllocSched,13,FALSE)),"-",VLOOKUP($F$5 &amp; A26, AllocSched,13,FALSE))</f>
        <v>0</v>
      </c>
      <c r="F26" s="16"/>
      <c r="G26" s="16">
        <f>IF(C26="-",E26,C26+E26)</f>
        <v>354960</v>
      </c>
      <c r="H26" s="55" t="str">
        <f t="shared" si="3"/>
        <v>001-011</v>
      </c>
      <c r="I26" s="56">
        <f t="shared" si="4"/>
        <v>101</v>
      </c>
    </row>
    <row r="27" spans="1:9" s="83" customFormat="1">
      <c r="A27" s="38" t="s">
        <v>211</v>
      </c>
      <c r="B27" s="84"/>
      <c r="C27" s="16">
        <f>IF(ISNA(VLOOKUP($F$5 &amp;A27, AllocSched,12,FALSE)),"-",VLOOKUP($F$5 &amp;A27, AllocSched,12,FALSE))</f>
        <v>246809</v>
      </c>
      <c r="D27" s="112"/>
      <c r="E27" s="16">
        <f>IF(ISNA(VLOOKUP($F$5 &amp; A27, AllocSched,13,FALSE)),"-",VLOOKUP($F$5 &amp; A27, AllocSched,13,FALSE))</f>
        <v>-246809</v>
      </c>
      <c r="F27" s="16"/>
      <c r="G27" s="16">
        <f>IF(C27="-",E27,C27+E27)</f>
        <v>0</v>
      </c>
      <c r="H27" s="55" t="str">
        <f>IF(ISNA(VLOOKUP($F$5 &amp; A27, AllocSched,9,FALSE))," ",VLOOKUP($F$5 &amp; A27, AllocSched,9,FALSE))</f>
        <v>001-011</v>
      </c>
      <c r="I27" s="56">
        <f>IF(ISNA(VLOOKUP($F$5 &amp; A27, AllocSched,14,FALSE))," ",VLOOKUP($F$5 &amp; A27, AllocSched,14,FALSE))</f>
        <v>101</v>
      </c>
    </row>
    <row r="28" spans="1:9" ht="12.75" customHeight="1">
      <c r="A28" s="38" t="s">
        <v>172</v>
      </c>
      <c r="C28" s="16" t="str">
        <f t="shared" ref="C28:C39" si="5">IF(ISNA(VLOOKUP($F$5 &amp;A28, AllocSched,12,FALSE)),"-",VLOOKUP($F$5 &amp;A28, AllocSched,12,FALSE))</f>
        <v>-</v>
      </c>
      <c r="D28" s="112"/>
      <c r="E28" s="16" t="str">
        <f t="shared" ref="E28:E39" si="6">IF(ISNA(VLOOKUP($F$5 &amp; A28, AllocSched,13,FALSE)),"-",VLOOKUP($F$5 &amp; A28, AllocSched,13,FALSE))</f>
        <v>-</v>
      </c>
      <c r="F28" s="16"/>
      <c r="G28" s="16" t="str">
        <f t="shared" ref="G28:G39" si="7">IF(C28="-",E28,C28+E28)</f>
        <v>-</v>
      </c>
      <c r="H28" s="55" t="str">
        <f t="shared" si="3"/>
        <v xml:space="preserve"> </v>
      </c>
      <c r="I28" s="56" t="str">
        <f t="shared" si="4"/>
        <v xml:space="preserve"> </v>
      </c>
    </row>
    <row r="29" spans="1:9" ht="12.75" customHeight="1">
      <c r="A29" s="38" t="s">
        <v>222</v>
      </c>
      <c r="C29" s="16">
        <f>IF(ISNA(VLOOKUP($F$5 &amp;A29, AllocSched,12,FALSE)),"-",VLOOKUP($F$5 &amp;A29, AllocSched,12,FALSE))</f>
        <v>85262</v>
      </c>
      <c r="D29" s="112"/>
      <c r="E29" s="16">
        <f>IF(ISNA(VLOOKUP($F$5 &amp; A29, AllocSched,13,FALSE)),"-",VLOOKUP($F$5 &amp; A29, AllocSched,13,FALSE))</f>
        <v>-85262</v>
      </c>
      <c r="F29" s="16"/>
      <c r="G29" s="16">
        <f>IF(C29="-",E29,C29+E29)</f>
        <v>0</v>
      </c>
      <c r="H29" s="55" t="str">
        <f>IF(ISNA(VLOOKUP($F$5 &amp; A29, AllocSched,9,FALSE))," ",VLOOKUP($F$5 &amp; A29, AllocSched,9,FALSE))</f>
        <v>08A-3E0</v>
      </c>
      <c r="I29" s="56" t="str">
        <f>IF(ISNA(VLOOKUP($F$5 &amp; A29, AllocSched,14,FALSE))," ",VLOOKUP($F$5 &amp; A29, AllocSched,14,FALSE))</f>
        <v>3E0</v>
      </c>
    </row>
    <row r="30" spans="1:9" ht="12.75" customHeight="1">
      <c r="A30" s="38" t="s">
        <v>170</v>
      </c>
      <c r="C30" s="16">
        <f t="shared" si="5"/>
        <v>37809</v>
      </c>
      <c r="D30" s="112"/>
      <c r="E30" s="16">
        <f t="shared" si="6"/>
        <v>4596</v>
      </c>
      <c r="F30" s="16"/>
      <c r="G30" s="16">
        <f t="shared" si="7"/>
        <v>42405</v>
      </c>
      <c r="H30" s="55" t="str">
        <f t="shared" si="3"/>
        <v>001-011</v>
      </c>
      <c r="I30" s="56">
        <f t="shared" si="4"/>
        <v>101</v>
      </c>
    </row>
    <row r="31" spans="1:9" ht="12.75" customHeight="1">
      <c r="A31" s="115" t="s">
        <v>151</v>
      </c>
      <c r="B31" s="54"/>
      <c r="C31" s="16">
        <f t="shared" si="5"/>
        <v>250000</v>
      </c>
      <c r="D31" s="112"/>
      <c r="E31" s="16">
        <f t="shared" si="6"/>
        <v>0</v>
      </c>
      <c r="F31" s="16"/>
      <c r="G31" s="16">
        <f t="shared" si="7"/>
        <v>250000</v>
      </c>
      <c r="H31" s="55" t="str">
        <f t="shared" si="3"/>
        <v>08A-3E0</v>
      </c>
      <c r="I31" s="56" t="str">
        <f>IF(ISNA(VLOOKUP($F$5 &amp; A31, AllocSched,14,FALSE))," ",VLOOKUP($F$5 &amp; A31, AllocSched,14,FALSE))</f>
        <v>3E0</v>
      </c>
    </row>
    <row r="32" spans="1:9" ht="12.75" customHeight="1">
      <c r="A32" s="115" t="s">
        <v>150</v>
      </c>
      <c r="B32" s="54"/>
      <c r="C32" s="16">
        <f t="shared" si="5"/>
        <v>29412</v>
      </c>
      <c r="D32" s="112"/>
      <c r="E32" s="16">
        <f t="shared" si="6"/>
        <v>0</v>
      </c>
      <c r="F32" s="16"/>
      <c r="G32" s="16">
        <f t="shared" si="7"/>
        <v>29412</v>
      </c>
      <c r="H32" s="55" t="str">
        <f t="shared" si="3"/>
        <v>001-011</v>
      </c>
      <c r="I32" s="56">
        <f t="shared" si="4"/>
        <v>101</v>
      </c>
    </row>
    <row r="33" spans="1:11" ht="12.75" customHeight="1">
      <c r="A33" s="115" t="s">
        <v>273</v>
      </c>
      <c r="B33" s="54"/>
      <c r="C33" s="16">
        <f>IF(ISNA(VLOOKUP($F$5 &amp;A33, AllocSched,12,FALSE)),"-",VLOOKUP($F$5 &amp;A33, AllocSched,12,FALSE))</f>
        <v>131728</v>
      </c>
      <c r="D33" s="112"/>
      <c r="E33" s="16">
        <f>IF(ISNA(VLOOKUP($F$5 &amp; A33, AllocSched,13,FALSE)),"-",VLOOKUP($F$5 &amp; A33, AllocSched,13,FALSE))</f>
        <v>-131728</v>
      </c>
      <c r="F33" s="16"/>
      <c r="G33" s="16">
        <f>IF(C33="-",E33,C33+E33)</f>
        <v>0</v>
      </c>
      <c r="H33" s="55" t="str">
        <f>IF(ISNA(VLOOKUP($F$5 &amp; A33, AllocSched,9,FALSE))," ",VLOOKUP($F$5 &amp; A33, AllocSched,9,FALSE))</f>
        <v>001-BD1</v>
      </c>
      <c r="I33" s="56" t="str">
        <f>IF(ISNA(VLOOKUP($F$5 &amp; A33, AllocSched,14,FALSE))," ",VLOOKUP($F$5 &amp; A33, AllocSched,14,FALSE))</f>
        <v>BD1</v>
      </c>
    </row>
    <row r="34" spans="1:11" ht="12.75" customHeight="1">
      <c r="A34" s="115" t="s">
        <v>6</v>
      </c>
      <c r="B34" s="54"/>
      <c r="C34" s="16">
        <f t="shared" si="5"/>
        <v>25509</v>
      </c>
      <c r="D34" s="112"/>
      <c r="E34" s="16">
        <f t="shared" si="6"/>
        <v>-6099</v>
      </c>
      <c r="F34" s="16"/>
      <c r="G34" s="16">
        <f t="shared" si="7"/>
        <v>19410</v>
      </c>
      <c r="H34" s="55" t="str">
        <f t="shared" si="3"/>
        <v>001-011</v>
      </c>
      <c r="I34" s="56">
        <f t="shared" si="4"/>
        <v>101</v>
      </c>
    </row>
    <row r="35" spans="1:11" s="272" customFormat="1" ht="12.75" customHeight="1">
      <c r="A35" s="115" t="s">
        <v>64</v>
      </c>
      <c r="B35" s="54"/>
      <c r="C35" s="16" t="str">
        <f t="shared" ref="C35" si="8">IF(ISNA(VLOOKUP($F$5 &amp;A35, AllocSched,12,FALSE)),"-",VLOOKUP($F$5 &amp;A35, AllocSched,12,FALSE))</f>
        <v>-</v>
      </c>
      <c r="D35" s="112"/>
      <c r="E35" s="16" t="str">
        <f t="shared" ref="E35" si="9">IF(ISNA(VLOOKUP($F$5 &amp; A35, AllocSched,13,FALSE)),"-",VLOOKUP($F$5 &amp; A35, AllocSched,13,FALSE))</f>
        <v>-</v>
      </c>
      <c r="F35" s="16"/>
      <c r="G35" s="16" t="str">
        <f t="shared" ref="G35" si="10">IF(C35="-",E35,C35+E35)</f>
        <v>-</v>
      </c>
      <c r="H35" s="55" t="str">
        <f t="shared" ref="H35" si="11">IF(ISNA(VLOOKUP($F$5 &amp; A35, AllocSched,9,FALSE))," ",VLOOKUP($F$5 &amp; A35, AllocSched,9,FALSE))</f>
        <v xml:space="preserve"> </v>
      </c>
      <c r="I35" s="56" t="str">
        <f t="shared" ref="I35" si="12">IF(ISNA(VLOOKUP($F$5 &amp; A35, AllocSched,14,FALSE))," ",VLOOKUP($F$5 &amp; A35, AllocSched,14,FALSE))</f>
        <v xml:space="preserve"> </v>
      </c>
    </row>
    <row r="36" spans="1:11" ht="12.75" customHeight="1">
      <c r="A36" s="115" t="s">
        <v>333</v>
      </c>
      <c r="B36" s="54"/>
      <c r="C36" s="16">
        <f t="shared" si="5"/>
        <v>104376</v>
      </c>
      <c r="D36" s="112"/>
      <c r="E36" s="16">
        <f t="shared" si="6"/>
        <v>0</v>
      </c>
      <c r="F36" s="16"/>
      <c r="G36" s="16">
        <f t="shared" si="7"/>
        <v>104376</v>
      </c>
      <c r="H36" s="55" t="str">
        <f t="shared" si="3"/>
        <v>001-011</v>
      </c>
      <c r="I36" s="56">
        <f>IF(ISNA(VLOOKUP($F$5 &amp; A36, AllocSched,14,FALSE))," ",VLOOKUP($F$5 &amp; A36, AllocSched,14,FALSE))</f>
        <v>101</v>
      </c>
    </row>
    <row r="37" spans="1:11" ht="12.75" customHeight="1">
      <c r="A37" s="115" t="s">
        <v>332</v>
      </c>
      <c r="B37" s="54"/>
      <c r="C37" s="16">
        <f t="shared" si="5"/>
        <v>498572</v>
      </c>
      <c r="D37" s="112"/>
      <c r="E37" s="16">
        <f t="shared" si="6"/>
        <v>0</v>
      </c>
      <c r="F37" s="16"/>
      <c r="G37" s="16">
        <f t="shared" si="7"/>
        <v>498572</v>
      </c>
      <c r="H37" s="55" t="str">
        <f t="shared" si="3"/>
        <v>001-AC1</v>
      </c>
      <c r="I37" s="56">
        <f>IF(ISNA(VLOOKUP($F$5 &amp; A37, AllocSched,14,FALSE))," ",VLOOKUP($F$5 &amp; A37, AllocSched,14,FALSE))</f>
        <v>123</v>
      </c>
    </row>
    <row r="38" spans="1:11" s="272" customFormat="1" ht="12.75" customHeight="1">
      <c r="A38" s="115" t="s">
        <v>767</v>
      </c>
      <c r="B38" s="54"/>
      <c r="C38" s="16" t="str">
        <f t="shared" ref="C38" si="13">IF(ISNA(VLOOKUP($F$5 &amp;A38, AllocSched,12,FALSE)),"-",VLOOKUP($F$5 &amp;A38, AllocSched,12,FALSE))</f>
        <v>-</v>
      </c>
      <c r="D38" s="112"/>
      <c r="E38" s="16" t="str">
        <f t="shared" ref="E38" si="14">IF(ISNA(VLOOKUP($F$5 &amp; A38, AllocSched,13,FALSE)),"-",VLOOKUP($F$5 &amp; A38, AllocSched,13,FALSE))</f>
        <v>-</v>
      </c>
      <c r="F38" s="16"/>
      <c r="G38" s="16" t="str">
        <f t="shared" ref="G38" si="15">IF(C38="-",E38,C38+E38)</f>
        <v>-</v>
      </c>
      <c r="H38" s="55" t="str">
        <f t="shared" ref="H38" si="16">IF(ISNA(VLOOKUP($F$5 &amp; A38, AllocSched,9,FALSE))," ",VLOOKUP($F$5 &amp; A38, AllocSched,9,FALSE))</f>
        <v xml:space="preserve"> </v>
      </c>
      <c r="I38" s="56" t="str">
        <f>IF(ISNA(VLOOKUP($F$5 &amp; A38, AllocSched,14,FALSE))," ",VLOOKUP($F$5 &amp; A38, AllocSched,14,FALSE))</f>
        <v xml:space="preserve"> </v>
      </c>
    </row>
    <row r="39" spans="1:11" ht="12.75" customHeight="1">
      <c r="A39" s="115" t="s">
        <v>215</v>
      </c>
      <c r="B39" s="54"/>
      <c r="C39" s="16">
        <f t="shared" si="5"/>
        <v>543250</v>
      </c>
      <c r="D39" s="112"/>
      <c r="E39" s="16">
        <f t="shared" si="6"/>
        <v>-543250</v>
      </c>
      <c r="F39" s="16"/>
      <c r="G39" s="16">
        <f t="shared" si="7"/>
        <v>0</v>
      </c>
      <c r="H39" s="55" t="str">
        <f t="shared" si="3"/>
        <v>001-AC1</v>
      </c>
      <c r="I39" s="56">
        <f>IF(ISNA(VLOOKUP($F$5 &amp; A39, AllocSched,14,FALSE))," ",VLOOKUP($F$5 &amp; A39, AllocSched,14,FALSE))</f>
        <v>123</v>
      </c>
    </row>
    <row r="40" spans="1:11" ht="12.75" customHeight="1">
      <c r="A40" s="54"/>
      <c r="B40" s="54"/>
      <c r="C40" s="16"/>
      <c r="D40" s="112"/>
      <c r="E40" s="16"/>
      <c r="F40" s="16"/>
      <c r="G40" s="16"/>
      <c r="H40" s="55"/>
      <c r="I40" s="56"/>
    </row>
    <row r="41" spans="1:11" ht="13.5" thickBot="1">
      <c r="A41" s="89" t="s">
        <v>174</v>
      </c>
      <c r="B41" s="57" t="s">
        <v>51</v>
      </c>
      <c r="C41" s="111">
        <f>SUM(C16:C39)</f>
        <v>13497365</v>
      </c>
      <c r="D41" s="113" t="s">
        <v>51</v>
      </c>
      <c r="E41" s="111">
        <f>SUM(E16:E39)</f>
        <v>-22276</v>
      </c>
      <c r="F41" s="113" t="s">
        <v>51</v>
      </c>
      <c r="G41" s="111">
        <f>SUM(G16:G39)</f>
        <v>13475089</v>
      </c>
      <c r="J41" s="25"/>
      <c r="K41" s="30"/>
    </row>
    <row r="42" spans="1:11" ht="12.75" customHeight="1" thickTop="1">
      <c r="A42" s="84"/>
      <c r="B42" s="84"/>
      <c r="C42" s="58">
        <v>0</v>
      </c>
      <c r="D42" s="58"/>
      <c r="E42" s="90"/>
      <c r="F42" s="90"/>
      <c r="G42" s="90"/>
    </row>
    <row r="43" spans="1:11" s="65" customFormat="1" ht="25.5">
      <c r="A43" s="59" t="s">
        <v>156</v>
      </c>
      <c r="B43" s="60"/>
      <c r="C43" s="61"/>
      <c r="D43" s="62"/>
      <c r="E43" s="63" t="s">
        <v>67</v>
      </c>
      <c r="F43" s="62"/>
      <c r="G43" s="64" t="s">
        <v>163</v>
      </c>
      <c r="H43" s="64" t="s">
        <v>164</v>
      </c>
      <c r="I43" s="98" t="s">
        <v>70</v>
      </c>
    </row>
    <row r="44" spans="1:11" s="65" customFormat="1" ht="12.75" customHeight="1">
      <c r="A44" s="66" t="s">
        <v>240</v>
      </c>
      <c r="B44" s="67"/>
      <c r="C44" s="68"/>
      <c r="E44" s="66" t="s">
        <v>368</v>
      </c>
      <c r="G44" s="150">
        <f>VLOOKUP($F$5 &amp; $A44 &amp; $E44,AddRes,7,FALSE)</f>
        <v>0</v>
      </c>
      <c r="H44" s="150">
        <f>VLOOKUP($F$5 &amp; $A44 &amp; $E44,AddRes,8,FALSE)</f>
        <v>0</v>
      </c>
      <c r="I44" s="69">
        <f>VLOOKUP($F$5 &amp; $A44 &amp; $E44,AddRes,10,FALSE)</f>
        <v>42277</v>
      </c>
    </row>
    <row r="45" spans="1:11" s="65" customFormat="1" ht="12.75" customHeight="1">
      <c r="A45" s="66" t="s">
        <v>497</v>
      </c>
      <c r="B45" s="67"/>
      <c r="C45" s="68"/>
      <c r="E45" s="66" t="s">
        <v>613</v>
      </c>
      <c r="G45" s="150">
        <f>VLOOKUP($F$5 &amp; $A45 &amp; $E45,AddRes,7,FALSE)</f>
        <v>0</v>
      </c>
      <c r="H45" s="150">
        <f>VLOOKUP($F$5 &amp; $A45 &amp; $E45,AddRes,8,FALSE)</f>
        <v>0</v>
      </c>
      <c r="I45" s="69">
        <f>VLOOKUP($F$5 &amp; $A45 &amp; $E45,AddRes,10,FALSE)</f>
        <v>42551</v>
      </c>
    </row>
    <row r="46" spans="1:11" s="65" customFormat="1" ht="12.75" customHeight="1">
      <c r="A46" s="66" t="s">
        <v>498</v>
      </c>
      <c r="B46" s="67"/>
      <c r="C46" s="68"/>
      <c r="E46" s="66" t="s">
        <v>614</v>
      </c>
      <c r="G46" s="150">
        <f>VLOOKUP($F$5 &amp; $A46 &amp; $E46,AddRes,7,FALSE)</f>
        <v>0</v>
      </c>
      <c r="H46" s="150">
        <f>VLOOKUP($F$5 &amp; $A46 &amp; $E46,AddRes,8,FALSE)</f>
        <v>0</v>
      </c>
      <c r="I46" s="69">
        <f>VLOOKUP($F$5 &amp; $A46 &amp; $E46,AddRes,10,FALSE)</f>
        <v>42551</v>
      </c>
      <c r="J46" s="198"/>
    </row>
    <row r="47" spans="1:11" s="65" customFormat="1" ht="12.75" customHeight="1">
      <c r="A47" s="66" t="s">
        <v>505</v>
      </c>
      <c r="B47" s="67"/>
      <c r="C47" s="68"/>
      <c r="E47" s="66" t="s">
        <v>615</v>
      </c>
      <c r="G47" s="150">
        <f>VLOOKUP($F$5 &amp; $A47 &amp; $E47,AddRes,7,FALSE)</f>
        <v>0</v>
      </c>
      <c r="H47" s="150">
        <f>VLOOKUP($F$5 &amp; $A47 &amp; $E47,AddRes,8,FALSE)</f>
        <v>0</v>
      </c>
      <c r="I47" s="69">
        <f>VLOOKUP($F$5 &amp; $A47 &amp; $E47,AddRes,10,FALSE)</f>
        <v>42551</v>
      </c>
    </row>
    <row r="48" spans="1:11" s="65" customFormat="1" ht="12.75" customHeight="1">
      <c r="A48" s="66" t="s">
        <v>412</v>
      </c>
      <c r="B48" s="67"/>
      <c r="C48" s="68"/>
      <c r="E48" s="66" t="s">
        <v>419</v>
      </c>
      <c r="G48" s="150">
        <f t="shared" ref="G48:G51" si="17">VLOOKUP($F$5 &amp; $A48 &amp; $E48,AddRes,7,FALSE)</f>
        <v>0</v>
      </c>
      <c r="H48" s="150">
        <f t="shared" ref="H48:H51" si="18">VLOOKUP($F$5 &amp; $A48 &amp; $E48,AddRes,8,FALSE)</f>
        <v>0</v>
      </c>
      <c r="I48" s="69">
        <f t="shared" ref="I48:I51" si="19">VLOOKUP($F$5 &amp; $A48 &amp; $E48,AddRes,10,FALSE)</f>
        <v>42551</v>
      </c>
    </row>
    <row r="49" spans="1:12" s="65" customFormat="1" ht="12.75" customHeight="1">
      <c r="A49" s="66" t="s">
        <v>241</v>
      </c>
      <c r="B49" s="67"/>
      <c r="C49" s="68"/>
      <c r="E49" s="66" t="s">
        <v>616</v>
      </c>
      <c r="G49" s="150">
        <f>VLOOKUP($F$5 &amp; $A49 &amp; $E49,AddRes,7,FALSE)</f>
        <v>0</v>
      </c>
      <c r="H49" s="150">
        <f>VLOOKUP($F$5 &amp; $A49 &amp; $E49,AddRes,8,FALSE)</f>
        <v>0</v>
      </c>
      <c r="I49" s="69">
        <f>VLOOKUP($F$5 &amp; $A49 &amp; $E49,AddRes,10,FALSE)</f>
        <v>42551</v>
      </c>
    </row>
    <row r="50" spans="1:12" s="65" customFormat="1" ht="12.75" customHeight="1">
      <c r="A50" s="66" t="s">
        <v>274</v>
      </c>
      <c r="B50" s="67"/>
      <c r="C50" s="68"/>
      <c r="E50" s="66" t="s">
        <v>617</v>
      </c>
      <c r="G50" s="150">
        <f>VLOOKUP($F$5 &amp; $A50 &amp; $E50,AddRes,7,FALSE)</f>
        <v>0</v>
      </c>
      <c r="H50" s="150">
        <f>VLOOKUP($F$5 &amp; $A50 &amp; $E50,AddRes,8,FALSE)</f>
        <v>0</v>
      </c>
      <c r="I50" s="69">
        <f>VLOOKUP($F$5 &amp; $A50 &amp; $E50,AddRes,10,FALSE)</f>
        <v>42551</v>
      </c>
    </row>
    <row r="51" spans="1:12" s="65" customFormat="1" ht="12.75" customHeight="1">
      <c r="A51" s="66" t="s">
        <v>242</v>
      </c>
      <c r="B51" s="67"/>
      <c r="C51" s="68"/>
      <c r="E51" s="66" t="s">
        <v>245</v>
      </c>
      <c r="G51" s="150">
        <f t="shared" si="17"/>
        <v>0</v>
      </c>
      <c r="H51" s="150">
        <f t="shared" si="18"/>
        <v>0</v>
      </c>
      <c r="I51" s="69">
        <f t="shared" si="19"/>
        <v>42551</v>
      </c>
    </row>
    <row r="52" spans="1:12" s="65" customFormat="1" ht="12.75" customHeight="1">
      <c r="A52" s="66" t="s">
        <v>231</v>
      </c>
      <c r="B52" s="67"/>
      <c r="C52" s="68"/>
      <c r="E52" s="66" t="s">
        <v>618</v>
      </c>
      <c r="G52" s="150">
        <f>VLOOKUP($F$5 &amp; $A52 &amp; $E52,AddRes,7,FALSE)</f>
        <v>0</v>
      </c>
      <c r="H52" s="150">
        <f>VLOOKUP($F$5 &amp; $A52 &amp; $E52,AddRes,8,FALSE)</f>
        <v>0</v>
      </c>
      <c r="I52" s="69">
        <f>VLOOKUP($F$5 &amp; $A52 &amp; $E52,AddRes,10,FALSE)</f>
        <v>42551</v>
      </c>
    </row>
    <row r="53" spans="1:12" s="65" customFormat="1" ht="12.75" customHeight="1">
      <c r="A53" s="66" t="s">
        <v>232</v>
      </c>
      <c r="B53" s="67"/>
      <c r="C53" s="68"/>
      <c r="E53" s="66" t="s">
        <v>619</v>
      </c>
      <c r="G53" s="150">
        <f>VLOOKUP($F$5 &amp; $A53 &amp; $E53,AddRes,7,FALSE)</f>
        <v>0</v>
      </c>
      <c r="H53" s="150">
        <f>VLOOKUP($F$5 &amp; $A53 &amp; $E53,AddRes,8,FALSE)</f>
        <v>0</v>
      </c>
      <c r="I53" s="69">
        <f>VLOOKUP($F$5 &amp; $A53 &amp; $E53,AddRes,10,FALSE)</f>
        <v>42551</v>
      </c>
    </row>
    <row r="54" spans="1:12" s="65" customFormat="1" ht="12.75" customHeight="1">
      <c r="A54" s="66"/>
      <c r="C54" s="70"/>
      <c r="D54" s="70"/>
      <c r="E54" s="70"/>
      <c r="F54" s="70"/>
      <c r="G54" s="71"/>
      <c r="H54" s="72"/>
      <c r="I54" s="73"/>
      <c r="K54" s="75"/>
      <c r="L54" s="75"/>
    </row>
    <row r="55" spans="1:12" s="65" customFormat="1" ht="12.75" customHeight="1">
      <c r="A55" s="66"/>
      <c r="C55" s="74" t="s">
        <v>71</v>
      </c>
      <c r="D55" s="70"/>
      <c r="E55" s="70"/>
      <c r="F55" s="70"/>
      <c r="G55" s="75">
        <f>SUM(G44:G53)</f>
        <v>0</v>
      </c>
      <c r="H55" s="75">
        <f>SUM(H44:H53)</f>
        <v>0</v>
      </c>
      <c r="I55" s="73"/>
    </row>
    <row r="56" spans="1:12" s="65" customFormat="1" ht="12.75" customHeight="1">
      <c r="C56" s="70"/>
      <c r="D56" s="70"/>
      <c r="E56" s="70"/>
      <c r="F56" s="70"/>
      <c r="G56" s="70"/>
      <c r="I56" s="73"/>
    </row>
    <row r="57" spans="1:12" s="65" customFormat="1" ht="12.75" customHeight="1">
      <c r="C57" s="70"/>
      <c r="D57" s="70"/>
      <c r="E57" s="70"/>
      <c r="F57" s="70"/>
      <c r="G57" s="70"/>
      <c r="I57" s="73"/>
    </row>
    <row r="58" spans="1:12" s="65" customFormat="1" ht="12.75" customHeight="1">
      <c r="C58" s="70"/>
      <c r="D58" s="70"/>
      <c r="E58" s="70"/>
      <c r="F58" s="70"/>
      <c r="G58" s="70"/>
      <c r="I58" s="73"/>
    </row>
    <row r="59" spans="1:12" s="65" customFormat="1" ht="12.75" customHeight="1">
      <c r="C59" s="70"/>
      <c r="D59" s="70"/>
      <c r="E59" s="70"/>
      <c r="F59" s="70"/>
      <c r="G59" s="70"/>
      <c r="I59" s="73"/>
    </row>
    <row r="60" spans="1:12" s="65" customFormat="1" ht="12.75" customHeight="1">
      <c r="C60" s="70"/>
      <c r="D60" s="70"/>
      <c r="E60" s="70"/>
      <c r="F60" s="70"/>
      <c r="G60" s="70"/>
      <c r="I60" s="73"/>
    </row>
    <row r="61" spans="1:12" s="65" customFormat="1" ht="12.75" customHeight="1">
      <c r="C61" s="70"/>
      <c r="D61" s="70"/>
      <c r="E61" s="70"/>
      <c r="F61" s="70"/>
      <c r="G61" s="70"/>
      <c r="I61" s="73"/>
    </row>
    <row r="62" spans="1:12" s="65" customFormat="1" ht="12.75" customHeight="1">
      <c r="C62" s="70"/>
      <c r="D62" s="70"/>
      <c r="E62" s="70"/>
      <c r="F62" s="70"/>
      <c r="G62" s="70"/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  <row r="139" spans="3:9" s="65" customFormat="1" ht="12.75" customHeight="1">
      <c r="C139" s="70"/>
      <c r="D139" s="70"/>
      <c r="E139" s="70"/>
      <c r="F139" s="70"/>
      <c r="G139" s="70"/>
      <c r="I139" s="73"/>
    </row>
    <row r="140" spans="3:9" s="65" customFormat="1" ht="12.75" customHeight="1">
      <c r="C140" s="70"/>
      <c r="D140" s="70"/>
      <c r="E140" s="70"/>
      <c r="F140" s="70"/>
      <c r="G140" s="70"/>
      <c r="I140" s="73"/>
    </row>
    <row r="141" spans="3:9" s="65" customFormat="1" ht="12.75" customHeight="1">
      <c r="C141" s="70"/>
      <c r="D141" s="70"/>
      <c r="E141" s="70"/>
      <c r="F141" s="70"/>
      <c r="G141" s="70"/>
      <c r="I141" s="73"/>
    </row>
  </sheetData>
  <mergeCells count="2">
    <mergeCell ref="A8:I8"/>
    <mergeCell ref="G5:I5"/>
  </mergeCells>
  <phoneticPr fontId="0" type="noConversion"/>
  <conditionalFormatting sqref="G41">
    <cfRule type="cellIs" dxfId="17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L139"/>
  <sheetViews>
    <sheetView topLeftCell="A13"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3.5703125" style="23" bestFit="1" customWidth="1"/>
    <col min="11" max="12" width="11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127</v>
      </c>
      <c r="G5" s="505" t="str">
        <f>VLOOKUP($F5,District,2,FALSE)</f>
        <v>Lower Columbia College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2496</v>
      </c>
      <c r="D10" s="48"/>
      <c r="E10" s="48">
        <f>IF(ISNA(VLOOKUP($F$5,Student,14,FALSE)),0,VLOOKUP($F$5,Student,14,FALSE))</f>
        <v>0</v>
      </c>
      <c r="F10" s="48"/>
      <c r="G10" s="48">
        <f>$E$10+$C$10+$A$10</f>
        <v>2496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22" si="0">IF(ISNA(VLOOKUP($F$5 &amp;A16, AllocSched,12,FALSE)),"-",VLOOKUP($F$5 &amp;A16, AllocSched,12,FALSE))</f>
        <v>9816534</v>
      </c>
      <c r="D16" s="112" t="s">
        <v>51</v>
      </c>
      <c r="E16" s="16">
        <f>IF(ISNA(VLOOKUP($F$5 &amp; A16, AllocSched,13,FALSE)),"-",VLOOKUP($F$5 &amp; A16, AllocSched,13,FALSE))</f>
        <v>-8481</v>
      </c>
      <c r="F16" s="16" t="s">
        <v>51</v>
      </c>
      <c r="G16" s="16">
        <f t="shared" ref="G16:G24" si="1">IF(C16="-",E16,C16+E16)</f>
        <v>9808053</v>
      </c>
      <c r="H16" s="55" t="str">
        <f t="shared" ref="H16:H37" si="2">IF(ISNA(VLOOKUP($F$5 &amp; A16, AllocSched,9,FALSE))," ",VLOOKUP($F$5 &amp; A16, AllocSched,9,FALSE))</f>
        <v>001-011</v>
      </c>
      <c r="I16" s="56">
        <f t="shared" ref="I16:I37" si="3">IF(ISNA(VLOOKUP($F$5 &amp; A16, AllocSched,14,FALSE))," ",VLOOKUP($F$5 &amp; A16, AllocSched,14,FALSE))</f>
        <v>101</v>
      </c>
    </row>
    <row r="17" spans="1:11" ht="12.75" customHeight="1">
      <c r="A17" s="115" t="s">
        <v>171</v>
      </c>
      <c r="B17" s="54"/>
      <c r="C17" s="16">
        <f t="shared" si="0"/>
        <v>779637</v>
      </c>
      <c r="D17" s="112"/>
      <c r="E17" s="16">
        <f t="shared" ref="E17:E22" si="4">IF(ISNA(VLOOKUP($F$5 &amp; A17, AllocSched,13,FALSE)),"-",VLOOKUP($F$5 &amp; A17, AllocSched,13,FALSE))</f>
        <v>8481</v>
      </c>
      <c r="F17" s="16"/>
      <c r="G17" s="16">
        <f t="shared" si="1"/>
        <v>788118</v>
      </c>
      <c r="H17" s="55" t="str">
        <f t="shared" si="2"/>
        <v>08A-3E0</v>
      </c>
      <c r="I17" s="56" t="str">
        <f t="shared" si="3"/>
        <v>3E0</v>
      </c>
      <c r="J17" s="25"/>
      <c r="K17" s="25"/>
    </row>
    <row r="18" spans="1:11" s="272" customFormat="1" ht="12.75" customHeight="1">
      <c r="A18" s="38" t="s">
        <v>781</v>
      </c>
      <c r="B18" s="54"/>
      <c r="C18" s="16">
        <f>IF(ISNA(VLOOKUP($F$5 &amp;A18, AllocSched,12,FALSE)),"-",VLOOKUP($F$5 &amp;A18, AllocSched,12,FALSE))</f>
        <v>0</v>
      </c>
      <c r="D18" s="112"/>
      <c r="E18" s="16">
        <f>IF(ISNA(VLOOKUP($F$5 &amp; A18, AllocSched,13,FALSE)),"-",VLOOKUP($F$5 &amp; A18, AllocSched,13,FALSE))</f>
        <v>57228</v>
      </c>
      <c r="F18" s="16"/>
      <c r="G18" s="16">
        <f t="shared" si="1"/>
        <v>57228</v>
      </c>
      <c r="H18" s="55" t="str">
        <f>IF(ISNA(VLOOKUP($F$5 &amp; A18, AllocSched,9,FALSE))," ",VLOOKUP($F$5 &amp; A18, AllocSched,9,FALSE))</f>
        <v>001-011</v>
      </c>
      <c r="I18" s="56">
        <f>IF(ISNA(VLOOKUP($F$5 &amp; A18, AllocSched,14,FALSE))," ",VLOOKUP($F$5 &amp; A18, AllocSched,14,FALSE))</f>
        <v>101</v>
      </c>
      <c r="J18" s="25"/>
      <c r="K18" s="25"/>
    </row>
    <row r="19" spans="1:11" s="272" customFormat="1" ht="12.75" customHeight="1">
      <c r="A19" s="115" t="s">
        <v>448</v>
      </c>
      <c r="B19" s="54"/>
      <c r="C19" s="16">
        <f>IF(ISNA(VLOOKUP($F$5 &amp;A19, AllocSched,12,FALSE)),"-",VLOOKUP($F$5 &amp;A19, AllocSched,12,FALSE))</f>
        <v>0</v>
      </c>
      <c r="D19" s="112"/>
      <c r="E19" s="16">
        <f>IF(ISNA(VLOOKUP($F$5 &amp; A19, AllocSched,13,FALSE)),"-",VLOOKUP($F$5 &amp; A19, AllocSched,13,FALSE))</f>
        <v>154974</v>
      </c>
      <c r="F19" s="16"/>
      <c r="G19" s="16">
        <f t="shared" si="1"/>
        <v>154974</v>
      </c>
      <c r="H19" s="55" t="str">
        <f>IF(ISNA(VLOOKUP($F$5 &amp; A19, AllocSched,9,FALSE))," ",VLOOKUP($F$5 &amp; A19, AllocSched,9,FALSE))</f>
        <v>001-011</v>
      </c>
      <c r="I19" s="56">
        <f>IF(ISNA(VLOOKUP($F$5 &amp; A19, AllocSched,14,FALSE))," ",VLOOKUP($F$5 &amp; A19, AllocSched,14,FALSE))</f>
        <v>101</v>
      </c>
      <c r="J19" s="25"/>
      <c r="K19" s="25"/>
    </row>
    <row r="20" spans="1:11" s="272" customFormat="1" ht="12.75" customHeight="1">
      <c r="A20" s="115" t="s">
        <v>265</v>
      </c>
      <c r="B20" s="54"/>
      <c r="C20" s="16" t="str">
        <f>IF(ISNA(VLOOKUP($F$5 &amp;A20, AllocSched,12,FALSE)),"-",VLOOKUP($F$5 &amp;A20, AllocSched,12,FALSE))</f>
        <v>-</v>
      </c>
      <c r="D20" s="112"/>
      <c r="E20" s="16" t="str">
        <f>IF(ISNA(VLOOKUP($F$5 &amp; A20, AllocSched,13,FALSE)),"-",VLOOKUP($F$5 &amp; A20, AllocSched,13,FALSE))</f>
        <v>-</v>
      </c>
      <c r="F20" s="16"/>
      <c r="G20" s="16" t="str">
        <f t="shared" si="1"/>
        <v>-</v>
      </c>
      <c r="H20" s="55" t="str">
        <f>IF(ISNA(VLOOKUP($F$5 &amp; A20, AllocSched,9,FALSE))," ",VLOOKUP($F$5 &amp; A20, AllocSched,9,FALSE))</f>
        <v xml:space="preserve"> </v>
      </c>
      <c r="I20" s="56" t="str">
        <f>IF(ISNA(VLOOKUP($F$5 &amp; A20, AllocSched,14,FALSE))," ",VLOOKUP($F$5 &amp; A20, AllocSched,14,FALSE))</f>
        <v xml:space="preserve"> </v>
      </c>
      <c r="J20" s="25"/>
      <c r="K20" s="25"/>
    </row>
    <row r="21" spans="1:11" s="269" customFormat="1" ht="12.75" customHeight="1">
      <c r="A21" s="115" t="s">
        <v>340</v>
      </c>
      <c r="B21" s="54"/>
      <c r="C21" s="16">
        <f>IF(ISNA(VLOOKUP($F$5 &amp;A21, AllocSched,12,FALSE)),"-",VLOOKUP($F$5 &amp;A21, AllocSched,12,FALSE))</f>
        <v>0</v>
      </c>
      <c r="D21" s="112"/>
      <c r="E21" s="16">
        <f>IF(ISNA(VLOOKUP($F$5 &amp; A21, AllocSched,13,FALSE)),"-",VLOOKUP($F$5 &amp; A21, AllocSched,13,FALSE))</f>
        <v>424794</v>
      </c>
      <c r="F21" s="16"/>
      <c r="G21" s="16">
        <f t="shared" si="1"/>
        <v>424794</v>
      </c>
      <c r="H21" s="55" t="str">
        <f>IF(ISNA(VLOOKUP($F$5 &amp; A21, AllocSched,9,FALSE))," ",VLOOKUP($F$5 &amp; A21, AllocSched,9,FALSE))</f>
        <v>001-011</v>
      </c>
      <c r="I21" s="56">
        <f>IF(ISNA(VLOOKUP($F$5 &amp; A21, AllocSched,14,FALSE))," ",VLOOKUP($F$5 &amp; A21, AllocSched,14,FALSE))</f>
        <v>101</v>
      </c>
      <c r="J21" s="25"/>
      <c r="K21" s="25"/>
    </row>
    <row r="22" spans="1:11" ht="12.75" customHeight="1">
      <c r="A22" s="115" t="s">
        <v>207</v>
      </c>
      <c r="B22" s="54"/>
      <c r="C22" s="16">
        <f t="shared" si="0"/>
        <v>0</v>
      </c>
      <c r="D22" s="112"/>
      <c r="E22" s="16">
        <f t="shared" si="4"/>
        <v>43157</v>
      </c>
      <c r="F22" s="16"/>
      <c r="G22" s="16">
        <f t="shared" si="1"/>
        <v>43157</v>
      </c>
      <c r="H22" s="55" t="str">
        <f t="shared" si="2"/>
        <v>001-011</v>
      </c>
      <c r="I22" s="56">
        <f t="shared" si="3"/>
        <v>101</v>
      </c>
    </row>
    <row r="23" spans="1:11" s="272" customFormat="1" ht="12.75" customHeight="1">
      <c r="A23" s="115" t="s">
        <v>203</v>
      </c>
      <c r="B23" s="54"/>
      <c r="C23" s="16">
        <f>IF(ISNA(VLOOKUP($F$5 &amp;A23, AllocSched,12,FALSE)),"-",VLOOKUP($F$5 &amp;A23, AllocSched,12,FALSE))</f>
        <v>0</v>
      </c>
      <c r="D23" s="112"/>
      <c r="E23" s="16">
        <f>IF(ISNA(VLOOKUP($F$5 &amp; A23, AllocSched,13,FALSE)),"-",VLOOKUP($F$5 &amp; A23, AllocSched,13,FALSE))</f>
        <v>-2912</v>
      </c>
      <c r="F23" s="16"/>
      <c r="G23" s="16">
        <f t="shared" si="1"/>
        <v>-2912</v>
      </c>
      <c r="H23" s="55" t="str">
        <f>IF(ISNA(VLOOKUP($F$5 &amp; A23, AllocSched,9,FALSE))," ",VLOOKUP($F$5 &amp; A23, AllocSched,9,FALSE))</f>
        <v>001-011</v>
      </c>
      <c r="I23" s="56">
        <f>IF(ISNA(VLOOKUP($F$5 &amp; A23, AllocSched,14,FALSE))," ",VLOOKUP($F$5 &amp; A23, AllocSched,14,FALSE))</f>
        <v>101</v>
      </c>
    </row>
    <row r="24" spans="1:11" s="272" customFormat="1" ht="12.75" customHeight="1">
      <c r="A24" s="115" t="s">
        <v>454</v>
      </c>
      <c r="B24" s="54"/>
      <c r="C24" s="16">
        <f>IF(ISNA(VLOOKUP($F$5 &amp;A24, AllocSched,12,FALSE)),"-",VLOOKUP($F$5 &amp;A24, AllocSched,12,FALSE))</f>
        <v>0</v>
      </c>
      <c r="D24" s="112"/>
      <c r="E24" s="16">
        <f>IF(ISNA(VLOOKUP($F$5 &amp; A24, AllocSched,13,FALSE)),"-",VLOOKUP($F$5 &amp; A24, AllocSched,13,FALSE))</f>
        <v>2707</v>
      </c>
      <c r="F24" s="16"/>
      <c r="G24" s="16">
        <f t="shared" si="1"/>
        <v>2707</v>
      </c>
      <c r="H24" s="55" t="str">
        <f>IF(ISNA(VLOOKUP($F$5 &amp; A24, AllocSched,9,FALSE))," ",VLOOKUP($F$5 &amp; A24, AllocSched,9,FALSE))</f>
        <v>001-011</v>
      </c>
      <c r="I24" s="56">
        <f>IF(ISNA(VLOOKUP($F$5 &amp; A24, AllocSched,14,FALSE))," ",VLOOKUP($F$5 &amp; A24, AllocSched,14,FALSE))</f>
        <v>101</v>
      </c>
    </row>
    <row r="25" spans="1:11" ht="12.75" customHeight="1">
      <c r="A25" s="115"/>
      <c r="B25" s="54"/>
      <c r="C25" s="16"/>
      <c r="D25" s="112"/>
      <c r="E25" s="16"/>
      <c r="F25" s="16"/>
      <c r="G25" s="16"/>
      <c r="H25" s="55" t="str">
        <f t="shared" si="2"/>
        <v xml:space="preserve"> </v>
      </c>
      <c r="I25" s="56" t="str">
        <f t="shared" si="3"/>
        <v xml:space="preserve"> </v>
      </c>
    </row>
    <row r="26" spans="1:11" s="83" customFormat="1">
      <c r="A26" s="114" t="s">
        <v>168</v>
      </c>
      <c r="B26" s="84"/>
      <c r="C26" s="16"/>
      <c r="D26" s="112"/>
      <c r="E26" s="16"/>
      <c r="F26" s="16"/>
      <c r="G26" s="16"/>
      <c r="H26" s="55" t="str">
        <f t="shared" si="2"/>
        <v xml:space="preserve"> </v>
      </c>
      <c r="I26" s="56" t="str">
        <f t="shared" si="3"/>
        <v xml:space="preserve"> </v>
      </c>
    </row>
    <row r="27" spans="1:11" ht="12.75" customHeight="1">
      <c r="A27" s="38" t="s">
        <v>208</v>
      </c>
      <c r="C27" s="16">
        <f t="shared" ref="C27:C37" si="5">IF(ISNA(VLOOKUP($F$5 &amp;A27, AllocSched,12,FALSE)),"-",VLOOKUP($F$5 &amp;A27, AllocSched,12,FALSE))</f>
        <v>2403975</v>
      </c>
      <c r="D27" s="112"/>
      <c r="E27" s="16">
        <f t="shared" ref="E27:E37" si="6">IF(ISNA(VLOOKUP($F$5 &amp; A27, AllocSched,13,FALSE)),"-",VLOOKUP($F$5 &amp; A27, AllocSched,13,FALSE))</f>
        <v>2200</v>
      </c>
      <c r="F27" s="16"/>
      <c r="G27" s="16">
        <f t="shared" ref="G27:G35" si="7">IF(C27="-",E27,C27+E27)</f>
        <v>2406175</v>
      </c>
      <c r="H27" s="55" t="str">
        <f>IF(ISNA(VLOOKUP($F$5 &amp; A27, AllocSched,9,FALSE))," ",VLOOKUP($F$5 &amp; A27, AllocSched,9,FALSE))</f>
        <v>060-BA0</v>
      </c>
      <c r="I27" s="56" t="str">
        <f t="shared" si="3"/>
        <v>BA0</v>
      </c>
    </row>
    <row r="28" spans="1:11" ht="12.75" customHeight="1">
      <c r="A28" s="38" t="s">
        <v>270</v>
      </c>
      <c r="C28" s="16" t="str">
        <f t="shared" si="5"/>
        <v>-</v>
      </c>
      <c r="D28" s="112"/>
      <c r="E28" s="16" t="str">
        <f t="shared" si="6"/>
        <v>-</v>
      </c>
      <c r="F28" s="16"/>
      <c r="G28" s="16" t="str">
        <f t="shared" si="7"/>
        <v>-</v>
      </c>
      <c r="H28" s="55" t="str">
        <f>IF(ISNA(VLOOKUP($F$5 &amp; A28, AllocSched,9,FALSE))," ",VLOOKUP($F$5 &amp; A28, AllocSched,9,FALSE))</f>
        <v xml:space="preserve"> </v>
      </c>
      <c r="I28" s="56" t="str">
        <f t="shared" si="3"/>
        <v xml:space="preserve"> </v>
      </c>
    </row>
    <row r="29" spans="1:11" ht="12.75" customHeight="1">
      <c r="A29" s="38" t="s">
        <v>409</v>
      </c>
      <c r="C29" s="16">
        <f>IF(ISNA(VLOOKUP($F$5 &amp;A29, AllocSched,12,FALSE)),"-",VLOOKUP($F$5 &amp;A29, AllocSched,12,FALSE))</f>
        <v>110200</v>
      </c>
      <c r="D29" s="112"/>
      <c r="E29" s="16">
        <f>IF(ISNA(VLOOKUP($F$5 &amp; A29, AllocSched,13,FALSE)),"-",VLOOKUP($F$5 &amp; A29, AllocSched,13,FALSE))</f>
        <v>-110200</v>
      </c>
      <c r="F29" s="16"/>
      <c r="G29" s="16">
        <f>IF(C29="-",E29,C29+E29)</f>
        <v>0</v>
      </c>
      <c r="H29" s="55" t="str">
        <f>IF(ISNA(VLOOKUP($F$5 &amp; A29, AllocSched,9,FALSE))," ",VLOOKUP($F$5 &amp; A29, AllocSched,9,FALSE))</f>
        <v>08A-3E0</v>
      </c>
      <c r="I29" s="56" t="str">
        <f>IF(ISNA(VLOOKUP($F$5 &amp; A29, AllocSched,14,FALSE))," ",VLOOKUP($F$5 &amp; A29, AllocSched,14,FALSE))</f>
        <v>3E0</v>
      </c>
    </row>
    <row r="30" spans="1:11" ht="12.75" customHeight="1">
      <c r="A30" s="38" t="s">
        <v>170</v>
      </c>
      <c r="C30" s="16">
        <f t="shared" si="5"/>
        <v>26953</v>
      </c>
      <c r="D30" s="112"/>
      <c r="E30" s="16">
        <f t="shared" si="6"/>
        <v>19700</v>
      </c>
      <c r="F30" s="16"/>
      <c r="G30" s="16">
        <f t="shared" si="7"/>
        <v>46653</v>
      </c>
      <c r="H30" s="55" t="str">
        <f t="shared" si="2"/>
        <v>001-011</v>
      </c>
      <c r="I30" s="56">
        <f t="shared" si="3"/>
        <v>101</v>
      </c>
    </row>
    <row r="31" spans="1:11" ht="12.75" customHeight="1">
      <c r="A31" s="115" t="s">
        <v>151</v>
      </c>
      <c r="B31" s="54"/>
      <c r="C31" s="16">
        <f t="shared" si="5"/>
        <v>277000</v>
      </c>
      <c r="D31" s="112"/>
      <c r="E31" s="16">
        <f t="shared" si="6"/>
        <v>0</v>
      </c>
      <c r="F31" s="16"/>
      <c r="G31" s="16">
        <f t="shared" si="7"/>
        <v>277000</v>
      </c>
      <c r="H31" s="55" t="str">
        <f t="shared" si="2"/>
        <v>08A-3E0</v>
      </c>
      <c r="I31" s="56" t="str">
        <f t="shared" si="3"/>
        <v>3E0</v>
      </c>
    </row>
    <row r="32" spans="1:11" ht="12.75" customHeight="1">
      <c r="A32" s="115" t="s">
        <v>150</v>
      </c>
      <c r="B32" s="54"/>
      <c r="C32" s="16">
        <f t="shared" si="5"/>
        <v>29412</v>
      </c>
      <c r="D32" s="112"/>
      <c r="E32" s="16">
        <f t="shared" si="6"/>
        <v>0</v>
      </c>
      <c r="F32" s="16"/>
      <c r="G32" s="16">
        <f t="shared" si="7"/>
        <v>29412</v>
      </c>
      <c r="H32" s="55" t="str">
        <f t="shared" si="2"/>
        <v>001-011</v>
      </c>
      <c r="I32" s="56">
        <f t="shared" si="3"/>
        <v>101</v>
      </c>
    </row>
    <row r="33" spans="1:11" ht="12.75" customHeight="1">
      <c r="A33" s="115" t="s">
        <v>273</v>
      </c>
      <c r="B33" s="54"/>
      <c r="C33" s="16">
        <f>IF(ISNA(VLOOKUP($F$5 &amp;A33, AllocSched,12,FALSE)),"-",VLOOKUP($F$5 &amp;A33, AllocSched,12,FALSE))</f>
        <v>128127</v>
      </c>
      <c r="D33" s="112"/>
      <c r="E33" s="16">
        <f>IF(ISNA(VLOOKUP($F$5 &amp; A33, AllocSched,13,FALSE)),"-",VLOOKUP($F$5 &amp; A33, AllocSched,13,FALSE))</f>
        <v>-128127</v>
      </c>
      <c r="F33" s="16"/>
      <c r="G33" s="16">
        <f>IF(C33="-",E33,C33+E33)</f>
        <v>0</v>
      </c>
      <c r="H33" s="55" t="str">
        <f>IF(ISNA(VLOOKUP($F$5 &amp; A33, AllocSched,9,FALSE))," ",VLOOKUP($F$5 &amp; A33, AllocSched,9,FALSE))</f>
        <v>001-BD1</v>
      </c>
      <c r="I33" s="56" t="str">
        <f t="shared" si="3"/>
        <v>BD1</v>
      </c>
    </row>
    <row r="34" spans="1:11" ht="12.75" customHeight="1">
      <c r="A34" s="115" t="s">
        <v>6</v>
      </c>
      <c r="B34" s="54"/>
      <c r="C34" s="16">
        <f t="shared" si="5"/>
        <v>8415</v>
      </c>
      <c r="D34" s="112"/>
      <c r="E34" s="16">
        <f t="shared" si="6"/>
        <v>2915</v>
      </c>
      <c r="F34" s="16"/>
      <c r="G34" s="16">
        <f t="shared" si="7"/>
        <v>11330</v>
      </c>
      <c r="H34" s="55" t="str">
        <f t="shared" si="2"/>
        <v>001-011</v>
      </c>
      <c r="I34" s="56">
        <f t="shared" si="3"/>
        <v>101</v>
      </c>
    </row>
    <row r="35" spans="1:11" ht="12.75" customHeight="1">
      <c r="A35" s="115" t="s">
        <v>333</v>
      </c>
      <c r="B35" s="54"/>
      <c r="C35" s="16">
        <f t="shared" si="5"/>
        <v>43160</v>
      </c>
      <c r="D35" s="112"/>
      <c r="E35" s="16">
        <f t="shared" si="6"/>
        <v>0</v>
      </c>
      <c r="F35" s="16"/>
      <c r="G35" s="16">
        <f t="shared" si="7"/>
        <v>43160</v>
      </c>
      <c r="H35" s="55" t="str">
        <f t="shared" si="2"/>
        <v>001-011</v>
      </c>
      <c r="I35" s="56">
        <f t="shared" si="3"/>
        <v>101</v>
      </c>
    </row>
    <row r="36" spans="1:11" ht="12.75" customHeight="1">
      <c r="A36" s="115" t="s">
        <v>332</v>
      </c>
      <c r="B36" s="54"/>
      <c r="C36" s="16">
        <f t="shared" si="5"/>
        <v>206163</v>
      </c>
      <c r="D36" s="112"/>
      <c r="E36" s="16">
        <f t="shared" si="6"/>
        <v>0</v>
      </c>
      <c r="F36" s="16"/>
      <c r="G36" s="16">
        <f>IF(C36="-",E36,C36+E36)</f>
        <v>206163</v>
      </c>
      <c r="H36" s="55" t="str">
        <f t="shared" si="2"/>
        <v>001-AC1</v>
      </c>
      <c r="I36" s="56">
        <f t="shared" si="3"/>
        <v>123</v>
      </c>
    </row>
    <row r="37" spans="1:11" ht="12.75" customHeight="1">
      <c r="A37" s="115" t="s">
        <v>767</v>
      </c>
      <c r="B37" s="54"/>
      <c r="C37" s="16" t="str">
        <f t="shared" si="5"/>
        <v>-</v>
      </c>
      <c r="D37" s="112"/>
      <c r="E37" s="16" t="str">
        <f t="shared" si="6"/>
        <v>-</v>
      </c>
      <c r="F37" s="16"/>
      <c r="G37" s="16" t="str">
        <f>IF(C37="-",E37,C37+E37)</f>
        <v>-</v>
      </c>
      <c r="H37" s="55" t="str">
        <f t="shared" si="2"/>
        <v xml:space="preserve"> </v>
      </c>
      <c r="I37" s="56" t="str">
        <f t="shared" si="3"/>
        <v xml:space="preserve"> </v>
      </c>
    </row>
    <row r="38" spans="1:11" s="272" customFormat="1" ht="12.75" customHeight="1">
      <c r="A38" s="115" t="s">
        <v>449</v>
      </c>
      <c r="B38" s="54"/>
      <c r="C38" s="16">
        <f>IF(ISNA(VLOOKUP($F$5 &amp;A38, AllocSched,12,FALSE)),"-",VLOOKUP($F$5 &amp;A38, AllocSched,12,FALSE))</f>
        <v>0</v>
      </c>
      <c r="D38" s="112"/>
      <c r="E38" s="16">
        <f>IF(ISNA(VLOOKUP($F$5 &amp; A38, AllocSched,13,FALSE)),"-",VLOOKUP($F$5 &amp; A38, AllocSched,13,FALSE))</f>
        <v>66447</v>
      </c>
      <c r="F38" s="16"/>
      <c r="G38" s="16">
        <f>IF(C38="-",E38,C38+E38)</f>
        <v>66447</v>
      </c>
      <c r="H38" s="55" t="str">
        <f>IF(ISNA(VLOOKUP($F$5 &amp; A38, AllocSched,9,FALSE))," ",VLOOKUP($F$5 &amp; A38, AllocSched,9,FALSE))</f>
        <v>001-011</v>
      </c>
      <c r="I38" s="56">
        <f>IF(ISNA(VLOOKUP($F$5 &amp; A38, AllocSched,14,FALSE))," ",VLOOKUP($F$5 &amp; A38, AllocSched,14,FALSE))</f>
        <v>101</v>
      </c>
    </row>
    <row r="39" spans="1:11" ht="12.75" customHeight="1">
      <c r="A39" s="54"/>
      <c r="B39" s="54"/>
      <c r="C39" s="16"/>
      <c r="D39" s="112"/>
      <c r="E39" s="16"/>
      <c r="F39" s="16"/>
      <c r="G39" s="16"/>
      <c r="H39" s="55"/>
      <c r="I39" s="56"/>
    </row>
    <row r="40" spans="1:11" ht="13.5" thickBot="1">
      <c r="A40" s="89" t="s">
        <v>174</v>
      </c>
      <c r="B40" s="57" t="s">
        <v>51</v>
      </c>
      <c r="C40" s="111">
        <f>SUM(C16:C38)</f>
        <v>13829576</v>
      </c>
      <c r="D40" s="113" t="s">
        <v>51</v>
      </c>
      <c r="E40" s="111">
        <f>SUM(E16:E38)</f>
        <v>532883</v>
      </c>
      <c r="F40" s="113" t="s">
        <v>51</v>
      </c>
      <c r="G40" s="111">
        <f>SUM(G16:G38)</f>
        <v>14362459</v>
      </c>
      <c r="J40" s="25"/>
      <c r="K40" s="30"/>
    </row>
    <row r="41" spans="1:11" ht="12.75" customHeight="1" thickTop="1">
      <c r="A41" s="84"/>
      <c r="B41" s="84"/>
      <c r="C41" s="58">
        <v>0</v>
      </c>
      <c r="D41" s="58"/>
      <c r="E41" s="90"/>
      <c r="F41" s="90"/>
      <c r="G41" s="90"/>
    </row>
    <row r="42" spans="1:11" s="65" customFormat="1" ht="25.5">
      <c r="A42" s="59" t="s">
        <v>156</v>
      </c>
      <c r="B42" s="60"/>
      <c r="C42" s="61"/>
      <c r="D42" s="62"/>
      <c r="E42" s="63" t="s">
        <v>67</v>
      </c>
      <c r="F42" s="62"/>
      <c r="G42" s="64" t="s">
        <v>163</v>
      </c>
      <c r="H42" s="64" t="s">
        <v>164</v>
      </c>
      <c r="I42" s="98" t="s">
        <v>70</v>
      </c>
    </row>
    <row r="43" spans="1:11" s="65" customFormat="1" ht="12.75" customHeight="1">
      <c r="A43" s="66" t="s">
        <v>240</v>
      </c>
      <c r="B43" s="67"/>
      <c r="C43" s="68"/>
      <c r="E43" s="66" t="s">
        <v>369</v>
      </c>
      <c r="G43" s="150">
        <f t="shared" ref="G43:G48" si="8">VLOOKUP($F$5 &amp; $A43 &amp; $E43,AddRes,7,FALSE)</f>
        <v>0</v>
      </c>
      <c r="H43" s="150">
        <f t="shared" ref="H43:H48" si="9">VLOOKUP($F$5 &amp; $A43 &amp; $E43,AddRes,8,FALSE)</f>
        <v>0</v>
      </c>
      <c r="I43" s="69">
        <f t="shared" ref="I43:I51" si="10">VLOOKUP($F$5 &amp; $A43 &amp; $E43,AddRes,10,FALSE)</f>
        <v>42277</v>
      </c>
    </row>
    <row r="44" spans="1:11" s="65" customFormat="1" ht="12.75" customHeight="1">
      <c r="A44" s="66" t="s">
        <v>497</v>
      </c>
      <c r="B44" s="67"/>
      <c r="C44" s="68"/>
      <c r="E44" s="66" t="s">
        <v>620</v>
      </c>
      <c r="G44" s="150">
        <f>VLOOKUP($F$5 &amp; $A44 &amp; $E44,AddRes,7,FALSE)</f>
        <v>0</v>
      </c>
      <c r="H44" s="150">
        <f>VLOOKUP($F$5 &amp; $A44 &amp; $E44,AddRes,8,FALSE)</f>
        <v>0</v>
      </c>
      <c r="I44" s="69">
        <f t="shared" si="10"/>
        <v>42551</v>
      </c>
    </row>
    <row r="45" spans="1:11" s="65" customFormat="1" ht="12.75" customHeight="1">
      <c r="A45" s="66" t="s">
        <v>498</v>
      </c>
      <c r="B45" s="67"/>
      <c r="C45" s="68"/>
      <c r="E45" s="66" t="s">
        <v>621</v>
      </c>
      <c r="G45" s="150">
        <f>VLOOKUP($F$5 &amp; $A45 &amp; $E45,AddRes,7,FALSE)</f>
        <v>0</v>
      </c>
      <c r="H45" s="150">
        <f>VLOOKUP($F$5 &amp; $A45 &amp; $E45,AddRes,8,FALSE)</f>
        <v>0</v>
      </c>
      <c r="I45" s="69">
        <f t="shared" si="10"/>
        <v>42551</v>
      </c>
    </row>
    <row r="46" spans="1:11" s="65" customFormat="1" ht="12.75" customHeight="1">
      <c r="A46" s="66" t="s">
        <v>505</v>
      </c>
      <c r="B46" s="67"/>
      <c r="C46" s="68"/>
      <c r="E46" s="66" t="s">
        <v>622</v>
      </c>
      <c r="G46" s="150">
        <f>VLOOKUP($F$5 &amp; $A46 &amp; $E46,AddRes,7,FALSE)</f>
        <v>0</v>
      </c>
      <c r="H46" s="150">
        <f>VLOOKUP($F$5 &amp; $A46 &amp; $E46,AddRes,8,FALSE)</f>
        <v>0</v>
      </c>
      <c r="I46" s="69">
        <f t="shared" si="10"/>
        <v>42551</v>
      </c>
    </row>
    <row r="47" spans="1:11" s="65" customFormat="1" ht="12.75" customHeight="1">
      <c r="A47" s="66" t="s">
        <v>241</v>
      </c>
      <c r="B47" s="67"/>
      <c r="C47" s="68"/>
      <c r="E47" s="66" t="s">
        <v>623</v>
      </c>
      <c r="G47" s="150">
        <f>VLOOKUP($F$5 &amp; $A47 &amp; $E47,AddRes,7,FALSE)</f>
        <v>0</v>
      </c>
      <c r="H47" s="150">
        <f>VLOOKUP($F$5 &amp; $A47 &amp; $E47,AddRes,8,FALSE)</f>
        <v>0</v>
      </c>
      <c r="I47" s="69">
        <f t="shared" si="10"/>
        <v>42551</v>
      </c>
    </row>
    <row r="48" spans="1:11" s="65" customFormat="1" ht="12.75" customHeight="1">
      <c r="A48" s="66" t="s">
        <v>242</v>
      </c>
      <c r="B48" s="67"/>
      <c r="C48" s="34"/>
      <c r="D48" s="224"/>
      <c r="E48" s="66" t="s">
        <v>370</v>
      </c>
      <c r="F48" s="224"/>
      <c r="G48" s="150">
        <f t="shared" si="8"/>
        <v>0</v>
      </c>
      <c r="H48" s="150">
        <f t="shared" si="9"/>
        <v>0</v>
      </c>
      <c r="I48" s="69">
        <f t="shared" si="10"/>
        <v>42551</v>
      </c>
    </row>
    <row r="49" spans="1:12" s="65" customFormat="1" ht="12.75" customHeight="1">
      <c r="A49" s="66" t="s">
        <v>359</v>
      </c>
      <c r="B49" s="67"/>
      <c r="C49" s="34"/>
      <c r="D49" s="224"/>
      <c r="E49" s="66" t="s">
        <v>624</v>
      </c>
      <c r="F49" s="224"/>
      <c r="G49" s="150">
        <f>VLOOKUP($F$5 &amp; $A49 &amp; $E49,AddRes,7,FALSE)</f>
        <v>0</v>
      </c>
      <c r="H49" s="150">
        <f>VLOOKUP($F$5 &amp; $A49 &amp; $E49,AddRes,8,FALSE)</f>
        <v>0</v>
      </c>
      <c r="I49" s="69">
        <f t="shared" si="10"/>
        <v>42551</v>
      </c>
    </row>
    <row r="50" spans="1:12" s="65" customFormat="1" ht="12.75" customHeight="1">
      <c r="A50" s="66" t="s">
        <v>231</v>
      </c>
      <c r="B50" s="67"/>
      <c r="C50" s="68"/>
      <c r="E50" s="66" t="s">
        <v>625</v>
      </c>
      <c r="G50" s="150">
        <f>VLOOKUP($F$5 &amp; $A50 &amp; $E50,AddRes,7,FALSE)</f>
        <v>0</v>
      </c>
      <c r="H50" s="150">
        <f>VLOOKUP($F$5 &amp; $A50 &amp; $E50,AddRes,8,FALSE)</f>
        <v>0</v>
      </c>
      <c r="I50" s="69">
        <f t="shared" si="10"/>
        <v>42551</v>
      </c>
    </row>
    <row r="51" spans="1:12" s="65" customFormat="1" ht="12.75" customHeight="1">
      <c r="A51" s="66" t="s">
        <v>232</v>
      </c>
      <c r="B51" s="67"/>
      <c r="C51" s="68"/>
      <c r="E51" s="66" t="s">
        <v>626</v>
      </c>
      <c r="G51" s="150">
        <f>VLOOKUP($F$5 &amp; $A51 &amp; $E51,AddRes,7,FALSE)</f>
        <v>0</v>
      </c>
      <c r="H51" s="150">
        <f>VLOOKUP($F$5 &amp; $A51 &amp; $E51,AddRes,8,FALSE)</f>
        <v>0</v>
      </c>
      <c r="I51" s="69">
        <f t="shared" si="10"/>
        <v>42551</v>
      </c>
    </row>
    <row r="52" spans="1:12" s="65" customFormat="1" ht="12.75" customHeight="1">
      <c r="A52" s="66"/>
      <c r="C52" s="70"/>
      <c r="D52" s="70"/>
      <c r="E52" s="70"/>
      <c r="F52" s="70"/>
      <c r="G52" s="71"/>
      <c r="H52" s="72"/>
      <c r="I52" s="73"/>
      <c r="K52" s="75"/>
      <c r="L52" s="75"/>
    </row>
    <row r="53" spans="1:12" s="65" customFormat="1" ht="12.75" customHeight="1">
      <c r="C53" s="74" t="s">
        <v>71</v>
      </c>
      <c r="D53" s="70"/>
      <c r="E53" s="70"/>
      <c r="F53" s="70"/>
      <c r="G53" s="75">
        <f>SUM(G43:G51)</f>
        <v>0</v>
      </c>
      <c r="H53" s="75">
        <f>SUM(H43:H51)</f>
        <v>0</v>
      </c>
      <c r="I53" s="73"/>
    </row>
    <row r="54" spans="1:12" s="65" customFormat="1" ht="12.75" customHeight="1">
      <c r="C54" s="70"/>
      <c r="D54" s="70"/>
      <c r="E54" s="70"/>
      <c r="F54" s="70"/>
      <c r="G54" s="70"/>
      <c r="I54" s="73"/>
    </row>
    <row r="55" spans="1:12" s="65" customFormat="1" ht="12.75" customHeight="1">
      <c r="C55" s="70"/>
      <c r="D55" s="70"/>
      <c r="E55" s="70"/>
      <c r="F55" s="70"/>
      <c r="G55" s="70"/>
      <c r="I55" s="73"/>
    </row>
    <row r="56" spans="1:12" s="65" customFormat="1" ht="12.75" customHeight="1">
      <c r="C56" s="70"/>
      <c r="D56" s="70"/>
      <c r="E56" s="70"/>
      <c r="F56" s="70"/>
      <c r="G56" s="70"/>
      <c r="I56" s="73"/>
    </row>
    <row r="57" spans="1:12" s="65" customFormat="1" ht="12.75" customHeight="1">
      <c r="C57" s="70"/>
      <c r="D57" s="70"/>
      <c r="E57" s="70"/>
      <c r="F57" s="70"/>
      <c r="G57" s="70"/>
      <c r="I57" s="73"/>
    </row>
    <row r="58" spans="1:12" s="65" customFormat="1" ht="12.75" customHeight="1">
      <c r="C58" s="70"/>
      <c r="D58" s="70"/>
      <c r="E58" s="70"/>
      <c r="F58" s="70"/>
      <c r="G58" s="70"/>
      <c r="I58" s="73"/>
    </row>
    <row r="59" spans="1:12" s="65" customFormat="1" ht="12.75" customHeight="1">
      <c r="C59" s="70"/>
      <c r="D59" s="70"/>
      <c r="E59" s="70"/>
      <c r="F59" s="70"/>
      <c r="G59" s="70"/>
      <c r="I59" s="73"/>
    </row>
    <row r="60" spans="1:12" s="65" customFormat="1" ht="12.75" customHeight="1">
      <c r="C60" s="70"/>
      <c r="D60" s="70"/>
      <c r="E60" s="70"/>
      <c r="F60" s="70"/>
      <c r="G60" s="70"/>
      <c r="I60" s="73"/>
    </row>
    <row r="61" spans="1:12" s="65" customFormat="1" ht="12.75" customHeight="1">
      <c r="C61" s="70"/>
      <c r="D61" s="70"/>
      <c r="E61" s="70"/>
      <c r="F61" s="70"/>
      <c r="G61" s="70"/>
      <c r="I61" s="73"/>
    </row>
    <row r="62" spans="1:12" s="65" customFormat="1" ht="12.75" customHeight="1">
      <c r="C62" s="70"/>
      <c r="D62" s="70"/>
      <c r="E62" s="70"/>
      <c r="F62" s="70"/>
      <c r="G62" s="70"/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  <row r="139" spans="3:9" s="65" customFormat="1" ht="12.75" customHeight="1">
      <c r="C139" s="70"/>
      <c r="D139" s="70"/>
      <c r="E139" s="70"/>
      <c r="F139" s="70"/>
      <c r="G139" s="70"/>
      <c r="I139" s="73"/>
    </row>
  </sheetData>
  <mergeCells count="2">
    <mergeCell ref="A8:I8"/>
    <mergeCell ref="G5:I5"/>
  </mergeCells>
  <phoneticPr fontId="0" type="noConversion"/>
  <conditionalFormatting sqref="G40">
    <cfRule type="cellIs" dxfId="16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L144"/>
  <sheetViews>
    <sheetView topLeftCell="A17"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3.5703125" style="23" bestFit="1" customWidth="1"/>
    <col min="11" max="11" width="12.42578125" style="23" bestFit="1" customWidth="1"/>
    <col min="12" max="12" width="11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117</v>
      </c>
      <c r="G5" s="505" t="str">
        <f>VLOOKUP($F5,District,2,FALSE)</f>
        <v>Olympic College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4764</v>
      </c>
      <c r="D10" s="48"/>
      <c r="E10" s="48">
        <f>IF(ISNA(VLOOKUP($F$5,Student,14,FALSE)),0,VLOOKUP($F$5,Student,14,FALSE))</f>
        <v>61</v>
      </c>
      <c r="F10" s="48"/>
      <c r="G10" s="48">
        <f>$E$10+$C$10+$A$10</f>
        <v>4825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23" si="0">IF(ISNA(VLOOKUP($F$5 &amp;A16, AllocSched,12,FALSE)),"-",VLOOKUP($F$5 &amp;A16, AllocSched,12,FALSE))</f>
        <v>14397274</v>
      </c>
      <c r="D16" s="112" t="s">
        <v>51</v>
      </c>
      <c r="E16" s="16">
        <f t="shared" ref="E16:E23" si="1">IF(ISNA(VLOOKUP($F$5 &amp; A16, AllocSched,13,FALSE)),"-",VLOOKUP($F$5 &amp; A16, AllocSched,13,FALSE))</f>
        <v>-15201</v>
      </c>
      <c r="F16" s="16" t="s">
        <v>51</v>
      </c>
      <c r="G16" s="16">
        <f t="shared" ref="G16:G23" si="2">IF(C16="-",E16,C16+E16)</f>
        <v>14382073</v>
      </c>
      <c r="H16" s="55" t="str">
        <f t="shared" ref="H16:H21" si="3">IF(ISNA(VLOOKUP($F$5 &amp; A16, AllocSched,9,FALSE))," ",VLOOKUP($F$5 &amp; A16, AllocSched,9,FALSE))</f>
        <v>001-011</v>
      </c>
      <c r="I16" s="56">
        <f t="shared" ref="I16:I40" si="4">IF(ISNA(VLOOKUP($F$5 &amp; A16, AllocSched,14,FALSE))," ",VLOOKUP($F$5 &amp; A16, AllocSched,14,FALSE))</f>
        <v>101</v>
      </c>
    </row>
    <row r="17" spans="1:9" ht="12.75" customHeight="1">
      <c r="A17" s="115" t="s">
        <v>171</v>
      </c>
      <c r="B17" s="54"/>
      <c r="C17" s="16">
        <f t="shared" si="0"/>
        <v>1621383</v>
      </c>
      <c r="D17" s="112"/>
      <c r="E17" s="16">
        <f t="shared" si="1"/>
        <v>15201</v>
      </c>
      <c r="F17" s="16"/>
      <c r="G17" s="16">
        <f t="shared" si="2"/>
        <v>1636584</v>
      </c>
      <c r="H17" s="55" t="str">
        <f t="shared" si="3"/>
        <v>08A-3E0</v>
      </c>
      <c r="I17" s="56" t="str">
        <f t="shared" si="4"/>
        <v>3E0</v>
      </c>
    </row>
    <row r="18" spans="1:9" s="272" customFormat="1" ht="12.75" customHeight="1">
      <c r="A18" s="38" t="s">
        <v>781</v>
      </c>
      <c r="B18" s="54"/>
      <c r="C18" s="16">
        <f t="shared" si="0"/>
        <v>0</v>
      </c>
      <c r="D18" s="112"/>
      <c r="E18" s="16">
        <f t="shared" si="1"/>
        <v>110727</v>
      </c>
      <c r="F18" s="16"/>
      <c r="G18" s="16">
        <f t="shared" si="2"/>
        <v>110727</v>
      </c>
      <c r="H18" s="55" t="str">
        <f>IF(ISNA(VLOOKUP($F$5 &amp; A18, AllocSched,9,FALSE))," ",VLOOKUP($F$5 &amp; A18, AllocSched,9,FALSE))</f>
        <v>001-011</v>
      </c>
      <c r="I18" s="56">
        <f t="shared" si="4"/>
        <v>101</v>
      </c>
    </row>
    <row r="19" spans="1:9" s="272" customFormat="1" ht="12.75" customHeight="1">
      <c r="A19" s="115" t="s">
        <v>448</v>
      </c>
      <c r="B19" s="54"/>
      <c r="C19" s="16">
        <f t="shared" si="0"/>
        <v>0</v>
      </c>
      <c r="D19" s="112"/>
      <c r="E19" s="16">
        <f t="shared" si="1"/>
        <v>374017</v>
      </c>
      <c r="F19" s="16"/>
      <c r="G19" s="16">
        <f t="shared" si="2"/>
        <v>374017</v>
      </c>
      <c r="H19" s="55" t="str">
        <f>IF(ISNA(VLOOKUP($F$5 &amp; A19, AllocSched,9,FALSE))," ",VLOOKUP($F$5 &amp; A19, AllocSched,9,FALSE))</f>
        <v>001-011</v>
      </c>
      <c r="I19" s="56">
        <f t="shared" si="4"/>
        <v>101</v>
      </c>
    </row>
    <row r="20" spans="1:9" s="269" customFormat="1" ht="12.75" customHeight="1">
      <c r="A20" s="115" t="s">
        <v>340</v>
      </c>
      <c r="B20" s="54"/>
      <c r="C20" s="16">
        <f t="shared" si="0"/>
        <v>0</v>
      </c>
      <c r="D20" s="112"/>
      <c r="E20" s="16">
        <f t="shared" si="1"/>
        <v>980645</v>
      </c>
      <c r="F20" s="16"/>
      <c r="G20" s="16">
        <f t="shared" si="2"/>
        <v>980645</v>
      </c>
      <c r="H20" s="55" t="str">
        <f>IF(ISNA(VLOOKUP($F$5 &amp; A20, AllocSched,9,FALSE))," ",VLOOKUP($F$5 &amp; A20, AllocSched,9,FALSE))</f>
        <v>001-011</v>
      </c>
      <c r="I20" s="56">
        <f t="shared" si="4"/>
        <v>101</v>
      </c>
    </row>
    <row r="21" spans="1:9" ht="12.75" customHeight="1">
      <c r="A21" s="115" t="s">
        <v>207</v>
      </c>
      <c r="B21" s="54"/>
      <c r="C21" s="16">
        <f t="shared" si="0"/>
        <v>0</v>
      </c>
      <c r="D21" s="112"/>
      <c r="E21" s="16">
        <f t="shared" si="1"/>
        <v>75505</v>
      </c>
      <c r="F21" s="16"/>
      <c r="G21" s="16">
        <f t="shared" si="2"/>
        <v>75505</v>
      </c>
      <c r="H21" s="55" t="str">
        <f t="shared" si="3"/>
        <v>001-011</v>
      </c>
      <c r="I21" s="56">
        <f t="shared" si="4"/>
        <v>101</v>
      </c>
    </row>
    <row r="22" spans="1:9" s="272" customFormat="1" ht="12.75" customHeight="1">
      <c r="A22" s="115" t="s">
        <v>203</v>
      </c>
      <c r="B22" s="54"/>
      <c r="C22" s="16">
        <f t="shared" si="0"/>
        <v>0</v>
      </c>
      <c r="D22" s="112"/>
      <c r="E22" s="16">
        <f t="shared" si="1"/>
        <v>-4553</v>
      </c>
      <c r="F22" s="16"/>
      <c r="G22" s="16">
        <f t="shared" si="2"/>
        <v>-4553</v>
      </c>
      <c r="H22" s="55" t="str">
        <f>IF(ISNA(VLOOKUP($F$5 &amp; A22, AllocSched,9,FALSE))," ",VLOOKUP($F$5 &amp; A22, AllocSched,9,FALSE))</f>
        <v>001-011</v>
      </c>
      <c r="I22" s="56">
        <f t="shared" si="4"/>
        <v>101</v>
      </c>
    </row>
    <row r="23" spans="1:9" s="272" customFormat="1" ht="12.75" customHeight="1">
      <c r="A23" s="115" t="s">
        <v>454</v>
      </c>
      <c r="B23" s="54"/>
      <c r="C23" s="16">
        <f t="shared" si="0"/>
        <v>0</v>
      </c>
      <c r="D23" s="112"/>
      <c r="E23" s="16">
        <f t="shared" si="1"/>
        <v>12556</v>
      </c>
      <c r="F23" s="16"/>
      <c r="G23" s="16">
        <f t="shared" si="2"/>
        <v>12556</v>
      </c>
      <c r="H23" s="55" t="str">
        <f>IF(ISNA(VLOOKUP($F$5 &amp; A23, AllocSched,9,FALSE))," ",VLOOKUP($F$5 &amp; A23, AllocSched,9,FALSE))</f>
        <v>001-011</v>
      </c>
      <c r="I23" s="56">
        <f t="shared" si="4"/>
        <v>101</v>
      </c>
    </row>
    <row r="24" spans="1:9" ht="12.75" customHeight="1">
      <c r="A24" s="115"/>
      <c r="B24" s="54"/>
      <c r="C24" s="16"/>
      <c r="D24" s="112"/>
      <c r="E24" s="16"/>
      <c r="F24" s="16"/>
      <c r="G24" s="16"/>
      <c r="H24" s="55" t="str">
        <f t="shared" ref="H24:H39" si="5">IF(ISNA(VLOOKUP($F$5 &amp; A24, AllocSched,9,FALSE))," ",VLOOKUP($F$5 &amp; A24, AllocSched,9,FALSE))</f>
        <v xml:space="preserve"> </v>
      </c>
      <c r="I24" s="56" t="str">
        <f t="shared" si="4"/>
        <v xml:space="preserve"> </v>
      </c>
    </row>
    <row r="25" spans="1:9" s="83" customFormat="1">
      <c r="A25" s="114" t="s">
        <v>168</v>
      </c>
      <c r="B25" s="84"/>
      <c r="C25" s="16"/>
      <c r="D25" s="112"/>
      <c r="E25" s="16"/>
      <c r="F25" s="16"/>
      <c r="G25" s="16"/>
      <c r="H25" s="55" t="str">
        <f t="shared" si="5"/>
        <v xml:space="preserve"> </v>
      </c>
      <c r="I25" s="56" t="str">
        <f t="shared" si="4"/>
        <v xml:space="preserve"> </v>
      </c>
    </row>
    <row r="26" spans="1:9" s="83" customFormat="1">
      <c r="A26" s="38" t="s">
        <v>345</v>
      </c>
      <c r="B26" s="84"/>
      <c r="C26" s="16">
        <f t="shared" ref="C26:C40" si="6">IF(ISNA(VLOOKUP($F$5 &amp;A26, AllocSched,12,FALSE)),"-",VLOOKUP($F$5 &amp;A26, AllocSched,12,FALSE))</f>
        <v>481168</v>
      </c>
      <c r="D26" s="112"/>
      <c r="E26" s="16">
        <f t="shared" ref="E26:E40" si="7">IF(ISNA(VLOOKUP($F$5 &amp; A26, AllocSched,13,FALSE)),"-",VLOOKUP($F$5 &amp; A26, AllocSched,13,FALSE))</f>
        <v>0</v>
      </c>
      <c r="F26" s="16"/>
      <c r="G26" s="16">
        <f t="shared" ref="G26:G40" si="8">IF(C26="-",E26,C26+E26)</f>
        <v>481168</v>
      </c>
      <c r="H26" s="55" t="str">
        <f>IF(ISNA(VLOOKUP($F$5 &amp; A26, AllocSched,9,FALSE))," ",VLOOKUP($F$5 &amp; A26, AllocSched,9,FALSE))</f>
        <v>001-011</v>
      </c>
      <c r="I26" s="56">
        <f t="shared" si="4"/>
        <v>101</v>
      </c>
    </row>
    <row r="27" spans="1:9" ht="12.75" customHeight="1">
      <c r="A27" s="38" t="s">
        <v>172</v>
      </c>
      <c r="C27" s="16" t="str">
        <f t="shared" si="6"/>
        <v>-</v>
      </c>
      <c r="D27" s="112"/>
      <c r="E27" s="16" t="str">
        <f t="shared" si="7"/>
        <v>-</v>
      </c>
      <c r="F27" s="16"/>
      <c r="G27" s="16" t="str">
        <f t="shared" si="8"/>
        <v>-</v>
      </c>
      <c r="H27" s="55" t="str">
        <f t="shared" si="5"/>
        <v xml:space="preserve"> </v>
      </c>
      <c r="I27" s="56" t="str">
        <f t="shared" si="4"/>
        <v xml:space="preserve"> </v>
      </c>
    </row>
    <row r="28" spans="1:9" ht="12.75" customHeight="1">
      <c r="A28" s="38" t="s">
        <v>222</v>
      </c>
      <c r="C28" s="16">
        <f t="shared" si="6"/>
        <v>36856</v>
      </c>
      <c r="D28" s="112"/>
      <c r="E28" s="16">
        <f t="shared" si="7"/>
        <v>-36856</v>
      </c>
      <c r="F28" s="16"/>
      <c r="G28" s="16">
        <f t="shared" si="8"/>
        <v>0</v>
      </c>
      <c r="H28" s="55" t="str">
        <f>IF(ISNA(VLOOKUP($F$5 &amp; A28, AllocSched,9,FALSE))," ",VLOOKUP($F$5 &amp; A28, AllocSched,9,FALSE))</f>
        <v>08A-3E0</v>
      </c>
      <c r="I28" s="56" t="str">
        <f t="shared" si="4"/>
        <v>3E0</v>
      </c>
    </row>
    <row r="29" spans="1:9" ht="12.75" customHeight="1">
      <c r="A29" s="38" t="s">
        <v>170</v>
      </c>
      <c r="C29" s="16">
        <f t="shared" si="6"/>
        <v>60698</v>
      </c>
      <c r="D29" s="112"/>
      <c r="E29" s="16">
        <f t="shared" si="7"/>
        <v>28046</v>
      </c>
      <c r="F29" s="16"/>
      <c r="G29" s="16">
        <f t="shared" si="8"/>
        <v>88744</v>
      </c>
      <c r="H29" s="55" t="str">
        <f t="shared" si="5"/>
        <v>001-011</v>
      </c>
      <c r="I29" s="56">
        <f t="shared" si="4"/>
        <v>101</v>
      </c>
    </row>
    <row r="30" spans="1:9" ht="12.75" customHeight="1">
      <c r="A30" s="115" t="s">
        <v>162</v>
      </c>
      <c r="B30" s="54"/>
      <c r="C30" s="16">
        <f t="shared" si="6"/>
        <v>41923</v>
      </c>
      <c r="D30" s="112"/>
      <c r="E30" s="16">
        <f t="shared" si="7"/>
        <v>-41923</v>
      </c>
      <c r="F30" s="16"/>
      <c r="G30" s="16">
        <f t="shared" si="8"/>
        <v>0</v>
      </c>
      <c r="H30" s="55" t="str">
        <f>IF(ISNA(VLOOKUP($F$5 &amp; A30, AllocSched,9,FALSE))," ",VLOOKUP($F$5 &amp; A30, AllocSched,9,FALSE))</f>
        <v>001-011</v>
      </c>
      <c r="I30" s="56">
        <f t="shared" si="4"/>
        <v>101</v>
      </c>
    </row>
    <row r="31" spans="1:9" s="272" customFormat="1" ht="12.75" customHeight="1">
      <c r="A31" s="38" t="s">
        <v>397</v>
      </c>
      <c r="B31" s="54"/>
      <c r="C31" s="16">
        <f t="shared" si="6"/>
        <v>58570</v>
      </c>
      <c r="D31" s="112"/>
      <c r="E31" s="16">
        <f t="shared" si="7"/>
        <v>0</v>
      </c>
      <c r="F31" s="16"/>
      <c r="G31" s="16">
        <f t="shared" si="8"/>
        <v>58570</v>
      </c>
      <c r="H31" s="55" t="str">
        <f>IF(ISNA(VLOOKUP($F$5 &amp; A31, AllocSched,9,FALSE))," ",VLOOKUP($F$5 &amp; A31, AllocSched,9,FALSE))</f>
        <v>001-BK1</v>
      </c>
      <c r="I31" s="56" t="str">
        <f t="shared" si="4"/>
        <v>BK1</v>
      </c>
    </row>
    <row r="32" spans="1:9" ht="12.75" customHeight="1">
      <c r="A32" s="115" t="s">
        <v>150</v>
      </c>
      <c r="B32" s="54"/>
      <c r="C32" s="16">
        <f t="shared" si="6"/>
        <v>334412</v>
      </c>
      <c r="D32" s="112"/>
      <c r="E32" s="16">
        <f t="shared" si="7"/>
        <v>0</v>
      </c>
      <c r="F32" s="16"/>
      <c r="G32" s="16">
        <f t="shared" si="8"/>
        <v>334412</v>
      </c>
      <c r="H32" s="55" t="str">
        <f t="shared" si="5"/>
        <v>001-011</v>
      </c>
      <c r="I32" s="56">
        <f t="shared" si="4"/>
        <v>101</v>
      </c>
    </row>
    <row r="33" spans="1:11" ht="12.75" customHeight="1">
      <c r="A33" s="115" t="s">
        <v>273</v>
      </c>
      <c r="B33" s="54"/>
      <c r="C33" s="16">
        <f t="shared" si="6"/>
        <v>161666</v>
      </c>
      <c r="D33" s="112"/>
      <c r="E33" s="16">
        <f t="shared" si="7"/>
        <v>-161666</v>
      </c>
      <c r="F33" s="16"/>
      <c r="G33" s="16">
        <f t="shared" si="8"/>
        <v>0</v>
      </c>
      <c r="H33" s="55" t="str">
        <f>IF(ISNA(VLOOKUP($F$5 &amp; A33, AllocSched,9,FALSE))," ",VLOOKUP($F$5 &amp; A33, AllocSched,9,FALSE))</f>
        <v>001-BD1</v>
      </c>
      <c r="I33" s="56" t="str">
        <f t="shared" si="4"/>
        <v>BD1</v>
      </c>
    </row>
    <row r="34" spans="1:11" ht="12.75" customHeight="1">
      <c r="A34" s="115" t="s">
        <v>6</v>
      </c>
      <c r="B34" s="54"/>
      <c r="C34" s="16">
        <f t="shared" si="6"/>
        <v>27594</v>
      </c>
      <c r="D34" s="112"/>
      <c r="E34" s="16">
        <f t="shared" si="7"/>
        <v>4016</v>
      </c>
      <c r="F34" s="16"/>
      <c r="G34" s="16">
        <f t="shared" si="8"/>
        <v>31610</v>
      </c>
      <c r="H34" s="55" t="str">
        <f t="shared" si="5"/>
        <v>001-011</v>
      </c>
      <c r="I34" s="56">
        <f t="shared" si="4"/>
        <v>101</v>
      </c>
    </row>
    <row r="35" spans="1:11" ht="12.75" customHeight="1">
      <c r="A35" s="115" t="s">
        <v>66</v>
      </c>
      <c r="B35" s="54"/>
      <c r="C35" s="16">
        <f t="shared" si="6"/>
        <v>182812</v>
      </c>
      <c r="D35" s="112"/>
      <c r="E35" s="16">
        <f t="shared" si="7"/>
        <v>0</v>
      </c>
      <c r="F35" s="16"/>
      <c r="G35" s="16">
        <f t="shared" si="8"/>
        <v>182812</v>
      </c>
      <c r="H35" s="55" t="str">
        <f t="shared" si="5"/>
        <v>08A-3E0</v>
      </c>
      <c r="I35" s="56" t="str">
        <f t="shared" si="4"/>
        <v>3E0</v>
      </c>
    </row>
    <row r="36" spans="1:11" s="272" customFormat="1" ht="12.75" customHeight="1">
      <c r="A36" s="115" t="s">
        <v>64</v>
      </c>
      <c r="B36" s="54"/>
      <c r="C36" s="16" t="str">
        <f t="shared" ref="C36:C37" si="9">IF(ISNA(VLOOKUP($F$5 &amp;A36, AllocSched,12,FALSE)),"-",VLOOKUP($F$5 &amp;A36, AllocSched,12,FALSE))</f>
        <v>-</v>
      </c>
      <c r="D36" s="112"/>
      <c r="E36" s="16" t="str">
        <f t="shared" ref="E36:E37" si="10">IF(ISNA(VLOOKUP($F$5 &amp; A36, AllocSched,13,FALSE)),"-",VLOOKUP($F$5 &amp; A36, AllocSched,13,FALSE))</f>
        <v>-</v>
      </c>
      <c r="F36" s="16"/>
      <c r="G36" s="16" t="str">
        <f t="shared" ref="G36:G37" si="11">IF(C36="-",E36,C36+E36)</f>
        <v>-</v>
      </c>
      <c r="H36" s="55" t="str">
        <f t="shared" ref="H36:H37" si="12">IF(ISNA(VLOOKUP($F$5 &amp; A36, AllocSched,9,FALSE))," ",VLOOKUP($F$5 &amp; A36, AllocSched,9,FALSE))</f>
        <v xml:space="preserve"> </v>
      </c>
      <c r="I36" s="56" t="str">
        <f t="shared" ref="I36:I37" si="13">IF(ISNA(VLOOKUP($F$5 &amp; A36, AllocSched,14,FALSE))," ",VLOOKUP($F$5 &amp; A36, AllocSched,14,FALSE))</f>
        <v xml:space="preserve"> </v>
      </c>
    </row>
    <row r="37" spans="1:11" ht="12.75" customHeight="1">
      <c r="A37" s="115" t="s">
        <v>333</v>
      </c>
      <c r="B37" s="54"/>
      <c r="C37" s="16">
        <f t="shared" si="9"/>
        <v>156720</v>
      </c>
      <c r="D37" s="112"/>
      <c r="E37" s="16">
        <f t="shared" si="10"/>
        <v>0</v>
      </c>
      <c r="F37" s="16"/>
      <c r="G37" s="16">
        <f t="shared" si="11"/>
        <v>156720</v>
      </c>
      <c r="H37" s="55" t="str">
        <f t="shared" si="12"/>
        <v>001-011</v>
      </c>
      <c r="I37" s="56">
        <f t="shared" si="13"/>
        <v>101</v>
      </c>
    </row>
    <row r="38" spans="1:11" ht="12.75" customHeight="1">
      <c r="A38" s="115" t="s">
        <v>332</v>
      </c>
      <c r="B38" s="54"/>
      <c r="C38" s="16">
        <f t="shared" si="6"/>
        <v>748603</v>
      </c>
      <c r="D38" s="112"/>
      <c r="E38" s="16">
        <f t="shared" si="7"/>
        <v>0</v>
      </c>
      <c r="F38" s="16"/>
      <c r="G38" s="16">
        <f t="shared" si="8"/>
        <v>748603</v>
      </c>
      <c r="H38" s="55" t="str">
        <f t="shared" si="5"/>
        <v>001-AC1</v>
      </c>
      <c r="I38" s="56">
        <f t="shared" si="4"/>
        <v>123</v>
      </c>
    </row>
    <row r="39" spans="1:11" ht="12.75" customHeight="1">
      <c r="A39" s="115" t="s">
        <v>767</v>
      </c>
      <c r="B39" s="54"/>
      <c r="C39" s="16" t="str">
        <f t="shared" si="6"/>
        <v>-</v>
      </c>
      <c r="D39" s="112"/>
      <c r="E39" s="16" t="str">
        <f t="shared" si="7"/>
        <v>-</v>
      </c>
      <c r="F39" s="16"/>
      <c r="G39" s="16" t="str">
        <f t="shared" si="8"/>
        <v>-</v>
      </c>
      <c r="H39" s="55" t="str">
        <f t="shared" si="5"/>
        <v xml:space="preserve"> </v>
      </c>
      <c r="I39" s="56" t="str">
        <f t="shared" si="4"/>
        <v xml:space="preserve"> </v>
      </c>
    </row>
    <row r="40" spans="1:11" s="272" customFormat="1" ht="12.75" customHeight="1">
      <c r="A40" s="281" t="s">
        <v>451</v>
      </c>
      <c r="B40" s="54"/>
      <c r="C40" s="16">
        <f t="shared" si="6"/>
        <v>0</v>
      </c>
      <c r="D40" s="112"/>
      <c r="E40" s="16">
        <f t="shared" si="7"/>
        <v>117965</v>
      </c>
      <c r="F40" s="16"/>
      <c r="G40" s="16">
        <f t="shared" si="8"/>
        <v>117965</v>
      </c>
      <c r="H40" s="55" t="str">
        <f>IF(ISNA(VLOOKUP($F$5 &amp; A40, AllocSched,9,FALSE))," ",VLOOKUP($F$5 &amp; A40, AllocSched,9,FALSE))</f>
        <v>001-011</v>
      </c>
      <c r="I40" s="56">
        <f t="shared" si="4"/>
        <v>101</v>
      </c>
    </row>
    <row r="41" spans="1:11" ht="12.75" customHeight="1">
      <c r="A41" s="54"/>
      <c r="B41" s="54"/>
      <c r="C41" s="16"/>
      <c r="D41" s="112"/>
      <c r="E41" s="16"/>
      <c r="F41" s="16"/>
      <c r="G41" s="16"/>
      <c r="H41" s="55"/>
      <c r="I41" s="56"/>
    </row>
    <row r="42" spans="1:11" ht="13.5" thickBot="1">
      <c r="A42" s="89" t="s">
        <v>174</v>
      </c>
      <c r="B42" s="57" t="s">
        <v>51</v>
      </c>
      <c r="C42" s="111">
        <f>SUM(C16:C40)</f>
        <v>18309679</v>
      </c>
      <c r="D42" s="113" t="s">
        <v>51</v>
      </c>
      <c r="E42" s="111">
        <f>SUM(E16:E40)</f>
        <v>1458479</v>
      </c>
      <c r="F42" s="113" t="s">
        <v>51</v>
      </c>
      <c r="G42" s="111">
        <f>SUM(G16:G40)</f>
        <v>19768158</v>
      </c>
      <c r="J42" s="25"/>
      <c r="K42" s="30"/>
    </row>
    <row r="43" spans="1:11" ht="12.75" customHeight="1" thickTop="1">
      <c r="A43" s="84"/>
      <c r="B43" s="84"/>
      <c r="C43" s="58">
        <v>0</v>
      </c>
      <c r="D43" s="58"/>
      <c r="E43" s="90"/>
      <c r="F43" s="90"/>
      <c r="G43" s="90"/>
    </row>
    <row r="44" spans="1:11" s="65" customFormat="1" ht="25.5">
      <c r="A44" s="59" t="s">
        <v>156</v>
      </c>
      <c r="B44" s="60"/>
      <c r="C44" s="61"/>
      <c r="D44" s="62"/>
      <c r="E44" s="63" t="s">
        <v>67</v>
      </c>
      <c r="F44" s="62"/>
      <c r="G44" s="64" t="s">
        <v>163</v>
      </c>
      <c r="H44" s="64" t="s">
        <v>164</v>
      </c>
      <c r="I44" s="98" t="s">
        <v>70</v>
      </c>
    </row>
    <row r="45" spans="1:11" s="65" customFormat="1" ht="12.75" customHeight="1">
      <c r="A45" s="66" t="s">
        <v>240</v>
      </c>
      <c r="B45" s="67"/>
      <c r="C45" s="68"/>
      <c r="E45" s="66" t="s">
        <v>372</v>
      </c>
      <c r="G45" s="150">
        <f t="shared" ref="G45:G50" si="14">VLOOKUP($F$5 &amp; $A45 &amp; $E45,AddRes,7,FALSE)</f>
        <v>0</v>
      </c>
      <c r="H45" s="150">
        <f t="shared" ref="H45:H50" si="15">VLOOKUP($F$5 &amp; $A45 &amp; $E45,AddRes,8,FALSE)</f>
        <v>0</v>
      </c>
      <c r="I45" s="69">
        <f t="shared" ref="I45:I50" si="16">VLOOKUP($F$5 &amp; $A45 &amp; $E45,AddRes,10,FALSE)</f>
        <v>42277</v>
      </c>
    </row>
    <row r="46" spans="1:11" s="65" customFormat="1" ht="12.75" customHeight="1">
      <c r="A46" s="66" t="s">
        <v>497</v>
      </c>
      <c r="B46" s="67"/>
      <c r="C46" s="68"/>
      <c r="E46" s="66" t="s">
        <v>634</v>
      </c>
      <c r="G46" s="150">
        <f>VLOOKUP($F$5 &amp; $A46 &amp; $E46,AddRes,7,FALSE)</f>
        <v>0</v>
      </c>
      <c r="H46" s="150">
        <f>VLOOKUP($F$5 &amp; $A46 &amp; $E46,AddRes,8,FALSE)</f>
        <v>0</v>
      </c>
      <c r="I46" s="69">
        <f>VLOOKUP($F$5 &amp; $A46 &amp; $E46,AddRes,10,FALSE)</f>
        <v>42551</v>
      </c>
    </row>
    <row r="47" spans="1:11" s="65" customFormat="1" ht="12.75" customHeight="1">
      <c r="A47" s="66" t="s">
        <v>498</v>
      </c>
      <c r="B47" s="67"/>
      <c r="C47" s="68"/>
      <c r="E47" s="66" t="s">
        <v>635</v>
      </c>
      <c r="G47" s="150">
        <f>VLOOKUP($F$5 &amp; $A47 &amp; $E47,AddRes,7,FALSE)</f>
        <v>0</v>
      </c>
      <c r="H47" s="150">
        <f>VLOOKUP($F$5 &amp; $A47 &amp; $E47,AddRes,8,FALSE)</f>
        <v>0</v>
      </c>
      <c r="I47" s="69">
        <f>VLOOKUP($F$5 &amp; $A47 &amp; $E47,AddRes,10,FALSE)</f>
        <v>42551</v>
      </c>
    </row>
    <row r="48" spans="1:11" s="65" customFormat="1" ht="12.75" customHeight="1">
      <c r="A48" s="66" t="s">
        <v>505</v>
      </c>
      <c r="B48" s="67"/>
      <c r="C48" s="68"/>
      <c r="E48" s="66" t="s">
        <v>636</v>
      </c>
      <c r="G48" s="150">
        <f>VLOOKUP($F$5 &amp; $A48 &amp; $E48,AddRes,7,FALSE)</f>
        <v>0</v>
      </c>
      <c r="H48" s="150">
        <f>VLOOKUP($F$5 &amp; $A48 &amp; $E48,AddRes,8,FALSE)</f>
        <v>0</v>
      </c>
      <c r="I48" s="69">
        <f>VLOOKUP($F$5 &amp; $A48 &amp; $E48,AddRes,10,FALSE)</f>
        <v>42551</v>
      </c>
    </row>
    <row r="49" spans="1:12" s="65" customFormat="1" ht="12.75" customHeight="1">
      <c r="A49" s="66" t="s">
        <v>241</v>
      </c>
      <c r="B49" s="67"/>
      <c r="C49" s="68"/>
      <c r="E49" s="66" t="s">
        <v>637</v>
      </c>
      <c r="G49" s="150">
        <f>VLOOKUP($F$5 &amp; $A49 &amp; $E49,AddRes,7,FALSE)</f>
        <v>0</v>
      </c>
      <c r="H49" s="150">
        <f>VLOOKUP($F$5 &amp; $A49 &amp; $E49,AddRes,8,FALSE)</f>
        <v>0</v>
      </c>
      <c r="I49" s="69">
        <f>VLOOKUP($F$5 &amp; $A49 &amp; $E49,AddRes,10,FALSE)</f>
        <v>42551</v>
      </c>
      <c r="K49" s="75"/>
      <c r="L49" s="75"/>
    </row>
    <row r="50" spans="1:12" s="65" customFormat="1" ht="12.75" customHeight="1">
      <c r="A50" s="66" t="s">
        <v>242</v>
      </c>
      <c r="B50" s="67"/>
      <c r="C50" s="68"/>
      <c r="E50" s="66" t="s">
        <v>373</v>
      </c>
      <c r="G50" s="150">
        <f t="shared" si="14"/>
        <v>0</v>
      </c>
      <c r="H50" s="150">
        <f t="shared" si="15"/>
        <v>0</v>
      </c>
      <c r="I50" s="69">
        <f t="shared" si="16"/>
        <v>42551</v>
      </c>
    </row>
    <row r="51" spans="1:12" s="65" customFormat="1" ht="12.75" customHeight="1">
      <c r="A51" s="66" t="s">
        <v>235</v>
      </c>
      <c r="B51" s="67"/>
      <c r="C51" s="68"/>
      <c r="E51" s="66" t="s">
        <v>638</v>
      </c>
      <c r="G51" s="150">
        <f t="shared" ref="G51:G56" si="17">VLOOKUP($F$5 &amp; $A51 &amp; $E51,AddRes,7,FALSE)</f>
        <v>0</v>
      </c>
      <c r="H51" s="150">
        <f t="shared" ref="H51:H56" si="18">VLOOKUP($F$5 &amp; $A51 &amp; $E51,AddRes,8,FALSE)</f>
        <v>0</v>
      </c>
      <c r="I51" s="69">
        <f t="shared" ref="I51:I56" si="19">VLOOKUP($F$5 &amp; $A51 &amp; $E51,AddRes,10,FALSE)</f>
        <v>42369</v>
      </c>
    </row>
    <row r="52" spans="1:12" s="65" customFormat="1" ht="12.75" customHeight="1">
      <c r="A52" s="66" t="s">
        <v>233</v>
      </c>
      <c r="B52" s="67"/>
      <c r="C52" s="68"/>
      <c r="E52" s="66" t="s">
        <v>639</v>
      </c>
      <c r="G52" s="150">
        <f t="shared" si="17"/>
        <v>0</v>
      </c>
      <c r="H52" s="150">
        <f t="shared" si="18"/>
        <v>0</v>
      </c>
      <c r="I52" s="69">
        <f t="shared" si="19"/>
        <v>42551</v>
      </c>
    </row>
    <row r="53" spans="1:12" s="65" customFormat="1" ht="12.75" customHeight="1">
      <c r="A53" s="66" t="s">
        <v>359</v>
      </c>
      <c r="B53" s="67"/>
      <c r="C53" s="68"/>
      <c r="E53" s="66" t="s">
        <v>640</v>
      </c>
      <c r="G53" s="150">
        <f t="shared" si="17"/>
        <v>0</v>
      </c>
      <c r="H53" s="150">
        <f t="shared" si="18"/>
        <v>0</v>
      </c>
      <c r="I53" s="69">
        <f t="shared" si="19"/>
        <v>42551</v>
      </c>
    </row>
    <row r="54" spans="1:12" s="65" customFormat="1" ht="12.75" customHeight="1">
      <c r="A54" s="66" t="s">
        <v>231</v>
      </c>
      <c r="B54" s="67"/>
      <c r="C54" s="68"/>
      <c r="E54" s="66" t="s">
        <v>641</v>
      </c>
      <c r="G54" s="150">
        <f t="shared" si="17"/>
        <v>0</v>
      </c>
      <c r="H54" s="150">
        <f t="shared" si="18"/>
        <v>0</v>
      </c>
      <c r="I54" s="69">
        <f t="shared" si="19"/>
        <v>42551</v>
      </c>
    </row>
    <row r="55" spans="1:12" s="65" customFormat="1" ht="12.75" customHeight="1">
      <c r="A55" s="66" t="s">
        <v>354</v>
      </c>
      <c r="B55" s="67"/>
      <c r="C55" s="68"/>
      <c r="E55" s="66" t="s">
        <v>642</v>
      </c>
      <c r="G55" s="150">
        <f t="shared" si="17"/>
        <v>0</v>
      </c>
      <c r="H55" s="150">
        <f t="shared" si="18"/>
        <v>0</v>
      </c>
      <c r="I55" s="69">
        <f t="shared" si="19"/>
        <v>42551</v>
      </c>
    </row>
    <row r="56" spans="1:12" s="65" customFormat="1" ht="12.75" customHeight="1">
      <c r="A56" s="66" t="s">
        <v>232</v>
      </c>
      <c r="B56" s="67"/>
      <c r="C56" s="68"/>
      <c r="E56" s="66" t="s">
        <v>643</v>
      </c>
      <c r="G56" s="150">
        <f t="shared" si="17"/>
        <v>0</v>
      </c>
      <c r="H56" s="150">
        <f t="shared" si="18"/>
        <v>0</v>
      </c>
      <c r="I56" s="69">
        <f t="shared" si="19"/>
        <v>42551</v>
      </c>
    </row>
    <row r="57" spans="1:12" s="65" customFormat="1" ht="12.75" customHeight="1">
      <c r="C57" s="70"/>
      <c r="D57" s="70"/>
      <c r="E57" s="70"/>
      <c r="F57" s="70"/>
      <c r="G57" s="71"/>
      <c r="H57" s="72"/>
      <c r="I57" s="73"/>
    </row>
    <row r="58" spans="1:12" s="65" customFormat="1" ht="12.75" customHeight="1">
      <c r="C58" s="74" t="s">
        <v>71</v>
      </c>
      <c r="D58" s="70"/>
      <c r="E58" s="70"/>
      <c r="F58" s="70"/>
      <c r="G58" s="75">
        <f>SUM(G45:G56)</f>
        <v>0</v>
      </c>
      <c r="H58" s="75">
        <f>SUM(H45:H56)</f>
        <v>0</v>
      </c>
      <c r="I58" s="73"/>
    </row>
    <row r="59" spans="1:12" s="65" customFormat="1" ht="12.75" customHeight="1">
      <c r="C59" s="70"/>
      <c r="D59" s="70"/>
      <c r="E59" s="70"/>
      <c r="F59" s="70"/>
      <c r="G59" s="70"/>
      <c r="I59" s="73"/>
    </row>
    <row r="60" spans="1:12" s="65" customFormat="1" ht="12.75" customHeight="1">
      <c r="C60" s="70"/>
      <c r="D60" s="70"/>
      <c r="E60" s="70"/>
      <c r="F60" s="70"/>
      <c r="G60" s="70"/>
      <c r="I60" s="73"/>
    </row>
    <row r="61" spans="1:12" s="65" customFormat="1" ht="12.75" customHeight="1">
      <c r="C61" s="70"/>
      <c r="D61" s="70"/>
      <c r="E61" s="70"/>
      <c r="F61" s="70"/>
      <c r="G61" s="70"/>
      <c r="I61" s="73"/>
    </row>
    <row r="62" spans="1:12" s="65" customFormat="1" ht="12.75" customHeight="1">
      <c r="C62" s="70"/>
      <c r="D62" s="70"/>
      <c r="E62" s="70"/>
      <c r="F62" s="70"/>
      <c r="G62" s="70"/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  <row r="139" spans="3:9" s="65" customFormat="1" ht="12.75" customHeight="1">
      <c r="C139" s="70"/>
      <c r="D139" s="70"/>
      <c r="E139" s="70"/>
      <c r="F139" s="70"/>
      <c r="G139" s="70"/>
      <c r="I139" s="73"/>
    </row>
    <row r="140" spans="3:9" s="65" customFormat="1" ht="12.75" customHeight="1">
      <c r="C140" s="70"/>
      <c r="D140" s="70"/>
      <c r="E140" s="70"/>
      <c r="F140" s="70"/>
      <c r="G140" s="70"/>
      <c r="I140" s="73"/>
    </row>
    <row r="141" spans="3:9" s="65" customFormat="1" ht="12.75" customHeight="1">
      <c r="C141" s="70"/>
      <c r="D141" s="70"/>
      <c r="E141" s="70"/>
      <c r="F141" s="70"/>
      <c r="G141" s="70"/>
      <c r="I141" s="73"/>
    </row>
    <row r="142" spans="3:9" s="65" customFormat="1" ht="12.75" customHeight="1">
      <c r="C142" s="70"/>
      <c r="D142" s="70"/>
      <c r="E142" s="70"/>
      <c r="F142" s="70"/>
      <c r="G142" s="70"/>
      <c r="I142" s="73"/>
    </row>
    <row r="143" spans="3:9" s="65" customFormat="1" ht="12.75" customHeight="1">
      <c r="C143" s="70"/>
      <c r="D143" s="70"/>
      <c r="E143" s="70"/>
      <c r="F143" s="70"/>
      <c r="G143" s="70"/>
      <c r="I143" s="73"/>
    </row>
    <row r="144" spans="3:9" s="65" customFormat="1" ht="12.75" customHeight="1">
      <c r="C144" s="70"/>
      <c r="D144" s="70"/>
      <c r="E144" s="70"/>
      <c r="F144" s="70"/>
      <c r="G144" s="70"/>
      <c r="I144" s="73"/>
    </row>
  </sheetData>
  <mergeCells count="2">
    <mergeCell ref="A8:I8"/>
    <mergeCell ref="G5:I5"/>
  </mergeCells>
  <phoneticPr fontId="0" type="noConversion"/>
  <conditionalFormatting sqref="G42">
    <cfRule type="cellIs" dxfId="15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L145"/>
  <sheetViews>
    <sheetView topLeftCell="A18"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3.5703125" style="23" bestFit="1" customWidth="1"/>
    <col min="11" max="12" width="11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115</v>
      </c>
      <c r="G5" s="505" t="str">
        <f>VLOOKUP($F5,District,2,FALSE)</f>
        <v>Peninsula College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1685</v>
      </c>
      <c r="D10" s="48"/>
      <c r="E10" s="48">
        <f>IF(ISNA(VLOOKUP($F$5,Student,14,FALSE)),0,VLOOKUP($F$5,Student,14,FALSE))</f>
        <v>38</v>
      </c>
      <c r="F10" s="48"/>
      <c r="G10" s="48">
        <f>$E$10+$C$10+$A$10</f>
        <v>1723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17" si="0">IF(ISNA(VLOOKUP($F$5 &amp;A16, AllocSched,12,FALSE)),"-",VLOOKUP($F$5 &amp;A16, AllocSched,12,FALSE))</f>
        <v>7676952</v>
      </c>
      <c r="D16" s="112" t="s">
        <v>51</v>
      </c>
      <c r="E16" s="16">
        <f t="shared" ref="E16:E24" si="1">IF(ISNA(VLOOKUP($F$5 &amp; A16, AllocSched,13,FALSE)),"-",VLOOKUP($F$5 &amp; A16, AllocSched,13,FALSE))</f>
        <v>-7524</v>
      </c>
      <c r="F16" s="16" t="s">
        <v>51</v>
      </c>
      <c r="G16" s="16">
        <f t="shared" ref="G16:G24" si="2">IF(C16="-",E16,C16+E16)</f>
        <v>7669428</v>
      </c>
      <c r="H16" s="55" t="str">
        <f t="shared" ref="H16:H22" si="3">IF(ISNA(VLOOKUP($F$5 &amp; A16, AllocSched,9,FALSE))," ",VLOOKUP($F$5 &amp; A16, AllocSched,9,FALSE))</f>
        <v>001-011</v>
      </c>
      <c r="I16" s="56">
        <f t="shared" ref="I16:I40" si="4">IF(ISNA(VLOOKUP($F$5 &amp; A16, AllocSched,14,FALSE))," ",VLOOKUP($F$5 &amp; A16, AllocSched,14,FALSE))</f>
        <v>101</v>
      </c>
    </row>
    <row r="17" spans="1:9" ht="12.75" customHeight="1">
      <c r="A17" s="115" t="s">
        <v>171</v>
      </c>
      <c r="B17" s="54"/>
      <c r="C17" s="16">
        <f t="shared" si="0"/>
        <v>470295</v>
      </c>
      <c r="D17" s="112"/>
      <c r="E17" s="16">
        <f t="shared" si="1"/>
        <v>7524</v>
      </c>
      <c r="F17" s="16"/>
      <c r="G17" s="16">
        <f t="shared" si="2"/>
        <v>477819</v>
      </c>
      <c r="H17" s="55" t="str">
        <f t="shared" si="3"/>
        <v>08A-3E0</v>
      </c>
      <c r="I17" s="56" t="str">
        <f t="shared" si="4"/>
        <v>3E0</v>
      </c>
    </row>
    <row r="18" spans="1:9" s="272" customFormat="1" ht="12.75" customHeight="1">
      <c r="A18" s="38" t="s">
        <v>781</v>
      </c>
      <c r="B18" s="54"/>
      <c r="C18" s="16">
        <f t="shared" ref="C18:C24" si="5">IF(ISNA(VLOOKUP($F$5 &amp;A18, AllocSched,12,FALSE)),"-",VLOOKUP($F$5 &amp;A18, AllocSched,12,FALSE))</f>
        <v>0</v>
      </c>
      <c r="D18" s="112"/>
      <c r="E18" s="16">
        <f t="shared" si="1"/>
        <v>52281</v>
      </c>
      <c r="F18" s="16"/>
      <c r="G18" s="16">
        <f t="shared" si="2"/>
        <v>52281</v>
      </c>
      <c r="H18" s="55" t="str">
        <f>IF(ISNA(VLOOKUP($F$5 &amp; A18, AllocSched,9,FALSE))," ",VLOOKUP($F$5 &amp; A18, AllocSched,9,FALSE))</f>
        <v>001-011</v>
      </c>
      <c r="I18" s="56">
        <f t="shared" si="4"/>
        <v>101</v>
      </c>
    </row>
    <row r="19" spans="1:9" s="272" customFormat="1" ht="12.75" customHeight="1">
      <c r="A19" s="115" t="s">
        <v>448</v>
      </c>
      <c r="B19" s="54"/>
      <c r="C19" s="16">
        <f t="shared" si="5"/>
        <v>0</v>
      </c>
      <c r="D19" s="112"/>
      <c r="E19" s="16">
        <f t="shared" si="1"/>
        <v>178142</v>
      </c>
      <c r="F19" s="16"/>
      <c r="G19" s="16">
        <f t="shared" si="2"/>
        <v>178142</v>
      </c>
      <c r="H19" s="55" t="str">
        <f>IF(ISNA(VLOOKUP($F$5 &amp; A19, AllocSched,9,FALSE))," ",VLOOKUP($F$5 &amp; A19, AllocSched,9,FALSE))</f>
        <v>001-011</v>
      </c>
      <c r="I19" s="56">
        <f t="shared" si="4"/>
        <v>101</v>
      </c>
    </row>
    <row r="20" spans="1:9" s="269" customFormat="1" ht="12.75" customHeight="1">
      <c r="A20" s="115" t="s">
        <v>340</v>
      </c>
      <c r="B20" s="54"/>
      <c r="C20" s="16">
        <f t="shared" si="5"/>
        <v>0</v>
      </c>
      <c r="D20" s="112"/>
      <c r="E20" s="16">
        <f t="shared" si="1"/>
        <v>390933</v>
      </c>
      <c r="F20" s="16"/>
      <c r="G20" s="16">
        <f t="shared" si="2"/>
        <v>390933</v>
      </c>
      <c r="H20" s="55" t="str">
        <f>IF(ISNA(VLOOKUP($F$5 &amp; A20, AllocSched,9,FALSE))," ",VLOOKUP($F$5 &amp; A20, AllocSched,9,FALSE))</f>
        <v>001-011</v>
      </c>
      <c r="I20" s="56">
        <f t="shared" si="4"/>
        <v>101</v>
      </c>
    </row>
    <row r="21" spans="1:9" s="272" customFormat="1" ht="12.75" customHeight="1">
      <c r="A21" s="115" t="s">
        <v>253</v>
      </c>
      <c r="B21" s="54"/>
      <c r="C21" s="16">
        <f t="shared" si="5"/>
        <v>0</v>
      </c>
      <c r="D21" s="112"/>
      <c r="E21" s="16">
        <f t="shared" si="1"/>
        <v>1000</v>
      </c>
      <c r="F21" s="16"/>
      <c r="G21" s="16">
        <f t="shared" si="2"/>
        <v>1000</v>
      </c>
      <c r="H21" s="55" t="str">
        <f>IF(ISNA(VLOOKUP($F$5 &amp; A21, AllocSched,9,FALSE))," ",VLOOKUP($F$5 &amp; A21, AllocSched,9,FALSE))</f>
        <v>001-011</v>
      </c>
      <c r="I21" s="56">
        <f t="shared" si="4"/>
        <v>101</v>
      </c>
    </row>
    <row r="22" spans="1:9" ht="12.75" customHeight="1">
      <c r="A22" s="115" t="s">
        <v>207</v>
      </c>
      <c r="B22" s="54"/>
      <c r="C22" s="16">
        <f t="shared" si="5"/>
        <v>0</v>
      </c>
      <c r="D22" s="112"/>
      <c r="E22" s="16">
        <f t="shared" si="1"/>
        <v>30090</v>
      </c>
      <c r="F22" s="16"/>
      <c r="G22" s="16">
        <f t="shared" si="2"/>
        <v>30090</v>
      </c>
      <c r="H22" s="55" t="str">
        <f t="shared" si="3"/>
        <v>001-011</v>
      </c>
      <c r="I22" s="56">
        <f t="shared" si="4"/>
        <v>101</v>
      </c>
    </row>
    <row r="23" spans="1:9" s="272" customFormat="1" ht="12.75" customHeight="1">
      <c r="A23" s="115" t="s">
        <v>203</v>
      </c>
      <c r="B23" s="54"/>
      <c r="C23" s="16">
        <f t="shared" si="5"/>
        <v>0</v>
      </c>
      <c r="D23" s="112"/>
      <c r="E23" s="16">
        <f t="shared" si="1"/>
        <v>-2354</v>
      </c>
      <c r="F23" s="16"/>
      <c r="G23" s="16">
        <f t="shared" si="2"/>
        <v>-2354</v>
      </c>
      <c r="H23" s="55" t="str">
        <f>IF(ISNA(VLOOKUP($F$5 &amp; A23, AllocSched,9,FALSE))," ",VLOOKUP($F$5 &amp; A23, AllocSched,9,FALSE))</f>
        <v>001-011</v>
      </c>
      <c r="I23" s="56">
        <f t="shared" si="4"/>
        <v>101</v>
      </c>
    </row>
    <row r="24" spans="1:9" s="272" customFormat="1" ht="12.75" customHeight="1">
      <c r="A24" s="115" t="s">
        <v>454</v>
      </c>
      <c r="B24" s="54"/>
      <c r="C24" s="16">
        <f t="shared" si="5"/>
        <v>0</v>
      </c>
      <c r="D24" s="112"/>
      <c r="E24" s="16">
        <f t="shared" si="1"/>
        <v>-1197</v>
      </c>
      <c r="F24" s="16"/>
      <c r="G24" s="16">
        <f t="shared" si="2"/>
        <v>-1197</v>
      </c>
      <c r="H24" s="55" t="str">
        <f>IF(ISNA(VLOOKUP($F$5 &amp; A24, AllocSched,9,FALSE))," ",VLOOKUP($F$5 &amp; A24, AllocSched,9,FALSE))</f>
        <v>001-011</v>
      </c>
      <c r="I24" s="56">
        <f t="shared" si="4"/>
        <v>101</v>
      </c>
    </row>
    <row r="25" spans="1:9" ht="12.75" customHeight="1">
      <c r="A25" s="115"/>
      <c r="B25" s="54"/>
      <c r="C25" s="16"/>
      <c r="D25" s="112"/>
      <c r="E25" s="16"/>
      <c r="F25" s="16"/>
      <c r="G25" s="16"/>
      <c r="H25" s="55" t="str">
        <f t="shared" ref="H25:H39" si="6">IF(ISNA(VLOOKUP($F$5 &amp; A25, AllocSched,9,FALSE))," ",VLOOKUP($F$5 &amp; A25, AllocSched,9,FALSE))</f>
        <v xml:space="preserve"> </v>
      </c>
      <c r="I25" s="56" t="str">
        <f t="shared" si="4"/>
        <v xml:space="preserve"> </v>
      </c>
    </row>
    <row r="26" spans="1:9" s="83" customFormat="1">
      <c r="A26" s="114" t="s">
        <v>168</v>
      </c>
      <c r="B26" s="84"/>
      <c r="C26" s="16"/>
      <c r="D26" s="112"/>
      <c r="E26" s="16"/>
      <c r="F26" s="16"/>
      <c r="G26" s="16"/>
      <c r="H26" s="55" t="str">
        <f t="shared" si="6"/>
        <v xml:space="preserve"> </v>
      </c>
      <c r="I26" s="56" t="str">
        <f t="shared" si="4"/>
        <v xml:space="preserve"> </v>
      </c>
    </row>
    <row r="27" spans="1:9" s="83" customFormat="1">
      <c r="A27" s="38" t="s">
        <v>345</v>
      </c>
      <c r="B27" s="84"/>
      <c r="C27" s="16">
        <f>IF(ISNA(VLOOKUP($F$5 &amp;A27, AllocSched,12,FALSE)),"-",VLOOKUP($F$5 &amp;A27, AllocSched,12,FALSE))</f>
        <v>299744</v>
      </c>
      <c r="D27" s="112"/>
      <c r="E27" s="16">
        <f>IF(ISNA(VLOOKUP($F$5 &amp; A27, AllocSched,13,FALSE)),"-",VLOOKUP($F$5 &amp; A27, AllocSched,13,FALSE))</f>
        <v>0</v>
      </c>
      <c r="F27" s="16"/>
      <c r="G27" s="16">
        <f>IF(C27="-",E27,C27+E27)</f>
        <v>299744</v>
      </c>
      <c r="H27" s="55" t="str">
        <f>IF(ISNA(VLOOKUP($F$5 &amp; A27, AllocSched,9,FALSE))," ",VLOOKUP($F$5 &amp; A27, AllocSched,9,FALSE))</f>
        <v>001-011</v>
      </c>
      <c r="I27" s="56">
        <f t="shared" si="4"/>
        <v>101</v>
      </c>
    </row>
    <row r="28" spans="1:9" ht="12.75" customHeight="1">
      <c r="A28" s="38" t="s">
        <v>211</v>
      </c>
      <c r="C28" s="16">
        <f t="shared" ref="C28:C38" si="7">IF(ISNA(VLOOKUP($F$5 &amp;A28, AllocSched,12,FALSE)),"-",VLOOKUP($F$5 &amp;A28, AllocSched,12,FALSE))</f>
        <v>61015</v>
      </c>
      <c r="D28" s="112"/>
      <c r="E28" s="16">
        <f t="shared" ref="E28:E39" si="8">IF(ISNA(VLOOKUP($F$5 &amp; A28, AllocSched,13,FALSE)),"-",VLOOKUP($F$5 &amp; A28, AllocSched,13,FALSE))</f>
        <v>-61015</v>
      </c>
      <c r="F28" s="16"/>
      <c r="G28" s="16">
        <f t="shared" ref="G28:G37" si="9">IF(C28="-",E28,C28+E28)</f>
        <v>0</v>
      </c>
      <c r="H28" s="55" t="str">
        <f>IF(ISNA(VLOOKUP($F$5 &amp; A28, AllocSched,9,FALSE))," ",VLOOKUP($F$5 &amp; A28, AllocSched,9,FALSE))</f>
        <v>001-011</v>
      </c>
      <c r="I28" s="56">
        <f t="shared" si="4"/>
        <v>101</v>
      </c>
    </row>
    <row r="29" spans="1:9" ht="12.75" customHeight="1">
      <c r="A29" s="38" t="s">
        <v>172</v>
      </c>
      <c r="C29" s="16" t="str">
        <f t="shared" si="7"/>
        <v>-</v>
      </c>
      <c r="D29" s="112"/>
      <c r="E29" s="16" t="str">
        <f t="shared" si="8"/>
        <v>-</v>
      </c>
      <c r="F29" s="16"/>
      <c r="G29" s="16" t="str">
        <f t="shared" si="9"/>
        <v>-</v>
      </c>
      <c r="H29" s="55" t="str">
        <f t="shared" si="6"/>
        <v xml:space="preserve"> </v>
      </c>
      <c r="I29" s="56" t="str">
        <f t="shared" si="4"/>
        <v xml:space="preserve"> </v>
      </c>
    </row>
    <row r="30" spans="1:9" ht="12.75" customHeight="1">
      <c r="A30" s="38" t="s">
        <v>222</v>
      </c>
      <c r="C30" s="16">
        <f>IF(ISNA(VLOOKUP($F$5 &amp;A30, AllocSched,12,FALSE)),"-",VLOOKUP($F$5 &amp;A30, AllocSched,12,FALSE))</f>
        <v>37591</v>
      </c>
      <c r="D30" s="112"/>
      <c r="E30" s="16">
        <f>IF(ISNA(VLOOKUP($F$5 &amp; A30, AllocSched,13,FALSE)),"-",VLOOKUP($F$5 &amp; A30, AllocSched,13,FALSE))</f>
        <v>-37591</v>
      </c>
      <c r="F30" s="16"/>
      <c r="G30" s="16">
        <f>IF(C30="-",E30,C30+E30)</f>
        <v>0</v>
      </c>
      <c r="H30" s="55" t="str">
        <f>IF(ISNA(VLOOKUP($F$5 &amp; A30, AllocSched,9,FALSE))," ",VLOOKUP($F$5 &amp; A30, AllocSched,9,FALSE))</f>
        <v>08A-3E0</v>
      </c>
      <c r="I30" s="56" t="str">
        <f t="shared" si="4"/>
        <v>3E0</v>
      </c>
    </row>
    <row r="31" spans="1:9" ht="12.75" customHeight="1">
      <c r="A31" s="38" t="s">
        <v>170</v>
      </c>
      <c r="C31" s="16">
        <f t="shared" si="7"/>
        <v>41616</v>
      </c>
      <c r="D31" s="112"/>
      <c r="E31" s="16">
        <f t="shared" si="8"/>
        <v>-15024</v>
      </c>
      <c r="F31" s="16"/>
      <c r="G31" s="16">
        <f t="shared" si="9"/>
        <v>26592</v>
      </c>
      <c r="H31" s="55" t="str">
        <f t="shared" si="6"/>
        <v>001-011</v>
      </c>
      <c r="I31" s="56">
        <f t="shared" si="4"/>
        <v>101</v>
      </c>
    </row>
    <row r="32" spans="1:9" ht="12.75" customHeight="1">
      <c r="A32" s="115" t="s">
        <v>151</v>
      </c>
      <c r="B32" s="54"/>
      <c r="C32" s="16">
        <f>IF(ISNA(VLOOKUP($F$5 &amp;A32, AllocSched,12,FALSE)),"-",VLOOKUP($F$5 &amp;A32, AllocSched,12,FALSE))</f>
        <v>0</v>
      </c>
      <c r="D32" s="112"/>
      <c r="E32" s="16">
        <f>IF(ISNA(VLOOKUP($F$5 &amp; A32, AllocSched,13,FALSE)),"-",VLOOKUP($F$5 &amp; A32, AllocSched,13,FALSE))</f>
        <v>0</v>
      </c>
      <c r="F32" s="16"/>
      <c r="G32" s="16">
        <f>IF(C32="-",E32,C32+E32)</f>
        <v>0</v>
      </c>
      <c r="H32" s="55" t="str">
        <f>IF(ISNA(VLOOKUP($F$5 &amp; A32, AllocSched,9,FALSE))," ",VLOOKUP($F$5 &amp; A32, AllocSched,9,FALSE))</f>
        <v>08A-3E0</v>
      </c>
      <c r="I32" s="56" t="str">
        <f t="shared" si="4"/>
        <v>3E0</v>
      </c>
    </row>
    <row r="33" spans="1:11" ht="12.75" customHeight="1">
      <c r="A33" s="115" t="s">
        <v>150</v>
      </c>
      <c r="B33" s="54"/>
      <c r="C33" s="16">
        <f t="shared" si="7"/>
        <v>399412</v>
      </c>
      <c r="D33" s="112"/>
      <c r="E33" s="16">
        <f t="shared" si="8"/>
        <v>0</v>
      </c>
      <c r="F33" s="16"/>
      <c r="G33" s="16">
        <f t="shared" si="9"/>
        <v>399412</v>
      </c>
      <c r="H33" s="55" t="str">
        <f t="shared" si="6"/>
        <v>001-011</v>
      </c>
      <c r="I33" s="56">
        <f t="shared" si="4"/>
        <v>101</v>
      </c>
    </row>
    <row r="34" spans="1:11" ht="12.75" customHeight="1">
      <c r="A34" s="115" t="s">
        <v>273</v>
      </c>
      <c r="B34" s="54"/>
      <c r="C34" s="16">
        <f>IF(ISNA(VLOOKUP($F$5 &amp;A34, AllocSched,12,FALSE)),"-",VLOOKUP($F$5 &amp;A34, AllocSched,12,FALSE))</f>
        <v>119673</v>
      </c>
      <c r="D34" s="112"/>
      <c r="E34" s="16">
        <f>IF(ISNA(VLOOKUP($F$5 &amp; A34, AllocSched,13,FALSE)),"-",VLOOKUP($F$5 &amp; A34, AllocSched,13,FALSE))</f>
        <v>-119673</v>
      </c>
      <c r="F34" s="16"/>
      <c r="G34" s="16">
        <f>IF(C34="-",E34,C34+E34)</f>
        <v>0</v>
      </c>
      <c r="H34" s="55" t="str">
        <f>IF(ISNA(VLOOKUP($F$5 &amp; A34, AllocSched,9,FALSE))," ",VLOOKUP($F$5 &amp; A34, AllocSched,9,FALSE))</f>
        <v>001-BD1</v>
      </c>
      <c r="I34" s="56" t="str">
        <f t="shared" si="4"/>
        <v>BD1</v>
      </c>
    </row>
    <row r="35" spans="1:11" ht="12.75" customHeight="1">
      <c r="A35" s="115" t="s">
        <v>6</v>
      </c>
      <c r="B35" s="54"/>
      <c r="C35" s="16">
        <f t="shared" si="7"/>
        <v>7799</v>
      </c>
      <c r="D35" s="112"/>
      <c r="E35" s="16">
        <f t="shared" si="8"/>
        <v>-9</v>
      </c>
      <c r="F35" s="16"/>
      <c r="G35" s="16">
        <f t="shared" si="9"/>
        <v>7790</v>
      </c>
      <c r="H35" s="55" t="str">
        <f t="shared" si="6"/>
        <v>001-011</v>
      </c>
      <c r="I35" s="56">
        <f t="shared" si="4"/>
        <v>101</v>
      </c>
    </row>
    <row r="36" spans="1:11" ht="12.75" customHeight="1">
      <c r="A36" s="115" t="s">
        <v>66</v>
      </c>
      <c r="B36" s="54"/>
      <c r="C36" s="16">
        <f t="shared" si="7"/>
        <v>0</v>
      </c>
      <c r="D36" s="112"/>
      <c r="E36" s="16">
        <f t="shared" si="8"/>
        <v>0</v>
      </c>
      <c r="F36" s="16"/>
      <c r="G36" s="16">
        <f t="shared" si="9"/>
        <v>0</v>
      </c>
      <c r="H36" s="55" t="str">
        <f t="shared" si="6"/>
        <v>08A-3E0</v>
      </c>
      <c r="I36" s="56" t="str">
        <f t="shared" si="4"/>
        <v>3E0</v>
      </c>
    </row>
    <row r="37" spans="1:11" ht="12.75" customHeight="1">
      <c r="A37" s="115" t="s">
        <v>333</v>
      </c>
      <c r="B37" s="54"/>
      <c r="C37" s="16">
        <f t="shared" si="7"/>
        <v>137202</v>
      </c>
      <c r="D37" s="112"/>
      <c r="E37" s="16">
        <f t="shared" si="8"/>
        <v>0</v>
      </c>
      <c r="F37" s="16"/>
      <c r="G37" s="16">
        <f t="shared" si="9"/>
        <v>137202</v>
      </c>
      <c r="H37" s="55" t="str">
        <f t="shared" si="6"/>
        <v>001-011</v>
      </c>
      <c r="I37" s="56">
        <f t="shared" si="4"/>
        <v>101</v>
      </c>
    </row>
    <row r="38" spans="1:11" ht="12.75" customHeight="1">
      <c r="A38" s="115" t="s">
        <v>332</v>
      </c>
      <c r="B38" s="54"/>
      <c r="C38" s="16">
        <f t="shared" si="7"/>
        <v>655371</v>
      </c>
      <c r="D38" s="112"/>
      <c r="E38" s="16">
        <f t="shared" si="8"/>
        <v>0</v>
      </c>
      <c r="F38" s="16"/>
      <c r="G38" s="16">
        <f>IF(C38="-",E38,C38+E38)</f>
        <v>655371</v>
      </c>
      <c r="H38" s="55" t="str">
        <f t="shared" si="6"/>
        <v>001-AC1</v>
      </c>
      <c r="I38" s="56">
        <f t="shared" si="4"/>
        <v>123</v>
      </c>
    </row>
    <row r="39" spans="1:11" ht="12.75" customHeight="1">
      <c r="A39" s="115" t="s">
        <v>767</v>
      </c>
      <c r="B39" s="54"/>
      <c r="C39" s="16" t="str">
        <f>IF(ISNA(VLOOKUP($F$5 &amp;A39, AllocSched,12,FALSE)),"-",VLOOKUP($F$5 &amp;A39, AllocSched,12,FALSE))</f>
        <v>-</v>
      </c>
      <c r="D39" s="112"/>
      <c r="E39" s="16" t="str">
        <f t="shared" si="8"/>
        <v>-</v>
      </c>
      <c r="F39" s="16"/>
      <c r="G39" s="16" t="str">
        <f>IF(C39="-",E39,C39+E39)</f>
        <v>-</v>
      </c>
      <c r="H39" s="55" t="str">
        <f t="shared" si="6"/>
        <v xml:space="preserve"> </v>
      </c>
      <c r="I39" s="56" t="str">
        <f t="shared" si="4"/>
        <v xml:space="preserve"> </v>
      </c>
    </row>
    <row r="40" spans="1:11" s="272" customFormat="1" ht="12.75" customHeight="1">
      <c r="A40" s="115" t="s">
        <v>449</v>
      </c>
      <c r="B40" s="54"/>
      <c r="C40" s="16">
        <f>IF(ISNA(VLOOKUP($F$5 &amp;A40, AllocSched,12,FALSE)),"-",VLOOKUP($F$5 &amp;A40, AllocSched,12,FALSE))</f>
        <v>0</v>
      </c>
      <c r="D40" s="112"/>
      <c r="E40" s="16">
        <f>IF(ISNA(VLOOKUP($F$5 &amp; A40, AllocSched,13,FALSE)),"-",VLOOKUP($F$5 &amp; A40, AllocSched,13,FALSE))</f>
        <v>42693</v>
      </c>
      <c r="F40" s="16"/>
      <c r="G40" s="16">
        <f>IF(C40="-",E40,C40+E40)</f>
        <v>42693</v>
      </c>
      <c r="H40" s="55" t="str">
        <f>IF(ISNA(VLOOKUP($F$5 &amp; A40, AllocSched,9,FALSE))," ",VLOOKUP($F$5 &amp; A40, AllocSched,9,FALSE))</f>
        <v>001-011</v>
      </c>
      <c r="I40" s="56">
        <f t="shared" si="4"/>
        <v>101</v>
      </c>
    </row>
    <row r="41" spans="1:11" ht="12.75" customHeight="1">
      <c r="A41" s="54"/>
      <c r="B41" s="54"/>
      <c r="C41" s="16"/>
      <c r="D41" s="112"/>
      <c r="E41" s="16"/>
      <c r="F41" s="16"/>
      <c r="G41" s="16"/>
      <c r="H41" s="55"/>
      <c r="I41" s="56"/>
    </row>
    <row r="42" spans="1:11" ht="13.5" thickBot="1">
      <c r="A42" s="89" t="s">
        <v>174</v>
      </c>
      <c r="B42" s="57" t="s">
        <v>51</v>
      </c>
      <c r="C42" s="111">
        <f>SUM(C16:C41)</f>
        <v>9906670</v>
      </c>
      <c r="D42" s="113" t="s">
        <v>51</v>
      </c>
      <c r="E42" s="111">
        <f>SUM(E16:E41)</f>
        <v>458276</v>
      </c>
      <c r="F42" s="113" t="s">
        <v>51</v>
      </c>
      <c r="G42" s="111">
        <f>SUM(G16:G41)</f>
        <v>10364946</v>
      </c>
      <c r="J42" s="25"/>
      <c r="K42" s="30"/>
    </row>
    <row r="43" spans="1:11" ht="12.75" customHeight="1" thickTop="1">
      <c r="A43" s="84"/>
      <c r="B43" s="84"/>
      <c r="C43" s="58">
        <v>0</v>
      </c>
      <c r="D43" s="58"/>
      <c r="E43" s="90"/>
      <c r="F43" s="90"/>
      <c r="G43" s="90"/>
    </row>
    <row r="44" spans="1:11" s="65" customFormat="1" ht="25.5">
      <c r="A44" s="59" t="s">
        <v>156</v>
      </c>
      <c r="B44" s="60"/>
      <c r="C44" s="61"/>
      <c r="D44" s="62"/>
      <c r="E44" s="63" t="s">
        <v>67</v>
      </c>
      <c r="F44" s="62"/>
      <c r="G44" s="64" t="s">
        <v>163</v>
      </c>
      <c r="H44" s="64" t="s">
        <v>164</v>
      </c>
      <c r="I44" s="98" t="s">
        <v>70</v>
      </c>
    </row>
    <row r="45" spans="1:11" s="65" customFormat="1" ht="12.75" customHeight="1">
      <c r="A45" s="66" t="s">
        <v>240</v>
      </c>
      <c r="B45" s="67"/>
      <c r="C45" s="68"/>
      <c r="E45" s="66" t="s">
        <v>374</v>
      </c>
      <c r="G45" s="150">
        <f>VLOOKUP($F$5 &amp; $A45 &amp; $E45,AddRes,7,FALSE)</f>
        <v>0</v>
      </c>
      <c r="H45" s="150">
        <f>VLOOKUP($F$5 &amp; $A45 &amp; $E45,AddRes,8,FALSE)</f>
        <v>0</v>
      </c>
      <c r="I45" s="69">
        <f>VLOOKUP($F$5 &amp; $A45 &amp; $E45,AddRes,10,FALSE)</f>
        <v>42277</v>
      </c>
    </row>
    <row r="46" spans="1:11" s="65" customFormat="1" ht="12.75" customHeight="1">
      <c r="A46" s="66" t="s">
        <v>497</v>
      </c>
      <c r="B46" s="67"/>
      <c r="C46" s="68"/>
      <c r="E46" s="66" t="s">
        <v>644</v>
      </c>
      <c r="G46" s="150">
        <f>VLOOKUP($F$5 &amp; $A46 &amp; $E46,AddRes,7,FALSE)</f>
        <v>0</v>
      </c>
      <c r="H46" s="150">
        <f>VLOOKUP($F$5 &amp; $A46 &amp; $E46,AddRes,8,FALSE)</f>
        <v>0</v>
      </c>
      <c r="I46" s="69">
        <f>VLOOKUP($F$5 &amp; $A46 &amp; $E46,AddRes,10,FALSE)</f>
        <v>42551</v>
      </c>
    </row>
    <row r="47" spans="1:11" s="65" customFormat="1" ht="12.75" customHeight="1">
      <c r="A47" s="66" t="s">
        <v>498</v>
      </c>
      <c r="B47" s="67"/>
      <c r="C47" s="68"/>
      <c r="E47" s="66" t="s">
        <v>645</v>
      </c>
      <c r="G47" s="150">
        <f>VLOOKUP($F$5 &amp; $A47 &amp; $E47,AddRes,7,FALSE)</f>
        <v>0</v>
      </c>
      <c r="H47" s="150">
        <f>VLOOKUP($F$5 &amp; $A47 &amp; $E47,AddRes,8,FALSE)</f>
        <v>0</v>
      </c>
      <c r="I47" s="69">
        <f>VLOOKUP($F$5 &amp; $A47 &amp; $E47,AddRes,10,FALSE)</f>
        <v>42551</v>
      </c>
    </row>
    <row r="48" spans="1:11" s="65" customFormat="1" ht="12.75" customHeight="1">
      <c r="A48" s="66" t="s">
        <v>505</v>
      </c>
      <c r="B48" s="67"/>
      <c r="C48" s="68"/>
      <c r="E48" s="66" t="s">
        <v>646</v>
      </c>
      <c r="G48" s="150">
        <f>VLOOKUP($F$5 &amp; $A48 &amp; $E48,AddRes,7,FALSE)</f>
        <v>0</v>
      </c>
      <c r="H48" s="150">
        <f>VLOOKUP($F$5 &amp; $A48 &amp; $E48,AddRes,8,FALSE)</f>
        <v>0</v>
      </c>
      <c r="I48" s="69">
        <f>VLOOKUP($F$5 &amp; $A48 &amp; $E48,AddRes,10,FALSE)</f>
        <v>42551</v>
      </c>
    </row>
    <row r="49" spans="1:12" s="65" customFormat="1" ht="12.75" customHeight="1">
      <c r="A49" s="66" t="s">
        <v>412</v>
      </c>
      <c r="B49" s="67"/>
      <c r="C49" s="68"/>
      <c r="E49" s="66" t="s">
        <v>420</v>
      </c>
      <c r="G49" s="150">
        <f t="shared" ref="G49:G53" si="10">VLOOKUP($F$5 &amp; $A49 &amp; $E49,AddRes,7,FALSE)</f>
        <v>0</v>
      </c>
      <c r="H49" s="150">
        <f t="shared" ref="H49:H53" si="11">VLOOKUP($F$5 &amp; $A49 &amp; $E49,AddRes,8,FALSE)</f>
        <v>0</v>
      </c>
      <c r="I49" s="69">
        <f t="shared" ref="I49:I53" si="12">VLOOKUP($F$5 &amp; $A49 &amp; $E49,AddRes,10,FALSE)</f>
        <v>42551</v>
      </c>
    </row>
    <row r="50" spans="1:12" s="65" customFormat="1" ht="12.75" customHeight="1">
      <c r="A50" s="66" t="s">
        <v>267</v>
      </c>
      <c r="B50" s="67"/>
      <c r="C50" s="68"/>
      <c r="E50" s="66" t="s">
        <v>647</v>
      </c>
      <c r="G50" s="150">
        <f>VLOOKUP($F$5 &amp; $A50 &amp; $E50,AddRes,7,FALSE)</f>
        <v>0</v>
      </c>
      <c r="H50" s="150">
        <f>VLOOKUP($F$5 &amp; $A50 &amp; $E50,AddRes,8,FALSE)</f>
        <v>0</v>
      </c>
      <c r="I50" s="69">
        <f>VLOOKUP($F$5 &amp; $A50 &amp; $E50,AddRes,10,FALSE)</f>
        <v>42551</v>
      </c>
    </row>
    <row r="51" spans="1:12" s="65" customFormat="1" ht="12.75" customHeight="1">
      <c r="A51" s="66" t="s">
        <v>241</v>
      </c>
      <c r="B51" s="67"/>
      <c r="C51" s="68"/>
      <c r="E51" s="66" t="s">
        <v>648</v>
      </c>
      <c r="G51" s="150">
        <f>VLOOKUP($F$5 &amp; $A51 &amp; $E51,AddRes,7,FALSE)</f>
        <v>0</v>
      </c>
      <c r="H51" s="150">
        <f>VLOOKUP($F$5 &amp; $A51 &amp; $E51,AddRes,8,FALSE)</f>
        <v>0</v>
      </c>
      <c r="I51" s="69">
        <f>VLOOKUP($F$5 &amp; $A51 &amp; $E51,AddRes,10,FALSE)</f>
        <v>42551</v>
      </c>
    </row>
    <row r="52" spans="1:12" s="65" customFormat="1" ht="12.75" customHeight="1">
      <c r="A52" s="66" t="s">
        <v>274</v>
      </c>
      <c r="B52" s="67"/>
      <c r="C52" s="68"/>
      <c r="E52" s="66" t="s">
        <v>649</v>
      </c>
      <c r="G52" s="150">
        <f>VLOOKUP($F$5 &amp; $A52 &amp; $E52,AddRes,7,FALSE)</f>
        <v>0</v>
      </c>
      <c r="H52" s="150">
        <f>VLOOKUP($F$5 &amp; $A52 &amp; $E52,AddRes,8,FALSE)</f>
        <v>0</v>
      </c>
      <c r="I52" s="69">
        <f>VLOOKUP($F$5 &amp; $A52 &amp; $E52,AddRes,10,FALSE)</f>
        <v>42551</v>
      </c>
    </row>
    <row r="53" spans="1:12" s="65" customFormat="1" ht="12.75" customHeight="1">
      <c r="A53" s="66" t="s">
        <v>242</v>
      </c>
      <c r="B53" s="67"/>
      <c r="C53" s="68"/>
      <c r="E53" s="66" t="s">
        <v>375</v>
      </c>
      <c r="G53" s="150">
        <f t="shared" si="10"/>
        <v>0</v>
      </c>
      <c r="H53" s="150">
        <f t="shared" si="11"/>
        <v>0</v>
      </c>
      <c r="I53" s="69">
        <f t="shared" si="12"/>
        <v>42551</v>
      </c>
    </row>
    <row r="54" spans="1:12" s="65" customFormat="1" ht="12.75" customHeight="1">
      <c r="A54" s="66" t="s">
        <v>233</v>
      </c>
      <c r="B54" s="67"/>
      <c r="C54" s="68"/>
      <c r="E54" s="66" t="s">
        <v>650</v>
      </c>
      <c r="G54" s="150">
        <f>VLOOKUP($F$5 &amp; $A54 &amp; $E54,AddRes,7,FALSE)</f>
        <v>0</v>
      </c>
      <c r="H54" s="150">
        <f>VLOOKUP($F$5 &amp; $A54 &amp; $E54,AddRes,8,FALSE)</f>
        <v>0</v>
      </c>
      <c r="I54" s="69">
        <f>VLOOKUP($F$5 &amp; $A54 &amp; $E54,AddRes,10,FALSE)</f>
        <v>42551</v>
      </c>
    </row>
    <row r="55" spans="1:12" s="65" customFormat="1" ht="12.75" customHeight="1">
      <c r="A55" s="66" t="s">
        <v>231</v>
      </c>
      <c r="B55" s="67"/>
      <c r="C55" s="68"/>
      <c r="E55" s="66" t="s">
        <v>651</v>
      </c>
      <c r="G55" s="150">
        <f>VLOOKUP($F$5 &amp; $A55 &amp; $E55,AddRes,7,FALSE)</f>
        <v>0</v>
      </c>
      <c r="H55" s="150">
        <f>VLOOKUP($F$5 &amp; $A55 &amp; $E55,AddRes,8,FALSE)</f>
        <v>0</v>
      </c>
      <c r="I55" s="69">
        <f>VLOOKUP($F$5 &amp; $A55 &amp; $E55,AddRes,10,FALSE)</f>
        <v>42551</v>
      </c>
      <c r="K55" s="75"/>
      <c r="L55" s="75"/>
    </row>
    <row r="56" spans="1:12" s="65" customFormat="1" ht="12.75" customHeight="1">
      <c r="A56" s="66" t="s">
        <v>429</v>
      </c>
      <c r="B56" s="67"/>
      <c r="C56" s="68"/>
      <c r="E56" s="66" t="s">
        <v>432</v>
      </c>
      <c r="G56" s="150">
        <f>VLOOKUP($F$5 &amp; $A56 &amp; $E56,AddRes,7,FALSE)</f>
        <v>0</v>
      </c>
      <c r="H56" s="150">
        <f>VLOOKUP($F$5 &amp; $A56 &amp; $E56,AddRes,8,FALSE)</f>
        <v>0</v>
      </c>
      <c r="I56" s="69">
        <f>VLOOKUP($F$5 &amp; $A56 &amp; $E56,AddRes,10,FALSE)</f>
        <v>42308</v>
      </c>
      <c r="K56" s="75"/>
      <c r="L56" s="75"/>
    </row>
    <row r="57" spans="1:12" s="65" customFormat="1" ht="12.75" customHeight="1">
      <c r="A57" s="66" t="s">
        <v>232</v>
      </c>
      <c r="B57" s="67"/>
      <c r="C57" s="68"/>
      <c r="E57" s="66" t="s">
        <v>652</v>
      </c>
      <c r="G57" s="150">
        <f>VLOOKUP($F$5 &amp; $A57 &amp; $E57,AddRes,7,FALSE)</f>
        <v>0</v>
      </c>
      <c r="H57" s="150">
        <f>VLOOKUP($F$5 &amp; $A57 &amp; $E57,AddRes,8,FALSE)</f>
        <v>0</v>
      </c>
      <c r="I57" s="69">
        <f>VLOOKUP($F$5 &amp; $A57 &amp; $E57,AddRes,10,FALSE)</f>
        <v>42551</v>
      </c>
    </row>
    <row r="58" spans="1:12" s="65" customFormat="1" ht="12.75" customHeight="1">
      <c r="A58" s="66"/>
      <c r="C58" s="70"/>
      <c r="D58" s="70"/>
      <c r="E58" s="70"/>
      <c r="F58" s="70"/>
      <c r="G58" s="71"/>
      <c r="H58" s="72"/>
      <c r="I58" s="73"/>
    </row>
    <row r="59" spans="1:12" s="65" customFormat="1" ht="12.75" customHeight="1">
      <c r="C59" s="74" t="s">
        <v>71</v>
      </c>
      <c r="D59" s="70"/>
      <c r="E59" s="70"/>
      <c r="F59" s="70"/>
      <c r="G59" s="75">
        <f>SUM(G45:G57)</f>
        <v>0</v>
      </c>
      <c r="H59" s="75">
        <f>SUM(H45:H57)</f>
        <v>0</v>
      </c>
      <c r="I59" s="73"/>
    </row>
    <row r="60" spans="1:12" s="65" customFormat="1" ht="12.75" customHeight="1">
      <c r="C60" s="70"/>
      <c r="D60" s="70"/>
      <c r="E60" s="70"/>
      <c r="F60" s="70"/>
      <c r="G60" s="70"/>
      <c r="I60" s="73"/>
    </row>
    <row r="61" spans="1:12" s="65" customFormat="1" ht="12.75" customHeight="1">
      <c r="C61" s="70"/>
      <c r="D61" s="70"/>
      <c r="E61" s="70"/>
      <c r="F61" s="70"/>
      <c r="G61" s="70"/>
      <c r="I61" s="73"/>
    </row>
    <row r="62" spans="1:12" s="65" customFormat="1" ht="12.75" customHeight="1">
      <c r="C62" s="70"/>
      <c r="D62" s="70"/>
      <c r="E62" s="70"/>
      <c r="F62" s="70"/>
      <c r="G62" s="70"/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  <row r="139" spans="3:9" s="65" customFormat="1" ht="12.75" customHeight="1">
      <c r="C139" s="70"/>
      <c r="D139" s="70"/>
      <c r="E139" s="70"/>
      <c r="F139" s="70"/>
      <c r="G139" s="70"/>
      <c r="I139" s="73"/>
    </row>
    <row r="140" spans="3:9" s="65" customFormat="1" ht="12.75" customHeight="1">
      <c r="C140" s="70"/>
      <c r="D140" s="70"/>
      <c r="E140" s="70"/>
      <c r="F140" s="70"/>
      <c r="G140" s="70"/>
      <c r="I140" s="73"/>
    </row>
    <row r="141" spans="3:9" s="65" customFormat="1" ht="12.75" customHeight="1">
      <c r="C141" s="70"/>
      <c r="D141" s="70"/>
      <c r="E141" s="70"/>
      <c r="F141" s="70"/>
      <c r="G141" s="70"/>
      <c r="I141" s="73"/>
    </row>
    <row r="142" spans="3:9" s="65" customFormat="1" ht="12.75" customHeight="1">
      <c r="C142" s="70"/>
      <c r="D142" s="70"/>
      <c r="E142" s="70"/>
      <c r="F142" s="70"/>
      <c r="G142" s="70"/>
      <c r="I142" s="73"/>
    </row>
    <row r="143" spans="3:9" s="65" customFormat="1" ht="12.75" customHeight="1">
      <c r="C143" s="70"/>
      <c r="D143" s="70"/>
      <c r="E143" s="70"/>
      <c r="F143" s="70"/>
      <c r="G143" s="70"/>
      <c r="I143" s="73"/>
    </row>
    <row r="144" spans="3:9" s="65" customFormat="1" ht="12.75" customHeight="1">
      <c r="C144" s="70"/>
      <c r="D144" s="70"/>
      <c r="E144" s="70"/>
      <c r="F144" s="70"/>
      <c r="G144" s="70"/>
      <c r="I144" s="73"/>
    </row>
    <row r="145" spans="3:9" s="65" customFormat="1" ht="12.75" customHeight="1">
      <c r="C145" s="70"/>
      <c r="D145" s="70"/>
      <c r="E145" s="70"/>
      <c r="F145" s="70"/>
      <c r="G145" s="70"/>
      <c r="I145" s="73"/>
    </row>
  </sheetData>
  <mergeCells count="2">
    <mergeCell ref="A8:I8"/>
    <mergeCell ref="G5:I5"/>
  </mergeCells>
  <phoneticPr fontId="0" type="noConversion"/>
  <conditionalFormatting sqref="G42">
    <cfRule type="cellIs" dxfId="14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L148"/>
  <sheetViews>
    <sheetView topLeftCell="A12" zoomScaleNormal="100" workbookViewId="0">
      <selection activeCell="E10" sqref="E10"/>
    </sheetView>
  </sheetViews>
  <sheetFormatPr defaultColWidth="9.140625" defaultRowHeight="12.75" customHeight="1"/>
  <cols>
    <col min="1" max="1" width="40.8554687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3.5703125" style="23" bestFit="1" customWidth="1"/>
    <col min="11" max="11" width="12.42578125" style="23" bestFit="1" customWidth="1"/>
    <col min="12" max="12" width="11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125</v>
      </c>
      <c r="G5" s="505" t="str">
        <f>VLOOKUP($F5,District,2,FALSE)</f>
        <v>Pierce College District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5587</v>
      </c>
      <c r="D10" s="48"/>
      <c r="E10" s="48">
        <f>IF(ISNA(VLOOKUP($F$5,Student,14,FALSE)),0,VLOOKUP($F$5,Student,14,FALSE))</f>
        <v>0</v>
      </c>
      <c r="F10" s="48"/>
      <c r="G10" s="48">
        <f>$E$10+$C$10+$A$10</f>
        <v>5587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17" si="0">IF(ISNA(VLOOKUP($F$5 &amp;A16, AllocSched,12,FALSE)),"-",VLOOKUP($F$5 &amp;A16, AllocSched,12,FALSE))</f>
        <v>18291036</v>
      </c>
      <c r="D16" s="112" t="s">
        <v>51</v>
      </c>
      <c r="E16" s="16">
        <f t="shared" ref="E16:E24" si="1">IF(ISNA(VLOOKUP($F$5 &amp; A16, AllocSched,13,FALSE)),"-",VLOOKUP($F$5 &amp; A16, AllocSched,13,FALSE))</f>
        <v>-18569</v>
      </c>
      <c r="F16" s="16" t="s">
        <v>51</v>
      </c>
      <c r="G16" s="16">
        <f t="shared" ref="G16:G24" si="2">IF(C16="-",E16,C16+E16)</f>
        <v>18272467</v>
      </c>
      <c r="H16" s="55" t="str">
        <f t="shared" ref="H16:H40" si="3">IF(ISNA(VLOOKUP($F$5 &amp; A16, AllocSched,9,FALSE))," ",VLOOKUP($F$5 &amp; A16, AllocSched,9,FALSE))</f>
        <v>001-011</v>
      </c>
      <c r="I16" s="56">
        <f t="shared" ref="I16:I40" si="4">IF(ISNA(VLOOKUP($F$5 &amp; A16, AllocSched,14,FALSE))," ",VLOOKUP($F$5 &amp; A16, AllocSched,14,FALSE))</f>
        <v>101</v>
      </c>
    </row>
    <row r="17" spans="1:9" ht="12.75" customHeight="1">
      <c r="A17" s="115" t="s">
        <v>171</v>
      </c>
      <c r="B17" s="54"/>
      <c r="C17" s="16">
        <f t="shared" si="0"/>
        <v>1506570</v>
      </c>
      <c r="D17" s="112"/>
      <c r="E17" s="16">
        <f t="shared" si="1"/>
        <v>18569</v>
      </c>
      <c r="F17" s="16"/>
      <c r="G17" s="16">
        <f t="shared" si="2"/>
        <v>1525139</v>
      </c>
      <c r="H17" s="55" t="str">
        <f t="shared" si="3"/>
        <v>08A-3E0</v>
      </c>
      <c r="I17" s="56" t="str">
        <f t="shared" si="4"/>
        <v>3E0</v>
      </c>
    </row>
    <row r="18" spans="1:9" s="272" customFormat="1" ht="12.75" customHeight="1">
      <c r="A18" s="38" t="s">
        <v>781</v>
      </c>
      <c r="B18" s="54"/>
      <c r="C18" s="16">
        <f t="shared" ref="C18:C24" si="5">IF(ISNA(VLOOKUP($F$5 &amp;A18, AllocSched,12,FALSE)),"-",VLOOKUP($F$5 &amp;A18, AllocSched,12,FALSE))</f>
        <v>0</v>
      </c>
      <c r="D18" s="112"/>
      <c r="E18" s="16">
        <f t="shared" si="1"/>
        <v>144611</v>
      </c>
      <c r="F18" s="16"/>
      <c r="G18" s="16">
        <f t="shared" si="2"/>
        <v>144611</v>
      </c>
      <c r="H18" s="55" t="str">
        <f>IF(ISNA(VLOOKUP($F$5 &amp; A18, AllocSched,9,FALSE))," ",VLOOKUP($F$5 &amp; A18, AllocSched,9,FALSE))</f>
        <v>001-011</v>
      </c>
      <c r="I18" s="56">
        <f>IF(ISNA(VLOOKUP($F$5 &amp; A18, AllocSched,14,FALSE))," ",VLOOKUP($F$5 &amp; A18, AllocSched,14,FALSE))</f>
        <v>101</v>
      </c>
    </row>
    <row r="19" spans="1:9" s="272" customFormat="1" ht="12.75" customHeight="1">
      <c r="A19" s="115" t="s">
        <v>448</v>
      </c>
      <c r="B19" s="54"/>
      <c r="C19" s="16">
        <f t="shared" si="5"/>
        <v>0</v>
      </c>
      <c r="D19" s="112"/>
      <c r="E19" s="16">
        <f t="shared" si="1"/>
        <v>401095</v>
      </c>
      <c r="F19" s="16"/>
      <c r="G19" s="16">
        <f t="shared" si="2"/>
        <v>401095</v>
      </c>
      <c r="H19" s="55" t="str">
        <f>IF(ISNA(VLOOKUP($F$5 &amp; A19, AllocSched,9,FALSE))," ",VLOOKUP($F$5 &amp; A19, AllocSched,9,FALSE))</f>
        <v>001-011</v>
      </c>
      <c r="I19" s="56">
        <f>IF(ISNA(VLOOKUP($F$5 &amp; A19, AllocSched,14,FALSE))," ",VLOOKUP($F$5 &amp; A19, AllocSched,14,FALSE))</f>
        <v>101</v>
      </c>
    </row>
    <row r="20" spans="1:9" s="269" customFormat="1" ht="12.75" customHeight="1">
      <c r="A20" s="115" t="s">
        <v>340</v>
      </c>
      <c r="B20" s="54"/>
      <c r="C20" s="16">
        <f t="shared" si="5"/>
        <v>0</v>
      </c>
      <c r="D20" s="112"/>
      <c r="E20" s="16">
        <f t="shared" si="1"/>
        <v>1203749</v>
      </c>
      <c r="F20" s="16"/>
      <c r="G20" s="16">
        <f t="shared" si="2"/>
        <v>1203749</v>
      </c>
      <c r="H20" s="55" t="str">
        <f>IF(ISNA(VLOOKUP($F$5 &amp; A20, AllocSched,9,FALSE))," ",VLOOKUP($F$5 &amp; A20, AllocSched,9,FALSE))</f>
        <v>001-011</v>
      </c>
      <c r="I20" s="56">
        <f>IF(ISNA(VLOOKUP($F$5 &amp; A20, AllocSched,14,FALSE))," ",VLOOKUP($F$5 &amp; A20, AllocSched,14,FALSE))</f>
        <v>101</v>
      </c>
    </row>
    <row r="21" spans="1:9" s="272" customFormat="1" ht="12.75" customHeight="1">
      <c r="A21" s="115" t="s">
        <v>253</v>
      </c>
      <c r="B21" s="54"/>
      <c r="C21" s="16">
        <f t="shared" si="5"/>
        <v>0</v>
      </c>
      <c r="D21" s="112"/>
      <c r="E21" s="16">
        <f t="shared" si="1"/>
        <v>29000</v>
      </c>
      <c r="F21" s="16"/>
      <c r="G21" s="16">
        <f t="shared" si="2"/>
        <v>29000</v>
      </c>
      <c r="H21" s="55" t="str">
        <f>IF(ISNA(VLOOKUP($F$5 &amp; A21, AllocSched,9,FALSE))," ",VLOOKUP($F$5 &amp; A21, AllocSched,9,FALSE))</f>
        <v>001-011</v>
      </c>
      <c r="I21" s="56">
        <f>IF(ISNA(VLOOKUP($F$5 &amp; A21, AllocSched,14,FALSE))," ",VLOOKUP($F$5 &amp; A21, AllocSched,14,FALSE))</f>
        <v>101</v>
      </c>
    </row>
    <row r="22" spans="1:9" ht="12.75" customHeight="1">
      <c r="A22" s="115" t="s">
        <v>207</v>
      </c>
      <c r="B22" s="54"/>
      <c r="C22" s="16">
        <f t="shared" si="5"/>
        <v>0</v>
      </c>
      <c r="D22" s="112"/>
      <c r="E22" s="16">
        <f t="shared" si="1"/>
        <v>145510</v>
      </c>
      <c r="F22" s="16"/>
      <c r="G22" s="16">
        <f t="shared" si="2"/>
        <v>145510</v>
      </c>
      <c r="H22" s="55" t="str">
        <f t="shared" si="3"/>
        <v>001-011</v>
      </c>
      <c r="I22" s="56">
        <f t="shared" si="4"/>
        <v>101</v>
      </c>
    </row>
    <row r="23" spans="1:9" s="272" customFormat="1" ht="12.75" customHeight="1">
      <c r="A23" s="115" t="s">
        <v>203</v>
      </c>
      <c r="B23" s="54"/>
      <c r="C23" s="16">
        <f t="shared" si="5"/>
        <v>0</v>
      </c>
      <c r="D23" s="112"/>
      <c r="E23" s="16">
        <f t="shared" si="1"/>
        <v>-5504</v>
      </c>
      <c r="F23" s="16"/>
      <c r="G23" s="16">
        <f t="shared" si="2"/>
        <v>-5504</v>
      </c>
      <c r="H23" s="55" t="str">
        <f>IF(ISNA(VLOOKUP($F$5 &amp; A23, AllocSched,9,FALSE))," ",VLOOKUP($F$5 &amp; A23, AllocSched,9,FALSE))</f>
        <v>001-011</v>
      </c>
      <c r="I23" s="56">
        <f>IF(ISNA(VLOOKUP($F$5 &amp; A23, AllocSched,14,FALSE))," ",VLOOKUP($F$5 &amp; A23, AllocSched,14,FALSE))</f>
        <v>101</v>
      </c>
    </row>
    <row r="24" spans="1:9" s="272" customFormat="1" ht="12.75" customHeight="1">
      <c r="A24" s="115" t="s">
        <v>454</v>
      </c>
      <c r="B24" s="54"/>
      <c r="C24" s="16">
        <f t="shared" si="5"/>
        <v>0</v>
      </c>
      <c r="D24" s="112"/>
      <c r="E24" s="16">
        <f t="shared" si="1"/>
        <v>9578</v>
      </c>
      <c r="F24" s="16"/>
      <c r="G24" s="16">
        <f t="shared" si="2"/>
        <v>9578</v>
      </c>
      <c r="H24" s="55" t="str">
        <f>IF(ISNA(VLOOKUP($F$5 &amp; A24, AllocSched,9,FALSE))," ",VLOOKUP($F$5 &amp; A24, AllocSched,9,FALSE))</f>
        <v>001-011</v>
      </c>
      <c r="I24" s="56">
        <f>IF(ISNA(VLOOKUP($F$5 &amp; A24, AllocSched,14,FALSE))," ",VLOOKUP($F$5 &amp; A24, AllocSched,14,FALSE))</f>
        <v>101</v>
      </c>
    </row>
    <row r="25" spans="1:9" ht="12.75" customHeight="1">
      <c r="A25" s="115"/>
      <c r="B25" s="54"/>
      <c r="C25" s="16"/>
      <c r="D25" s="112"/>
      <c r="E25" s="16"/>
      <c r="F25" s="16"/>
      <c r="G25" s="16"/>
      <c r="H25" s="55" t="str">
        <f t="shared" si="3"/>
        <v xml:space="preserve"> </v>
      </c>
      <c r="I25" s="56" t="str">
        <f t="shared" si="4"/>
        <v xml:space="preserve"> </v>
      </c>
    </row>
    <row r="26" spans="1:9" s="83" customFormat="1">
      <c r="A26" s="114" t="s">
        <v>168</v>
      </c>
      <c r="B26" s="84"/>
      <c r="C26" s="16"/>
      <c r="D26" s="112"/>
      <c r="E26" s="16"/>
      <c r="F26" s="16"/>
      <c r="G26" s="16"/>
      <c r="H26" s="55" t="str">
        <f t="shared" si="3"/>
        <v xml:space="preserve"> </v>
      </c>
      <c r="I26" s="56" t="str">
        <f t="shared" si="4"/>
        <v xml:space="preserve"> </v>
      </c>
    </row>
    <row r="27" spans="1:9" ht="12.75" customHeight="1">
      <c r="A27" s="38" t="s">
        <v>222</v>
      </c>
      <c r="C27" s="16">
        <f>IF(ISNA(VLOOKUP($F$5 &amp;A27, AllocSched,12,FALSE)),"-",VLOOKUP($F$5 &amp;A27, AllocSched,12,FALSE))</f>
        <v>114033</v>
      </c>
      <c r="D27" s="112"/>
      <c r="E27" s="16">
        <f>IF(ISNA(VLOOKUP($F$5 &amp; A27, AllocSched,13,FALSE)),"-",VLOOKUP($F$5 &amp; A27, AllocSched,13,FALSE))</f>
        <v>-114033</v>
      </c>
      <c r="F27" s="16"/>
      <c r="G27" s="16">
        <f>IF(C27="-",E27,C27+E27)</f>
        <v>0</v>
      </c>
      <c r="H27" s="55" t="str">
        <f>IF(ISNA(VLOOKUP($F$5 &amp; A27, AllocSched,9,FALSE))," ",VLOOKUP($F$5 &amp; A27, AllocSched,9,FALSE))</f>
        <v>08A-3E0</v>
      </c>
      <c r="I27" s="56" t="str">
        <f>IF(ISNA(VLOOKUP($F$5 &amp; A27, AllocSched,14,FALSE))," ",VLOOKUP($F$5 &amp; A27, AllocSched,14,FALSE))</f>
        <v>3E0</v>
      </c>
    </row>
    <row r="28" spans="1:9" ht="12.75" customHeight="1">
      <c r="A28" s="38" t="s">
        <v>173</v>
      </c>
      <c r="C28" s="16">
        <f>IF(ISNA(VLOOKUP($F$5 &amp;A28, AllocSched,12,FALSE)),"-",VLOOKUP($F$5 &amp;A28, AllocSched,12,FALSE))</f>
        <v>204157</v>
      </c>
      <c r="D28" s="112"/>
      <c r="E28" s="16">
        <f>IF(ISNA(VLOOKUP($F$5 &amp; A28, AllocSched,13,FALSE)),"-",VLOOKUP($F$5 &amp; A28, AllocSched,13,FALSE))</f>
        <v>0</v>
      </c>
      <c r="F28" s="16"/>
      <c r="G28" s="16">
        <f>IF(C28="-",E28,C28+E28)</f>
        <v>204157</v>
      </c>
      <c r="H28" s="55" t="str">
        <f>IF(ISNA(VLOOKUP($F$5 &amp; A28, AllocSched,9,FALSE))," ",VLOOKUP($F$5 &amp; A28, AllocSched,9,FALSE))</f>
        <v>001-011</v>
      </c>
      <c r="I28" s="56">
        <f t="shared" si="4"/>
        <v>101</v>
      </c>
    </row>
    <row r="29" spans="1:9" ht="12.75" customHeight="1">
      <c r="A29" s="38" t="s">
        <v>170</v>
      </c>
      <c r="C29" s="16">
        <f t="shared" ref="C29:C39" si="6">IF(ISNA(VLOOKUP($F$5 &amp;A29, AllocSched,12,FALSE)),"-",VLOOKUP($F$5 &amp;A29, AllocSched,12,FALSE))</f>
        <v>86872</v>
      </c>
      <c r="D29" s="112"/>
      <c r="E29" s="16">
        <f t="shared" ref="E29:E40" si="7">IF(ISNA(VLOOKUP($F$5 &amp; A29, AllocSched,13,FALSE)),"-",VLOOKUP($F$5 &amp; A29, AllocSched,13,FALSE))</f>
        <v>613</v>
      </c>
      <c r="F29" s="16"/>
      <c r="G29" s="16">
        <f t="shared" ref="G29:G39" si="8">IF(C29="-",E29,C29+E29)</f>
        <v>87485</v>
      </c>
      <c r="H29" s="55" t="str">
        <f t="shared" si="3"/>
        <v>001-011</v>
      </c>
      <c r="I29" s="56">
        <f t="shared" si="4"/>
        <v>101</v>
      </c>
    </row>
    <row r="30" spans="1:9" ht="12.75" customHeight="1">
      <c r="A30" s="115" t="s">
        <v>162</v>
      </c>
      <c r="B30" s="54"/>
      <c r="C30" s="16">
        <f>IF(ISNA(VLOOKUP($F$5 &amp;A30, AllocSched,12,FALSE)),"-",VLOOKUP($F$5 &amp;A30, AllocSched,12,FALSE))</f>
        <v>128815</v>
      </c>
      <c r="D30" s="112"/>
      <c r="E30" s="16">
        <f>IF(ISNA(VLOOKUP($F$5 &amp; A30, AllocSched,13,FALSE)),"-",VLOOKUP($F$5 &amp; A30, AllocSched,13,FALSE))</f>
        <v>-128815</v>
      </c>
      <c r="F30" s="16"/>
      <c r="G30" s="16">
        <f>IF(C30="-",E30,C30+E30)</f>
        <v>0</v>
      </c>
      <c r="H30" s="55" t="str">
        <f>IF(ISNA(VLOOKUP($F$5 &amp; A30, AllocSched,9,FALSE))," ",VLOOKUP($F$5 &amp; A30, AllocSched,9,FALSE))</f>
        <v>001-011</v>
      </c>
      <c r="I30" s="56">
        <f t="shared" si="4"/>
        <v>101</v>
      </c>
    </row>
    <row r="31" spans="1:9" ht="12.75" customHeight="1">
      <c r="A31" s="115" t="s">
        <v>151</v>
      </c>
      <c r="B31" s="54"/>
      <c r="C31" s="16">
        <f t="shared" si="6"/>
        <v>630000</v>
      </c>
      <c r="D31" s="112"/>
      <c r="E31" s="16">
        <f t="shared" si="7"/>
        <v>0</v>
      </c>
      <c r="F31" s="16"/>
      <c r="G31" s="16">
        <f t="shared" si="8"/>
        <v>630000</v>
      </c>
      <c r="H31" s="55" t="str">
        <f t="shared" si="3"/>
        <v>08A-3E0</v>
      </c>
      <c r="I31" s="56" t="str">
        <f t="shared" si="4"/>
        <v>3E0</v>
      </c>
    </row>
    <row r="32" spans="1:9" ht="12.75" customHeight="1">
      <c r="A32" s="115" t="s">
        <v>150</v>
      </c>
      <c r="B32" s="54"/>
      <c r="C32" s="16">
        <f t="shared" si="6"/>
        <v>58822</v>
      </c>
      <c r="D32" s="112"/>
      <c r="E32" s="16">
        <f t="shared" si="7"/>
        <v>0</v>
      </c>
      <c r="F32" s="16"/>
      <c r="G32" s="16">
        <f t="shared" si="8"/>
        <v>58822</v>
      </c>
      <c r="H32" s="55" t="str">
        <f t="shared" si="3"/>
        <v>001-011</v>
      </c>
      <c r="I32" s="56">
        <f t="shared" si="4"/>
        <v>101</v>
      </c>
    </row>
    <row r="33" spans="1:11" ht="12.75" customHeight="1">
      <c r="A33" s="115" t="s">
        <v>272</v>
      </c>
      <c r="B33" s="54"/>
      <c r="C33" s="16">
        <f t="shared" si="6"/>
        <v>66425</v>
      </c>
      <c r="D33" s="112"/>
      <c r="E33" s="16">
        <f t="shared" si="7"/>
        <v>0</v>
      </c>
      <c r="F33" s="16"/>
      <c r="G33" s="16">
        <f t="shared" si="8"/>
        <v>66425</v>
      </c>
      <c r="H33" s="55" t="str">
        <f t="shared" si="3"/>
        <v>001-BD1</v>
      </c>
      <c r="I33" s="56" t="str">
        <f t="shared" si="4"/>
        <v>BD1</v>
      </c>
    </row>
    <row r="34" spans="1:11" ht="12.75" customHeight="1">
      <c r="A34" s="115" t="s">
        <v>273</v>
      </c>
      <c r="B34" s="54"/>
      <c r="C34" s="16">
        <f>IF(ISNA(VLOOKUP($F$5 &amp;A34, AllocSched,12,FALSE)),"-",VLOOKUP($F$5 &amp;A34, AllocSched,12,FALSE))</f>
        <v>201877</v>
      </c>
      <c r="D34" s="112"/>
      <c r="E34" s="16">
        <f>IF(ISNA(VLOOKUP($F$5 &amp; A34, AllocSched,13,FALSE)),"-",VLOOKUP($F$5 &amp; A34, AllocSched,13,FALSE))</f>
        <v>-201877</v>
      </c>
      <c r="F34" s="16"/>
      <c r="G34" s="16">
        <f>IF(C34="-",E34,C34+E34)</f>
        <v>0</v>
      </c>
      <c r="H34" s="55" t="str">
        <f>IF(ISNA(VLOOKUP($F$5 &amp; A34, AllocSched,9,FALSE))," ",VLOOKUP($F$5 &amp; A34, AllocSched,9,FALSE))</f>
        <v>001-BD1</v>
      </c>
      <c r="I34" s="56" t="str">
        <f>IF(ISNA(VLOOKUP($F$5 &amp; A34, AllocSched,14,FALSE))," ",VLOOKUP($F$5 &amp; A34, AllocSched,14,FALSE))</f>
        <v>BD1</v>
      </c>
    </row>
    <row r="35" spans="1:11" ht="12.75" customHeight="1">
      <c r="A35" s="115" t="s">
        <v>6</v>
      </c>
      <c r="B35" s="54"/>
      <c r="C35" s="16">
        <f t="shared" si="6"/>
        <v>42021</v>
      </c>
      <c r="D35" s="112"/>
      <c r="E35" s="16">
        <f t="shared" si="7"/>
        <v>3979</v>
      </c>
      <c r="F35" s="16"/>
      <c r="G35" s="16">
        <f t="shared" si="8"/>
        <v>46000</v>
      </c>
      <c r="H35" s="55" t="str">
        <f t="shared" si="3"/>
        <v>001-011</v>
      </c>
      <c r="I35" s="56">
        <f t="shared" si="4"/>
        <v>101</v>
      </c>
    </row>
    <row r="36" spans="1:11" ht="12.75" customHeight="1">
      <c r="A36" s="115" t="s">
        <v>66</v>
      </c>
      <c r="B36" s="54"/>
      <c r="C36" s="16">
        <f t="shared" si="6"/>
        <v>372282</v>
      </c>
      <c r="D36" s="112"/>
      <c r="E36" s="16">
        <f t="shared" si="7"/>
        <v>0</v>
      </c>
      <c r="F36" s="16"/>
      <c r="G36" s="16">
        <f t="shared" si="8"/>
        <v>372282</v>
      </c>
      <c r="H36" s="55" t="str">
        <f t="shared" si="3"/>
        <v>08A-3E0</v>
      </c>
      <c r="I36" s="56" t="str">
        <f t="shared" si="4"/>
        <v>3E0</v>
      </c>
      <c r="J36" s="29"/>
      <c r="K36" s="29"/>
    </row>
    <row r="37" spans="1:11" ht="12.75" customHeight="1">
      <c r="A37" s="115" t="s">
        <v>65</v>
      </c>
      <c r="B37" s="54"/>
      <c r="C37" s="16">
        <v>50470</v>
      </c>
      <c r="D37" s="112"/>
      <c r="E37" s="16">
        <v>0</v>
      </c>
      <c r="F37" s="16"/>
      <c r="G37" s="16">
        <f t="shared" si="8"/>
        <v>50470</v>
      </c>
      <c r="H37" s="55" t="str">
        <f t="shared" si="3"/>
        <v>001-011</v>
      </c>
      <c r="I37" s="56">
        <f t="shared" si="4"/>
        <v>101</v>
      </c>
    </row>
    <row r="38" spans="1:11" ht="12.75" customHeight="1">
      <c r="A38" s="115" t="s">
        <v>333</v>
      </c>
      <c r="B38" s="54"/>
      <c r="C38" s="16">
        <f t="shared" si="6"/>
        <v>154633</v>
      </c>
      <c r="D38" s="112"/>
      <c r="E38" s="16">
        <f t="shared" si="7"/>
        <v>0</v>
      </c>
      <c r="F38" s="16"/>
      <c r="G38" s="16">
        <f t="shared" si="8"/>
        <v>154633</v>
      </c>
      <c r="H38" s="55" t="str">
        <f t="shared" si="3"/>
        <v>001-011</v>
      </c>
      <c r="I38" s="56">
        <f t="shared" si="4"/>
        <v>101</v>
      </c>
    </row>
    <row r="39" spans="1:11" ht="12.75" customHeight="1">
      <c r="A39" s="115" t="s">
        <v>332</v>
      </c>
      <c r="B39" s="54"/>
      <c r="C39" s="16">
        <f t="shared" si="6"/>
        <v>738638</v>
      </c>
      <c r="D39" s="112"/>
      <c r="E39" s="16">
        <f t="shared" si="7"/>
        <v>0</v>
      </c>
      <c r="F39" s="16"/>
      <c r="G39" s="16">
        <f t="shared" si="8"/>
        <v>738638</v>
      </c>
      <c r="H39" s="55" t="str">
        <f t="shared" si="3"/>
        <v>001-AC1</v>
      </c>
      <c r="I39" s="56">
        <f t="shared" si="4"/>
        <v>123</v>
      </c>
    </row>
    <row r="40" spans="1:11" ht="12.75" customHeight="1">
      <c r="A40" s="115" t="s">
        <v>767</v>
      </c>
      <c r="B40" s="54"/>
      <c r="C40" s="16" t="str">
        <f>IF(ISNA(VLOOKUP($F$5 &amp;A40, AllocSched,12,FALSE)),"-",VLOOKUP($F$5 &amp;A40, AllocSched,12,FALSE))</f>
        <v>-</v>
      </c>
      <c r="D40" s="112"/>
      <c r="E40" s="16" t="str">
        <f t="shared" si="7"/>
        <v>-</v>
      </c>
      <c r="F40" s="16"/>
      <c r="G40" s="16" t="str">
        <f>IF(C40="-",E40,C40+E40)</f>
        <v>-</v>
      </c>
      <c r="H40" s="55" t="str">
        <f t="shared" si="3"/>
        <v xml:space="preserve"> </v>
      </c>
      <c r="I40" s="56" t="str">
        <f t="shared" si="4"/>
        <v xml:space="preserve"> </v>
      </c>
    </row>
    <row r="41" spans="1:11" s="272" customFormat="1" ht="12.75" customHeight="1">
      <c r="A41" s="281" t="s">
        <v>451</v>
      </c>
      <c r="B41" s="54"/>
      <c r="C41" s="16">
        <f>IF(ISNA(VLOOKUP($F$5 &amp;A41, AllocSched,12,FALSE)),"-",VLOOKUP($F$5 &amp;A41, AllocSched,12,FALSE))</f>
        <v>0</v>
      </c>
      <c r="D41" s="112"/>
      <c r="E41" s="16">
        <f>IF(ISNA(VLOOKUP($F$5 &amp; A41, AllocSched,13,FALSE)),"-",VLOOKUP($F$5 &amp; A41, AllocSched,13,FALSE))</f>
        <v>212691</v>
      </c>
      <c r="F41" s="16"/>
      <c r="G41" s="16">
        <f>IF(C41="-",E41,C41+E41)</f>
        <v>212691</v>
      </c>
      <c r="H41" s="55" t="str">
        <f>IF(ISNA(VLOOKUP($F$5 &amp; A41, AllocSched,9,FALSE))," ",VLOOKUP($F$5 &amp; A41, AllocSched,9,FALSE))</f>
        <v>001-011</v>
      </c>
      <c r="I41" s="56">
        <f>IF(ISNA(VLOOKUP($F$5 &amp; A41, AllocSched,14,FALSE))," ",VLOOKUP($F$5 &amp; A41, AllocSched,14,FALSE))</f>
        <v>101</v>
      </c>
    </row>
    <row r="42" spans="1:11" ht="12.75" customHeight="1">
      <c r="A42" s="54"/>
      <c r="B42" s="54"/>
      <c r="C42" s="16"/>
      <c r="D42" s="112"/>
      <c r="E42" s="16"/>
      <c r="F42" s="16"/>
      <c r="G42" s="16"/>
      <c r="H42" s="55"/>
      <c r="I42" s="56"/>
    </row>
    <row r="43" spans="1:11" ht="13.5" thickBot="1">
      <c r="A43" s="89" t="s">
        <v>174</v>
      </c>
      <c r="B43" s="57" t="s">
        <v>51</v>
      </c>
      <c r="C43" s="111">
        <f>SUM(C16:C41)</f>
        <v>22646651</v>
      </c>
      <c r="D43" s="113" t="s">
        <v>51</v>
      </c>
      <c r="E43" s="111">
        <f>SUM(E16:E41)</f>
        <v>1700597</v>
      </c>
      <c r="F43" s="113" t="s">
        <v>51</v>
      </c>
      <c r="G43" s="111">
        <f>SUM(G16:G41)</f>
        <v>24347248</v>
      </c>
      <c r="J43" s="25"/>
      <c r="K43" s="30"/>
    </row>
    <row r="44" spans="1:11" ht="12.75" customHeight="1" thickTop="1">
      <c r="A44" s="84"/>
      <c r="B44" s="84"/>
      <c r="C44" s="58">
        <v>0</v>
      </c>
      <c r="D44" s="58"/>
      <c r="E44" s="90"/>
      <c r="F44" s="90"/>
      <c r="G44" s="90"/>
    </row>
    <row r="45" spans="1:11" s="65" customFormat="1" ht="25.5">
      <c r="A45" s="59" t="s">
        <v>156</v>
      </c>
      <c r="B45" s="60"/>
      <c r="C45" s="61"/>
      <c r="D45" s="62"/>
      <c r="E45" s="63" t="s">
        <v>67</v>
      </c>
      <c r="F45" s="62"/>
      <c r="G45" s="64" t="s">
        <v>163</v>
      </c>
      <c r="H45" s="64" t="s">
        <v>164</v>
      </c>
      <c r="I45" s="98" t="s">
        <v>70</v>
      </c>
    </row>
    <row r="46" spans="1:11" s="65" customFormat="1" ht="12.75" customHeight="1">
      <c r="A46" s="66" t="s">
        <v>240</v>
      </c>
      <c r="B46" s="67"/>
      <c r="C46" s="26" t="s">
        <v>5</v>
      </c>
      <c r="E46" s="66" t="s">
        <v>376</v>
      </c>
      <c r="G46" s="150">
        <f>VLOOKUP($F$5 &amp; $A46 &amp; $E46,AddRes,7,FALSE)</f>
        <v>0</v>
      </c>
      <c r="H46" s="150">
        <f>VLOOKUP($F$5 &amp; $A46 &amp; $E46,AddRes,8,FALSE)</f>
        <v>0</v>
      </c>
      <c r="I46" s="69">
        <f>VLOOKUP($F$5 &amp; $A46 &amp; $E46,AddRes,10,FALSE)</f>
        <v>42277</v>
      </c>
      <c r="J46" s="198"/>
    </row>
    <row r="47" spans="1:11" s="65" customFormat="1" ht="12.75" customHeight="1">
      <c r="A47" s="66" t="s">
        <v>497</v>
      </c>
      <c r="B47" s="67"/>
      <c r="C47" s="26" t="s">
        <v>5</v>
      </c>
      <c r="E47" s="66" t="s">
        <v>653</v>
      </c>
      <c r="G47" s="150">
        <f>VLOOKUP($F$5 &amp; $A47 &amp; $E47,AddRes,7,FALSE)</f>
        <v>0</v>
      </c>
      <c r="H47" s="150">
        <f>VLOOKUP($F$5 &amp; $A47 &amp; $E47,AddRes,8,FALSE)</f>
        <v>0</v>
      </c>
      <c r="I47" s="69">
        <f>VLOOKUP($F$5 &amp; $A47 &amp; $E47,AddRes,10,FALSE)</f>
        <v>42551</v>
      </c>
    </row>
    <row r="48" spans="1:11" s="65" customFormat="1" ht="12.75" customHeight="1">
      <c r="A48" s="66" t="s">
        <v>498</v>
      </c>
      <c r="B48" s="67"/>
      <c r="C48" s="26" t="s">
        <v>5</v>
      </c>
      <c r="E48" s="66" t="s">
        <v>654</v>
      </c>
      <c r="G48" s="150">
        <f>VLOOKUP($F$5 &amp; $A48 &amp; $E48,AddRes,7,FALSE)</f>
        <v>0</v>
      </c>
      <c r="H48" s="150">
        <f>VLOOKUP($F$5 &amp; $A48 &amp; $E48,AddRes,8,FALSE)</f>
        <v>0</v>
      </c>
      <c r="I48" s="69">
        <f>VLOOKUP($F$5 &amp; $A48 &amp; $E48,AddRes,10,FALSE)</f>
        <v>42551</v>
      </c>
    </row>
    <row r="49" spans="1:12" s="65" customFormat="1" ht="12.75" customHeight="1">
      <c r="A49" s="66" t="s">
        <v>505</v>
      </c>
      <c r="B49" s="67"/>
      <c r="C49" s="26" t="s">
        <v>5</v>
      </c>
      <c r="E49" s="66" t="s">
        <v>655</v>
      </c>
      <c r="G49" s="150">
        <f>VLOOKUP($F$5 &amp; $A49 &amp; $E49,AddRes,7,FALSE)</f>
        <v>0</v>
      </c>
      <c r="H49" s="150">
        <f>VLOOKUP($F$5 &amp; $A49 &amp; $E49,AddRes,8,FALSE)</f>
        <v>0</v>
      </c>
      <c r="I49" s="69">
        <f>VLOOKUP($F$5 &amp; $A49 &amp; $E49,AddRes,10,FALSE)</f>
        <v>42551</v>
      </c>
    </row>
    <row r="50" spans="1:12" s="65" customFormat="1" ht="12.75" customHeight="1">
      <c r="A50" s="66" t="s">
        <v>412</v>
      </c>
      <c r="B50" s="67"/>
      <c r="C50" s="26" t="s">
        <v>5</v>
      </c>
      <c r="E50" s="66" t="s">
        <v>421</v>
      </c>
      <c r="G50" s="150">
        <f t="shared" ref="G50:G60" si="9">VLOOKUP($F$5 &amp; $A50 &amp; $E50,AddRes,7,FALSE)</f>
        <v>0</v>
      </c>
      <c r="H50" s="150">
        <f t="shared" ref="H50:H60" si="10">VLOOKUP($F$5 &amp; $A50 &amp; $E50,AddRes,8,FALSE)</f>
        <v>0</v>
      </c>
      <c r="I50" s="69">
        <f t="shared" ref="I50:I60" si="11">VLOOKUP($F$5 &amp; $A50 &amp; $E50,AddRes,10,FALSE)</f>
        <v>42551</v>
      </c>
      <c r="J50" s="198"/>
    </row>
    <row r="51" spans="1:12" s="65" customFormat="1" ht="12.75" customHeight="1">
      <c r="A51" s="66" t="s">
        <v>241</v>
      </c>
      <c r="B51" s="67"/>
      <c r="C51" s="26" t="s">
        <v>5</v>
      </c>
      <c r="E51" s="66" t="s">
        <v>656</v>
      </c>
      <c r="G51" s="150">
        <f t="shared" ref="G51:G59" si="12">VLOOKUP($F$5 &amp; $A51 &amp; $E51,AddRes,7,FALSE)</f>
        <v>0</v>
      </c>
      <c r="H51" s="150">
        <f t="shared" ref="H51:H58" si="13">VLOOKUP($F$5 &amp; $A51 &amp; $E51,AddRes,8,FALSE)</f>
        <v>0</v>
      </c>
      <c r="I51" s="69">
        <f t="shared" ref="I51:I58" si="14">VLOOKUP($F$5 &amp; $A51 &amp; $E51,AddRes,10,FALSE)</f>
        <v>42551</v>
      </c>
    </row>
    <row r="52" spans="1:12" s="65" customFormat="1" ht="12.75" customHeight="1">
      <c r="A52" s="66" t="s">
        <v>274</v>
      </c>
      <c r="B52" s="67"/>
      <c r="C52" s="26" t="s">
        <v>5</v>
      </c>
      <c r="E52" s="66" t="s">
        <v>657</v>
      </c>
      <c r="G52" s="150">
        <f t="shared" si="12"/>
        <v>0</v>
      </c>
      <c r="H52" s="150">
        <f t="shared" si="13"/>
        <v>0</v>
      </c>
      <c r="I52" s="69">
        <f t="shared" si="14"/>
        <v>42551</v>
      </c>
      <c r="J52" s="198"/>
    </row>
    <row r="53" spans="1:12" s="65" customFormat="1" ht="12.75" customHeight="1">
      <c r="A53" s="66" t="s">
        <v>235</v>
      </c>
      <c r="B53" s="67"/>
      <c r="C53" s="26" t="s">
        <v>5</v>
      </c>
      <c r="E53" s="66" t="s">
        <v>658</v>
      </c>
      <c r="G53" s="150">
        <f t="shared" si="12"/>
        <v>0</v>
      </c>
      <c r="H53" s="150">
        <f t="shared" si="13"/>
        <v>0</v>
      </c>
      <c r="I53" s="69">
        <f t="shared" si="14"/>
        <v>42551</v>
      </c>
    </row>
    <row r="54" spans="1:12" s="65" customFormat="1" ht="12.75" customHeight="1">
      <c r="A54" s="66" t="s">
        <v>233</v>
      </c>
      <c r="B54" s="67"/>
      <c r="C54" s="26" t="s">
        <v>5</v>
      </c>
      <c r="E54" s="66" t="s">
        <v>659</v>
      </c>
      <c r="G54" s="150">
        <f t="shared" si="12"/>
        <v>0</v>
      </c>
      <c r="H54" s="150">
        <f t="shared" si="13"/>
        <v>0</v>
      </c>
      <c r="I54" s="69">
        <f t="shared" si="14"/>
        <v>42551</v>
      </c>
    </row>
    <row r="55" spans="1:12" s="65" customFormat="1" ht="12.75" customHeight="1">
      <c r="A55" s="66" t="s">
        <v>359</v>
      </c>
      <c r="B55" s="67"/>
      <c r="C55" s="26" t="s">
        <v>5</v>
      </c>
      <c r="E55" s="66" t="s">
        <v>660</v>
      </c>
      <c r="G55" s="150">
        <f t="shared" si="12"/>
        <v>0</v>
      </c>
      <c r="H55" s="150">
        <f t="shared" si="13"/>
        <v>0</v>
      </c>
      <c r="I55" s="69">
        <f t="shared" si="14"/>
        <v>42551</v>
      </c>
    </row>
    <row r="56" spans="1:12" s="65" customFormat="1" ht="12.75" customHeight="1">
      <c r="A56" s="66" t="s">
        <v>231</v>
      </c>
      <c r="B56" s="67"/>
      <c r="C56" s="26" t="s">
        <v>5</v>
      </c>
      <c r="E56" s="66" t="s">
        <v>661</v>
      </c>
      <c r="G56" s="150">
        <f t="shared" si="12"/>
        <v>0</v>
      </c>
      <c r="H56" s="150">
        <f t="shared" si="13"/>
        <v>0</v>
      </c>
      <c r="I56" s="69">
        <f t="shared" si="14"/>
        <v>42551</v>
      </c>
      <c r="K56" s="75"/>
      <c r="L56" s="75"/>
    </row>
    <row r="57" spans="1:12" s="65" customFormat="1" ht="12.75" customHeight="1">
      <c r="A57" s="66" t="s">
        <v>354</v>
      </c>
      <c r="B57" s="67"/>
      <c r="C57" s="26" t="s">
        <v>5</v>
      </c>
      <c r="E57" s="66" t="s">
        <v>662</v>
      </c>
      <c r="G57" s="150">
        <f t="shared" si="12"/>
        <v>0</v>
      </c>
      <c r="H57" s="150">
        <f t="shared" si="13"/>
        <v>0</v>
      </c>
      <c r="I57" s="69">
        <f t="shared" si="14"/>
        <v>42551</v>
      </c>
      <c r="K57" s="75"/>
      <c r="L57" s="75"/>
    </row>
    <row r="58" spans="1:12" s="65" customFormat="1" ht="12.75" customHeight="1">
      <c r="A58" s="66" t="s">
        <v>232</v>
      </c>
      <c r="B58" s="67"/>
      <c r="C58" s="26" t="s">
        <v>5</v>
      </c>
      <c r="E58" s="66" t="s">
        <v>663</v>
      </c>
      <c r="G58" s="150">
        <f t="shared" si="12"/>
        <v>0</v>
      </c>
      <c r="H58" s="150">
        <f t="shared" si="13"/>
        <v>0</v>
      </c>
      <c r="I58" s="69">
        <f t="shared" si="14"/>
        <v>42551</v>
      </c>
    </row>
    <row r="59" spans="1:12" s="65" customFormat="1" ht="12.75" customHeight="1">
      <c r="A59" s="66" t="s">
        <v>242</v>
      </c>
      <c r="B59" s="67"/>
      <c r="C59" s="26" t="s">
        <v>216</v>
      </c>
      <c r="E59" s="66" t="s">
        <v>276</v>
      </c>
      <c r="G59" s="150">
        <f t="shared" si="12"/>
        <v>0</v>
      </c>
      <c r="H59" s="150">
        <f t="shared" si="10"/>
        <v>0</v>
      </c>
      <c r="I59" s="69">
        <f t="shared" si="11"/>
        <v>42551</v>
      </c>
    </row>
    <row r="60" spans="1:12" s="65" customFormat="1" ht="12.75" customHeight="1">
      <c r="A60" s="66" t="s">
        <v>242</v>
      </c>
      <c r="B60" s="67"/>
      <c r="C60" s="26" t="s">
        <v>236</v>
      </c>
      <c r="E60" s="66" t="s">
        <v>377</v>
      </c>
      <c r="G60" s="150">
        <f t="shared" si="9"/>
        <v>0</v>
      </c>
      <c r="H60" s="150">
        <f t="shared" si="10"/>
        <v>0</v>
      </c>
      <c r="I60" s="69">
        <f t="shared" si="11"/>
        <v>42551</v>
      </c>
    </row>
    <row r="61" spans="1:12" s="65" customFormat="1" ht="12.75" customHeight="1">
      <c r="C61" s="70"/>
      <c r="D61" s="70"/>
      <c r="E61" s="70"/>
      <c r="F61" s="70"/>
      <c r="G61" s="71"/>
      <c r="H61" s="72"/>
      <c r="I61" s="73"/>
    </row>
    <row r="62" spans="1:12" s="65" customFormat="1" ht="12.75" customHeight="1">
      <c r="C62" s="74" t="s">
        <v>71</v>
      </c>
      <c r="D62" s="70"/>
      <c r="E62" s="70"/>
      <c r="F62" s="70"/>
      <c r="G62" s="75">
        <f>SUM(G46:G60)</f>
        <v>0</v>
      </c>
      <c r="H62" s="75">
        <f>SUM(H46:H60)</f>
        <v>0</v>
      </c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  <row r="139" spans="3:9" s="65" customFormat="1" ht="12.75" customHeight="1">
      <c r="C139" s="70"/>
      <c r="D139" s="70"/>
      <c r="E139" s="70"/>
      <c r="F139" s="70"/>
      <c r="G139" s="70"/>
      <c r="I139" s="73"/>
    </row>
    <row r="140" spans="3:9" s="65" customFormat="1" ht="12.75" customHeight="1">
      <c r="C140" s="70"/>
      <c r="D140" s="70"/>
      <c r="E140" s="70"/>
      <c r="F140" s="70"/>
      <c r="G140" s="70"/>
      <c r="I140" s="73"/>
    </row>
    <row r="141" spans="3:9" s="65" customFormat="1" ht="12.75" customHeight="1">
      <c r="C141" s="70"/>
      <c r="D141" s="70"/>
      <c r="E141" s="70"/>
      <c r="F141" s="70"/>
      <c r="G141" s="70"/>
      <c r="I141" s="73"/>
    </row>
    <row r="142" spans="3:9" s="65" customFormat="1" ht="12.75" customHeight="1">
      <c r="C142" s="70"/>
      <c r="D142" s="70"/>
      <c r="E142" s="70"/>
      <c r="F142" s="70"/>
      <c r="G142" s="70"/>
      <c r="I142" s="73"/>
    </row>
    <row r="143" spans="3:9" s="65" customFormat="1" ht="12.75" customHeight="1">
      <c r="C143" s="70"/>
      <c r="D143" s="70"/>
      <c r="E143" s="70"/>
      <c r="F143" s="70"/>
      <c r="G143" s="70"/>
      <c r="I143" s="73"/>
    </row>
    <row r="144" spans="3:9" s="65" customFormat="1" ht="12.75" customHeight="1">
      <c r="C144" s="70"/>
      <c r="D144" s="70"/>
      <c r="E144" s="70"/>
      <c r="F144" s="70"/>
      <c r="G144" s="70"/>
      <c r="I144" s="73"/>
    </row>
    <row r="145" spans="3:9" s="65" customFormat="1" ht="12.75" customHeight="1">
      <c r="C145" s="70"/>
      <c r="D145" s="70"/>
      <c r="E145" s="70"/>
      <c r="F145" s="70"/>
      <c r="G145" s="70"/>
      <c r="I145" s="73"/>
    </row>
    <row r="146" spans="3:9" s="65" customFormat="1" ht="12.75" customHeight="1">
      <c r="C146" s="70"/>
      <c r="D146" s="70"/>
      <c r="E146" s="70"/>
      <c r="F146" s="70"/>
      <c r="G146" s="70"/>
      <c r="I146" s="73"/>
    </row>
    <row r="147" spans="3:9" s="65" customFormat="1" ht="12.75" customHeight="1">
      <c r="C147" s="70"/>
      <c r="D147" s="70"/>
      <c r="E147" s="70"/>
      <c r="F147" s="70"/>
      <c r="G147" s="70"/>
      <c r="I147" s="73"/>
    </row>
    <row r="148" spans="3:9" s="65" customFormat="1" ht="12.75" customHeight="1">
      <c r="C148" s="70"/>
      <c r="D148" s="70"/>
      <c r="E148" s="70"/>
      <c r="F148" s="70"/>
      <c r="G148" s="70"/>
      <c r="I148" s="73"/>
    </row>
  </sheetData>
  <mergeCells count="2">
    <mergeCell ref="A8:I8"/>
    <mergeCell ref="G5:I5"/>
  </mergeCells>
  <phoneticPr fontId="0" type="noConversion"/>
  <conditionalFormatting sqref="G43">
    <cfRule type="cellIs" dxfId="13" priority="3" stopIfTrue="1" operator="equal">
      <formula>19279082</formula>
    </cfRule>
  </conditionalFormatting>
  <printOptions horizontalCentered="1"/>
  <pageMargins left="0.25" right="0.25" top="0.25" bottom="0.5" header="0.35" footer="0.25"/>
  <pageSetup scale="92" orientation="portrait" r:id="rId1"/>
  <headerFooter alignWithMargins="0">
    <oddFooter>&amp;L&amp;"Calibri,Regular"Prepared by the SBCTC&amp;R&amp;"Calibri,Regular"&amp;D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L142"/>
  <sheetViews>
    <sheetView topLeftCell="A3"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3.5703125" style="23" bestFit="1" customWidth="1"/>
    <col min="11" max="11" width="12.42578125" style="23" bestFit="1" customWidth="1"/>
    <col min="12" max="12" width="11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141</v>
      </c>
      <c r="G5" s="505" t="str">
        <f>VLOOKUP($F5,District,2,FALSE)</f>
        <v>Renton Technical College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3783</v>
      </c>
      <c r="D10" s="48"/>
      <c r="E10" s="48">
        <f>IF(ISNA(VLOOKUP($F$5,Student,14,FALSE)),0,VLOOKUP($F$5,Student,14,FALSE))</f>
        <v>39</v>
      </c>
      <c r="F10" s="48"/>
      <c r="G10" s="48">
        <f>$E$10+$C$10+$A$10</f>
        <v>3822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17" si="0">IF(ISNA(VLOOKUP($F$5 &amp;A16, AllocSched,12,FALSE)),"-",VLOOKUP($F$5 &amp;A16, AllocSched,12,FALSE))</f>
        <v>11733212</v>
      </c>
      <c r="D16" s="112" t="s">
        <v>51</v>
      </c>
      <c r="E16" s="16">
        <f t="shared" ref="E16:E21" si="1">IF(ISNA(VLOOKUP($F$5 &amp; A16, AllocSched,13,FALSE)),"-",VLOOKUP($F$5 &amp; A16, AllocSched,13,FALSE))</f>
        <v>-9228</v>
      </c>
      <c r="F16" s="16" t="s">
        <v>51</v>
      </c>
      <c r="G16" s="16">
        <f t="shared" ref="G16:G23" si="2">IF(C16="-",E16,C16+E16)</f>
        <v>11723984</v>
      </c>
      <c r="H16" s="55" t="str">
        <f t="shared" ref="H16:H29" si="3">IF(ISNA(VLOOKUP($F$5 &amp; A16, AllocSched,9,FALSE))," ",VLOOKUP($F$5 &amp; A16, AllocSched,9,FALSE))</f>
        <v>001-011</v>
      </c>
      <c r="I16" s="56">
        <f t="shared" ref="I16:I29" si="4">IF(ISNA(VLOOKUP($F$5 &amp; A16, AllocSched,14,FALSE))," ",VLOOKUP($F$5 &amp; A16, AllocSched,14,FALSE))</f>
        <v>101</v>
      </c>
    </row>
    <row r="17" spans="1:9" ht="12.75" customHeight="1">
      <c r="A17" s="115" t="s">
        <v>171</v>
      </c>
      <c r="B17" s="54"/>
      <c r="C17" s="16">
        <f t="shared" si="0"/>
        <v>1248218</v>
      </c>
      <c r="D17" s="112"/>
      <c r="E17" s="21">
        <f t="shared" si="1"/>
        <v>9228</v>
      </c>
      <c r="F17" s="16"/>
      <c r="G17" s="16">
        <f t="shared" si="2"/>
        <v>1257446</v>
      </c>
      <c r="H17" s="55" t="str">
        <f t="shared" si="3"/>
        <v>08A-3E0</v>
      </c>
      <c r="I17" s="56" t="str">
        <f t="shared" si="4"/>
        <v>3E0</v>
      </c>
    </row>
    <row r="18" spans="1:9" s="272" customFormat="1" ht="12.75" customHeight="1">
      <c r="A18" s="38" t="s">
        <v>781</v>
      </c>
      <c r="B18" s="54"/>
      <c r="C18" s="16">
        <f t="shared" ref="C18:C23" si="5">IF(ISNA(VLOOKUP($F$5 &amp;A18, AllocSched,12,FALSE)),"-",VLOOKUP($F$5 &amp;A18, AllocSched,12,FALSE))</f>
        <v>0</v>
      </c>
      <c r="D18" s="112"/>
      <c r="E18" s="21">
        <f>IF(ISNA(VLOOKUP($F$5 &amp; A18, AllocSched,13,FALSE)),"-",VLOOKUP($F$5 &amp; A18, AllocSched,13,FALSE))</f>
        <v>52739</v>
      </c>
      <c r="F18" s="16"/>
      <c r="G18" s="16">
        <f t="shared" si="2"/>
        <v>52739</v>
      </c>
      <c r="H18" s="55" t="str">
        <f t="shared" si="3"/>
        <v>001-011</v>
      </c>
      <c r="I18" s="56">
        <f t="shared" si="4"/>
        <v>101</v>
      </c>
    </row>
    <row r="19" spans="1:9" s="272" customFormat="1" ht="12.75" customHeight="1">
      <c r="A19" s="115" t="s">
        <v>448</v>
      </c>
      <c r="B19" s="54"/>
      <c r="C19" s="16">
        <f t="shared" si="5"/>
        <v>0</v>
      </c>
      <c r="D19" s="112"/>
      <c r="E19" s="21">
        <f>IF(ISNA(VLOOKUP($F$5 &amp; A19, AllocSched,13,FALSE)),"-",VLOOKUP($F$5 &amp; A19, AllocSched,13,FALSE))</f>
        <v>300579</v>
      </c>
      <c r="F19" s="16"/>
      <c r="G19" s="16">
        <f t="shared" si="2"/>
        <v>300579</v>
      </c>
      <c r="H19" s="55" t="str">
        <f t="shared" si="3"/>
        <v>001-011</v>
      </c>
      <c r="I19" s="56">
        <f t="shared" si="4"/>
        <v>101</v>
      </c>
    </row>
    <row r="20" spans="1:9" s="269" customFormat="1" ht="12.75" customHeight="1">
      <c r="A20" s="115" t="s">
        <v>340</v>
      </c>
      <c r="B20" s="54"/>
      <c r="C20" s="16">
        <f t="shared" si="5"/>
        <v>0</v>
      </c>
      <c r="D20" s="112"/>
      <c r="E20" s="21">
        <f>IF(ISNA(VLOOKUP($F$5 &amp; A20, AllocSched,13,FALSE)),"-",VLOOKUP($F$5 &amp; A20, AllocSched,13,FALSE))</f>
        <v>561913</v>
      </c>
      <c r="F20" s="16"/>
      <c r="G20" s="16">
        <f t="shared" si="2"/>
        <v>561913</v>
      </c>
      <c r="H20" s="55" t="str">
        <f t="shared" si="3"/>
        <v>001-011</v>
      </c>
      <c r="I20" s="56">
        <f t="shared" si="4"/>
        <v>101</v>
      </c>
    </row>
    <row r="21" spans="1:9" ht="12.75" customHeight="1">
      <c r="A21" s="115" t="s">
        <v>207</v>
      </c>
      <c r="B21" s="54"/>
      <c r="C21" s="16">
        <f t="shared" si="5"/>
        <v>0</v>
      </c>
      <c r="D21" s="112"/>
      <c r="E21" s="16">
        <f t="shared" si="1"/>
        <v>54467</v>
      </c>
      <c r="F21" s="16"/>
      <c r="G21" s="16">
        <f t="shared" si="2"/>
        <v>54467</v>
      </c>
      <c r="H21" s="55" t="str">
        <f t="shared" si="3"/>
        <v>001-011</v>
      </c>
      <c r="I21" s="56">
        <f t="shared" si="4"/>
        <v>101</v>
      </c>
    </row>
    <row r="22" spans="1:9" s="272" customFormat="1" ht="12.75" customHeight="1">
      <c r="A22" s="115" t="s">
        <v>203</v>
      </c>
      <c r="B22" s="54"/>
      <c r="C22" s="16">
        <f t="shared" si="5"/>
        <v>0</v>
      </c>
      <c r="D22" s="112"/>
      <c r="E22" s="16">
        <f>IF(ISNA(VLOOKUP($F$5 &amp; A22, AllocSched,13,FALSE)),"-",VLOOKUP($F$5 &amp; A22, AllocSched,13,FALSE))</f>
        <v>-3658</v>
      </c>
      <c r="F22" s="16"/>
      <c r="G22" s="16">
        <f t="shared" si="2"/>
        <v>-3658</v>
      </c>
      <c r="H22" s="55" t="str">
        <f t="shared" si="3"/>
        <v>001-011</v>
      </c>
      <c r="I22" s="56">
        <f t="shared" si="4"/>
        <v>101</v>
      </c>
    </row>
    <row r="23" spans="1:9" s="272" customFormat="1" ht="12.75" customHeight="1">
      <c r="A23" s="115" t="s">
        <v>454</v>
      </c>
      <c r="B23" s="54"/>
      <c r="C23" s="16">
        <f t="shared" si="5"/>
        <v>0</v>
      </c>
      <c r="D23" s="112"/>
      <c r="E23" s="16">
        <f>IF(ISNA(VLOOKUP($F$5 &amp; A23, AllocSched,13,FALSE)),"-",VLOOKUP($F$5 &amp; A23, AllocSched,13,FALSE))</f>
        <v>4133</v>
      </c>
      <c r="F23" s="16"/>
      <c r="G23" s="16">
        <f t="shared" si="2"/>
        <v>4133</v>
      </c>
      <c r="H23" s="55" t="str">
        <f t="shared" si="3"/>
        <v>001-011</v>
      </c>
      <c r="I23" s="56">
        <f t="shared" si="4"/>
        <v>101</v>
      </c>
    </row>
    <row r="24" spans="1:9" ht="12.75" customHeight="1">
      <c r="A24" s="115"/>
      <c r="B24" s="54"/>
      <c r="C24" s="16"/>
      <c r="D24" s="112"/>
      <c r="E24" s="21"/>
      <c r="F24" s="16"/>
      <c r="G24" s="16"/>
      <c r="H24" s="55" t="str">
        <f t="shared" si="3"/>
        <v xml:space="preserve"> </v>
      </c>
      <c r="I24" s="56" t="str">
        <f t="shared" si="4"/>
        <v xml:space="preserve"> </v>
      </c>
    </row>
    <row r="25" spans="1:9" s="83" customFormat="1">
      <c r="A25" s="114" t="s">
        <v>168</v>
      </c>
      <c r="B25" s="84"/>
      <c r="C25" s="16"/>
      <c r="D25" s="112"/>
      <c r="E25" s="21"/>
      <c r="F25" s="16"/>
      <c r="G25" s="16"/>
      <c r="H25" s="55" t="str">
        <f t="shared" si="3"/>
        <v xml:space="preserve"> </v>
      </c>
      <c r="I25" s="56" t="str">
        <f t="shared" si="4"/>
        <v xml:space="preserve"> </v>
      </c>
    </row>
    <row r="26" spans="1:9" ht="12.75" customHeight="1">
      <c r="A26" s="38" t="s">
        <v>160</v>
      </c>
      <c r="C26" s="16">
        <f t="shared" ref="C26:C39" si="6">IF(ISNA(VLOOKUP($F$5 &amp;A26, AllocSched,12,FALSE)),"-",VLOOKUP($F$5 &amp;A26, AllocSched,12,FALSE))</f>
        <v>77238</v>
      </c>
      <c r="D26" s="112"/>
      <c r="E26" s="21">
        <f t="shared" ref="E26:E39" si="7">IF(ISNA(VLOOKUP($F$5 &amp; A26, AllocSched,13,FALSE)),"-",VLOOKUP($F$5 &amp; A26, AllocSched,13,FALSE))</f>
        <v>-42154</v>
      </c>
      <c r="F26" s="16"/>
      <c r="G26" s="16">
        <f t="shared" ref="G26:G39" si="8">IF(C26="-",E26,C26+E26)</f>
        <v>35084</v>
      </c>
      <c r="H26" s="55" t="str">
        <f t="shared" si="3"/>
        <v>001-011</v>
      </c>
      <c r="I26" s="56">
        <f t="shared" si="4"/>
        <v>101</v>
      </c>
    </row>
    <row r="27" spans="1:9" s="272" customFormat="1" ht="12.75" customHeight="1">
      <c r="A27" s="38" t="s">
        <v>345</v>
      </c>
      <c r="C27" s="16">
        <f>IF(ISNA(VLOOKUP($F$5 &amp;A27, AllocSched,12,FALSE)),"-",VLOOKUP($F$5 &amp;A27, AllocSched,12,FALSE))</f>
        <v>235338</v>
      </c>
      <c r="D27" s="112"/>
      <c r="E27" s="21">
        <f>IF(ISNA(VLOOKUP($F$5 &amp; A27, AllocSched,13,FALSE)),"-",VLOOKUP($F$5 &amp; A27, AllocSched,13,FALSE))</f>
        <v>0</v>
      </c>
      <c r="F27" s="16"/>
      <c r="G27" s="16">
        <f>IF(C27="-",E27,C27+E27)</f>
        <v>235338</v>
      </c>
      <c r="H27" s="55" t="str">
        <f t="shared" si="3"/>
        <v>001-011</v>
      </c>
      <c r="I27" s="56">
        <f t="shared" si="4"/>
        <v>101</v>
      </c>
    </row>
    <row r="28" spans="1:9" s="272" customFormat="1" ht="12.75" customHeight="1">
      <c r="A28" s="38" t="s">
        <v>211</v>
      </c>
      <c r="C28" s="16">
        <f>IF(ISNA(VLOOKUP($F$5 &amp;A28, AllocSched,12,FALSE)),"-",VLOOKUP($F$5 &amp;A28, AllocSched,12,FALSE))</f>
        <v>73939</v>
      </c>
      <c r="D28" s="112"/>
      <c r="E28" s="21">
        <f>IF(ISNA(VLOOKUP($F$5 &amp; A28, AllocSched,13,FALSE)),"-",VLOOKUP($F$5 &amp; A28, AllocSched,13,FALSE))</f>
        <v>-73939</v>
      </c>
      <c r="F28" s="16"/>
      <c r="G28" s="16">
        <f>IF(C28="-",E28,C28+E28)</f>
        <v>0</v>
      </c>
      <c r="H28" s="55" t="str">
        <f t="shared" si="3"/>
        <v>001-011</v>
      </c>
      <c r="I28" s="56">
        <f t="shared" si="4"/>
        <v>101</v>
      </c>
    </row>
    <row r="29" spans="1:9" ht="12.75" customHeight="1">
      <c r="A29" s="38" t="s">
        <v>222</v>
      </c>
      <c r="C29" s="16">
        <f>IF(ISNA(VLOOKUP($F$5 &amp;A29, AllocSched,12,FALSE)),"-",VLOOKUP($F$5 &amp;A29, AllocSched,12,FALSE))</f>
        <v>202970</v>
      </c>
      <c r="D29" s="112"/>
      <c r="E29" s="21">
        <f>IF(ISNA(VLOOKUP($F$5 &amp; A29, AllocSched,13,FALSE)),"-",VLOOKUP($F$5 &amp; A29, AllocSched,13,FALSE))</f>
        <v>-202970</v>
      </c>
      <c r="F29" s="16"/>
      <c r="G29" s="16">
        <f>IF(C29="-",E29,C29+E29)</f>
        <v>0</v>
      </c>
      <c r="H29" s="55" t="str">
        <f t="shared" si="3"/>
        <v>08A-3E0</v>
      </c>
      <c r="I29" s="56" t="str">
        <f t="shared" si="4"/>
        <v>3E0</v>
      </c>
    </row>
    <row r="30" spans="1:9" ht="12.75" customHeight="1">
      <c r="A30" s="38" t="s">
        <v>173</v>
      </c>
      <c r="C30" s="16">
        <f t="shared" si="6"/>
        <v>204157</v>
      </c>
      <c r="D30" s="112"/>
      <c r="E30" s="21">
        <f t="shared" si="7"/>
        <v>0</v>
      </c>
      <c r="F30" s="16"/>
      <c r="G30" s="16">
        <f t="shared" si="8"/>
        <v>204157</v>
      </c>
      <c r="H30" s="55" t="str">
        <f t="shared" ref="H30:H39" si="9">IF(ISNA(VLOOKUP($F$5 &amp; A30, AllocSched,9,FALSE))," ",VLOOKUP($F$5 &amp; A30, AllocSched,9,FALSE))</f>
        <v>001-011</v>
      </c>
      <c r="I30" s="56">
        <f t="shared" ref="I30:I39" si="10">IF(ISNA(VLOOKUP($F$5 &amp; A30, AllocSched,14,FALSE))," ",VLOOKUP($F$5 &amp; A30, AllocSched,14,FALSE))</f>
        <v>101</v>
      </c>
    </row>
    <row r="31" spans="1:9" ht="12.75" customHeight="1">
      <c r="A31" s="38" t="s">
        <v>170</v>
      </c>
      <c r="C31" s="16">
        <f t="shared" si="6"/>
        <v>34964</v>
      </c>
      <c r="D31" s="112"/>
      <c r="E31" s="21">
        <f t="shared" si="7"/>
        <v>-7507</v>
      </c>
      <c r="F31" s="16"/>
      <c r="G31" s="16">
        <f t="shared" si="8"/>
        <v>27457</v>
      </c>
      <c r="H31" s="55" t="str">
        <f t="shared" si="9"/>
        <v>001-011</v>
      </c>
      <c r="I31" s="56">
        <f t="shared" si="10"/>
        <v>101</v>
      </c>
    </row>
    <row r="32" spans="1:9" ht="12.75" customHeight="1">
      <c r="A32" s="115" t="s">
        <v>151</v>
      </c>
      <c r="B32" s="54"/>
      <c r="C32" s="16">
        <f t="shared" si="6"/>
        <v>250000</v>
      </c>
      <c r="D32" s="112"/>
      <c r="E32" s="21">
        <f t="shared" si="7"/>
        <v>0</v>
      </c>
      <c r="F32" s="16"/>
      <c r="G32" s="16">
        <f t="shared" si="8"/>
        <v>250000</v>
      </c>
      <c r="H32" s="55" t="str">
        <f t="shared" si="9"/>
        <v>08A-3E0</v>
      </c>
      <c r="I32" s="56" t="str">
        <f t="shared" si="10"/>
        <v>3E0</v>
      </c>
    </row>
    <row r="33" spans="1:11" ht="12.75" customHeight="1">
      <c r="A33" s="115" t="s">
        <v>150</v>
      </c>
      <c r="B33" s="54"/>
      <c r="C33" s="16">
        <f t="shared" si="6"/>
        <v>29412</v>
      </c>
      <c r="D33" s="112"/>
      <c r="E33" s="21">
        <f t="shared" si="7"/>
        <v>0</v>
      </c>
      <c r="F33" s="16"/>
      <c r="G33" s="16">
        <f t="shared" si="8"/>
        <v>29412</v>
      </c>
      <c r="H33" s="55" t="str">
        <f t="shared" si="9"/>
        <v>001-011</v>
      </c>
      <c r="I33" s="56">
        <f t="shared" si="10"/>
        <v>101</v>
      </c>
    </row>
    <row r="34" spans="1:11" ht="12.75" customHeight="1">
      <c r="A34" s="115" t="s">
        <v>273</v>
      </c>
      <c r="B34" s="54"/>
      <c r="C34" s="16">
        <f>IF(ISNA(VLOOKUP($F$5 &amp;A34, AllocSched,12,FALSE)),"-",VLOOKUP($F$5 &amp;A34, AllocSched,12,FALSE))</f>
        <v>125550</v>
      </c>
      <c r="D34" s="112"/>
      <c r="E34" s="21">
        <f>IF(ISNA(VLOOKUP($F$5 &amp; A34, AllocSched,13,FALSE)),"-",VLOOKUP($F$5 &amp; A34, AllocSched,13,FALSE))</f>
        <v>-125550</v>
      </c>
      <c r="F34" s="16"/>
      <c r="G34" s="16">
        <f>IF(C34="-",E34,C34+E34)</f>
        <v>0</v>
      </c>
      <c r="H34" s="55" t="str">
        <f>IF(ISNA(VLOOKUP($F$5 &amp; A34, AllocSched,9,FALSE))," ",VLOOKUP($F$5 &amp; A34, AllocSched,9,FALSE))</f>
        <v>001-BD1</v>
      </c>
      <c r="I34" s="56" t="str">
        <f>IF(ISNA(VLOOKUP($F$5 &amp; A34, AllocSched,14,FALSE))," ",VLOOKUP($F$5 &amp; A34, AllocSched,14,FALSE))</f>
        <v>BD1</v>
      </c>
    </row>
    <row r="35" spans="1:11" ht="12.75" customHeight="1">
      <c r="A35" s="115" t="s">
        <v>6</v>
      </c>
      <c r="B35" s="54"/>
      <c r="C35" s="16">
        <f t="shared" si="6"/>
        <v>46900</v>
      </c>
      <c r="D35" s="112"/>
      <c r="E35" s="21">
        <f t="shared" si="7"/>
        <v>-12320</v>
      </c>
      <c r="F35" s="16"/>
      <c r="G35" s="16">
        <f t="shared" si="8"/>
        <v>34580</v>
      </c>
      <c r="H35" s="55" t="str">
        <f t="shared" si="9"/>
        <v>001-011</v>
      </c>
      <c r="I35" s="56">
        <f t="shared" si="10"/>
        <v>101</v>
      </c>
    </row>
    <row r="36" spans="1:11" ht="12.75" customHeight="1">
      <c r="A36" s="115" t="s">
        <v>333</v>
      </c>
      <c r="B36" s="54"/>
      <c r="C36" s="16">
        <f t="shared" si="6"/>
        <v>175351</v>
      </c>
      <c r="D36" s="112"/>
      <c r="E36" s="16">
        <f t="shared" si="7"/>
        <v>0</v>
      </c>
      <c r="F36" s="16"/>
      <c r="G36" s="16">
        <f t="shared" si="8"/>
        <v>175351</v>
      </c>
      <c r="H36" s="55" t="str">
        <f t="shared" si="9"/>
        <v>001-011</v>
      </c>
      <c r="I36" s="56">
        <f>IF(ISNA(VLOOKUP($F$5 &amp; A36, AllocSched,14,FALSE))," ",VLOOKUP($F$5 &amp; A36, AllocSched,14,FALSE))</f>
        <v>101</v>
      </c>
    </row>
    <row r="37" spans="1:11" ht="12.75" customHeight="1">
      <c r="A37" s="115" t="s">
        <v>332</v>
      </c>
      <c r="B37" s="54"/>
      <c r="C37" s="16">
        <f t="shared" si="6"/>
        <v>837597</v>
      </c>
      <c r="D37" s="112"/>
      <c r="E37" s="16">
        <f t="shared" si="7"/>
        <v>0</v>
      </c>
      <c r="F37" s="16"/>
      <c r="G37" s="16">
        <f t="shared" si="8"/>
        <v>837597</v>
      </c>
      <c r="H37" s="55" t="str">
        <f t="shared" si="9"/>
        <v>001-AC1</v>
      </c>
      <c r="I37" s="56">
        <f>IF(ISNA(VLOOKUP($F$5 &amp; A37, AllocSched,14,FALSE))," ",VLOOKUP($F$5 &amp; A37, AllocSched,14,FALSE))</f>
        <v>123</v>
      </c>
    </row>
    <row r="38" spans="1:11" ht="12.75" customHeight="1">
      <c r="A38" s="115" t="s">
        <v>767</v>
      </c>
      <c r="B38" s="54"/>
      <c r="C38" s="16" t="str">
        <f t="shared" si="6"/>
        <v>-</v>
      </c>
      <c r="D38" s="112"/>
      <c r="E38" s="16" t="str">
        <f t="shared" si="7"/>
        <v>-</v>
      </c>
      <c r="F38" s="16"/>
      <c r="G38" s="16" t="str">
        <f t="shared" si="8"/>
        <v>-</v>
      </c>
      <c r="H38" s="55" t="str">
        <f t="shared" si="9"/>
        <v xml:space="preserve"> </v>
      </c>
      <c r="I38" s="56" t="str">
        <f>IF(ISNA(VLOOKUP($F$5 &amp; A38, AllocSched,14,FALSE))," ",VLOOKUP($F$5 &amp; A38, AllocSched,14,FALSE))</f>
        <v xml:space="preserve"> </v>
      </c>
    </row>
    <row r="39" spans="1:11" ht="12.75" customHeight="1">
      <c r="A39" s="115" t="s">
        <v>159</v>
      </c>
      <c r="B39" s="54"/>
      <c r="C39" s="16" t="str">
        <f t="shared" si="6"/>
        <v>-</v>
      </c>
      <c r="D39" s="112"/>
      <c r="E39" s="21" t="str">
        <f t="shared" si="7"/>
        <v>-</v>
      </c>
      <c r="F39" s="16"/>
      <c r="G39" s="16" t="str">
        <f t="shared" si="8"/>
        <v>-</v>
      </c>
      <c r="H39" s="55" t="str">
        <f t="shared" si="9"/>
        <v xml:space="preserve"> </v>
      </c>
      <c r="I39" s="56" t="str">
        <f t="shared" si="10"/>
        <v xml:space="preserve"> </v>
      </c>
    </row>
    <row r="40" spans="1:11" ht="12.75" customHeight="1">
      <c r="A40" s="54"/>
      <c r="B40" s="54"/>
      <c r="C40" s="16"/>
      <c r="D40" s="112"/>
      <c r="E40" s="16"/>
      <c r="F40" s="16"/>
      <c r="G40" s="16"/>
      <c r="H40" s="55"/>
      <c r="I40" s="56"/>
    </row>
    <row r="41" spans="1:11" ht="13.5" thickBot="1">
      <c r="A41" s="89" t="s">
        <v>174</v>
      </c>
      <c r="B41" s="57" t="s">
        <v>51</v>
      </c>
      <c r="C41" s="111">
        <f>SUM(C16:C39)</f>
        <v>15274846</v>
      </c>
      <c r="D41" s="113" t="s">
        <v>51</v>
      </c>
      <c r="E41" s="111">
        <f>SUM(E16:E39)</f>
        <v>505733</v>
      </c>
      <c r="F41" s="113" t="s">
        <v>51</v>
      </c>
      <c r="G41" s="111">
        <f>SUM(G16:G39)</f>
        <v>15780579</v>
      </c>
      <c r="H41" s="30"/>
      <c r="J41" s="25"/>
      <c r="K41" s="30"/>
    </row>
    <row r="42" spans="1:11" ht="12.75" customHeight="1" thickTop="1">
      <c r="A42" s="84"/>
      <c r="B42" s="84"/>
      <c r="C42" s="58">
        <v>0</v>
      </c>
      <c r="D42" s="58"/>
      <c r="E42" s="90"/>
      <c r="F42" s="90"/>
      <c r="G42" s="90"/>
    </row>
    <row r="43" spans="1:11" s="65" customFormat="1" ht="25.5">
      <c r="A43" s="59" t="s">
        <v>156</v>
      </c>
      <c r="B43" s="60"/>
      <c r="C43" s="61"/>
      <c r="D43" s="62"/>
      <c r="E43" s="63" t="s">
        <v>67</v>
      </c>
      <c r="F43" s="62"/>
      <c r="G43" s="64" t="s">
        <v>163</v>
      </c>
      <c r="H43" s="64" t="s">
        <v>164</v>
      </c>
      <c r="I43" s="98" t="s">
        <v>70</v>
      </c>
    </row>
    <row r="44" spans="1:11" s="65" customFormat="1" ht="12.75" customHeight="1">
      <c r="A44" s="66" t="s">
        <v>268</v>
      </c>
      <c r="B44" s="67"/>
      <c r="C44" s="68"/>
      <c r="E44" s="66" t="s">
        <v>664</v>
      </c>
      <c r="G44" s="30">
        <f t="shared" ref="G44:G50" si="11">VLOOKUP($F$5 &amp; $A44 &amp; $E44,AddRes,7,FALSE)</f>
        <v>0</v>
      </c>
      <c r="H44" s="30">
        <f t="shared" ref="H44:H50" si="12">VLOOKUP($F$5 &amp; $A44 &amp; $E44,AddRes,8,FALSE)</f>
        <v>0</v>
      </c>
      <c r="I44" s="69">
        <f t="shared" ref="I44:I54" si="13">VLOOKUP($F$5 &amp; $A44 &amp; $E44,AddRes,10,FALSE)</f>
        <v>42369</v>
      </c>
    </row>
    <row r="45" spans="1:11" s="65" customFormat="1" ht="12.75" customHeight="1">
      <c r="A45" s="66" t="s">
        <v>240</v>
      </c>
      <c r="B45" s="67"/>
      <c r="C45" s="68"/>
      <c r="E45" s="66" t="s">
        <v>378</v>
      </c>
      <c r="G45" s="30">
        <f t="shared" si="11"/>
        <v>0</v>
      </c>
      <c r="H45" s="30">
        <f t="shared" si="12"/>
        <v>0</v>
      </c>
      <c r="I45" s="69">
        <f t="shared" si="13"/>
        <v>42277</v>
      </c>
    </row>
    <row r="46" spans="1:11" s="65" customFormat="1" ht="12.75" customHeight="1">
      <c r="A46" s="66" t="s">
        <v>497</v>
      </c>
      <c r="B46" s="67"/>
      <c r="C46" s="26"/>
      <c r="E46" s="66" t="s">
        <v>665</v>
      </c>
      <c r="G46" s="30">
        <f t="shared" si="11"/>
        <v>0</v>
      </c>
      <c r="H46" s="30">
        <f t="shared" si="12"/>
        <v>0</v>
      </c>
      <c r="I46" s="69">
        <f t="shared" si="13"/>
        <v>42551</v>
      </c>
    </row>
    <row r="47" spans="1:11" s="65" customFormat="1" ht="12.75" customHeight="1">
      <c r="A47" s="66" t="s">
        <v>498</v>
      </c>
      <c r="B47" s="67"/>
      <c r="C47" s="26"/>
      <c r="E47" s="66" t="s">
        <v>666</v>
      </c>
      <c r="G47" s="30">
        <f t="shared" si="11"/>
        <v>0</v>
      </c>
      <c r="H47" s="30">
        <f t="shared" si="12"/>
        <v>0</v>
      </c>
      <c r="I47" s="69">
        <f t="shared" si="13"/>
        <v>42551</v>
      </c>
    </row>
    <row r="48" spans="1:11" s="65" customFormat="1" ht="12.75" customHeight="1">
      <c r="A48" s="66" t="s">
        <v>505</v>
      </c>
      <c r="B48" s="67"/>
      <c r="C48" s="26"/>
      <c r="E48" s="66" t="s">
        <v>667</v>
      </c>
      <c r="G48" s="30">
        <f t="shared" si="11"/>
        <v>0</v>
      </c>
      <c r="H48" s="30">
        <f t="shared" si="12"/>
        <v>0</v>
      </c>
      <c r="I48" s="69">
        <f t="shared" si="13"/>
        <v>42551</v>
      </c>
    </row>
    <row r="49" spans="1:12" s="65" customFormat="1" ht="12.75" customHeight="1">
      <c r="A49" s="66" t="s">
        <v>241</v>
      </c>
      <c r="B49" s="67"/>
      <c r="C49" s="68"/>
      <c r="E49" s="66" t="s">
        <v>668</v>
      </c>
      <c r="G49" s="30">
        <f t="shared" si="11"/>
        <v>0</v>
      </c>
      <c r="H49" s="30">
        <f t="shared" si="12"/>
        <v>0</v>
      </c>
      <c r="I49" s="69">
        <f t="shared" si="13"/>
        <v>42551</v>
      </c>
    </row>
    <row r="50" spans="1:12" s="65" customFormat="1" ht="12.75" customHeight="1">
      <c r="A50" s="66" t="s">
        <v>274</v>
      </c>
      <c r="B50" s="67"/>
      <c r="C50" s="26"/>
      <c r="E50" s="66" t="s">
        <v>669</v>
      </c>
      <c r="G50" s="270">
        <f t="shared" si="11"/>
        <v>0</v>
      </c>
      <c r="H50" s="270">
        <f t="shared" si="12"/>
        <v>0</v>
      </c>
      <c r="I50" s="69">
        <f t="shared" si="13"/>
        <v>42551</v>
      </c>
    </row>
    <row r="51" spans="1:12" s="65" customFormat="1" ht="12.75" customHeight="1">
      <c r="A51" s="66" t="s">
        <v>242</v>
      </c>
      <c r="B51" s="67"/>
      <c r="C51" s="68"/>
      <c r="E51" s="66" t="s">
        <v>247</v>
      </c>
      <c r="G51" s="30">
        <f t="shared" ref="G51" si="14">VLOOKUP($F$5 &amp; $A51 &amp; $E51,AddRes,7,FALSE)</f>
        <v>0</v>
      </c>
      <c r="H51" s="30">
        <f t="shared" ref="H51" si="15">VLOOKUP($F$5 &amp; $A51 &amp; $E51,AddRes,8,FALSE)</f>
        <v>0</v>
      </c>
      <c r="I51" s="69">
        <f t="shared" si="13"/>
        <v>42551</v>
      </c>
    </row>
    <row r="52" spans="1:12" s="65" customFormat="1" ht="12.75" customHeight="1">
      <c r="A52" s="66" t="s">
        <v>233</v>
      </c>
      <c r="B52" s="67"/>
      <c r="C52" s="68"/>
      <c r="E52" s="66" t="s">
        <v>670</v>
      </c>
      <c r="G52" s="30">
        <f>VLOOKUP($F$5 &amp; $A52 &amp; $E52,AddRes,7,FALSE)</f>
        <v>0</v>
      </c>
      <c r="H52" s="30">
        <f>VLOOKUP($F$5 &amp; $A52 &amp; $E52,AddRes,8,FALSE)</f>
        <v>0</v>
      </c>
      <c r="I52" s="69">
        <f t="shared" si="13"/>
        <v>42551</v>
      </c>
      <c r="K52" s="75"/>
      <c r="L52" s="75"/>
    </row>
    <row r="53" spans="1:12" s="65" customFormat="1" ht="12.75" customHeight="1">
      <c r="A53" s="66" t="s">
        <v>231</v>
      </c>
      <c r="B53" s="67"/>
      <c r="C53" s="68"/>
      <c r="E53" s="66" t="s">
        <v>671</v>
      </c>
      <c r="G53" s="30">
        <f>VLOOKUP($F$5 &amp; $A53 &amp; $E53,AddRes,7,FALSE)</f>
        <v>0</v>
      </c>
      <c r="H53" s="30">
        <f>VLOOKUP($F$5 &amp; $A53 &amp; $E53,AddRes,8,FALSE)</f>
        <v>0</v>
      </c>
      <c r="I53" s="69">
        <f t="shared" si="13"/>
        <v>42551</v>
      </c>
    </row>
    <row r="54" spans="1:12" s="65" customFormat="1" ht="12.75" customHeight="1">
      <c r="A54" s="66" t="s">
        <v>232</v>
      </c>
      <c r="B54" s="67"/>
      <c r="C54" s="68"/>
      <c r="E54" s="66" t="s">
        <v>672</v>
      </c>
      <c r="G54" s="30">
        <f>VLOOKUP($F$5 &amp; $A54 &amp; $E54,AddRes,7,FALSE)</f>
        <v>0</v>
      </c>
      <c r="H54" s="30">
        <f>VLOOKUP($F$5 &amp; $A54 &amp; $E54,AddRes,8,FALSE)</f>
        <v>0</v>
      </c>
      <c r="I54" s="69">
        <f t="shared" si="13"/>
        <v>42551</v>
      </c>
    </row>
    <row r="55" spans="1:12" s="65" customFormat="1" ht="12.75" customHeight="1">
      <c r="C55" s="70"/>
      <c r="D55" s="70"/>
      <c r="E55" s="70"/>
      <c r="F55" s="70"/>
      <c r="G55" s="71"/>
      <c r="H55" s="72"/>
      <c r="I55" s="73"/>
    </row>
    <row r="56" spans="1:12" s="65" customFormat="1" ht="12.75" customHeight="1">
      <c r="C56" s="74" t="s">
        <v>71</v>
      </c>
      <c r="D56" s="70"/>
      <c r="E56" s="70"/>
      <c r="F56" s="70"/>
      <c r="G56" s="75">
        <f>SUM(G44:G54)</f>
        <v>0</v>
      </c>
      <c r="H56" s="75">
        <f>SUM(H44:H54)</f>
        <v>0</v>
      </c>
      <c r="I56" s="73"/>
    </row>
    <row r="57" spans="1:12" s="65" customFormat="1" ht="12.75" customHeight="1">
      <c r="C57" s="70"/>
      <c r="D57" s="70"/>
      <c r="E57" s="70"/>
      <c r="F57" s="70"/>
      <c r="G57" s="70"/>
      <c r="I57" s="73"/>
    </row>
    <row r="58" spans="1:12" s="65" customFormat="1" ht="12.75" customHeight="1">
      <c r="C58" s="70"/>
      <c r="D58" s="70"/>
      <c r="E58" s="70"/>
      <c r="F58" s="70"/>
      <c r="G58" s="70"/>
      <c r="I58" s="73"/>
    </row>
    <row r="59" spans="1:12" s="65" customFormat="1" ht="12.75" customHeight="1">
      <c r="C59" s="70"/>
      <c r="D59" s="70"/>
      <c r="E59" s="70"/>
      <c r="F59" s="70"/>
      <c r="G59" s="70"/>
      <c r="I59" s="73"/>
    </row>
    <row r="60" spans="1:12" s="65" customFormat="1" ht="12.75" customHeight="1">
      <c r="C60" s="70"/>
      <c r="D60" s="70"/>
      <c r="E60" s="70"/>
      <c r="F60" s="70"/>
      <c r="G60" s="70"/>
      <c r="I60" s="73"/>
    </row>
    <row r="61" spans="1:12" s="65" customFormat="1" ht="12.75" customHeight="1">
      <c r="C61" s="70"/>
      <c r="D61" s="70"/>
      <c r="E61" s="70"/>
      <c r="F61" s="70"/>
      <c r="G61" s="70"/>
      <c r="I61" s="73"/>
    </row>
    <row r="62" spans="1:12" s="65" customFormat="1" ht="12.75" customHeight="1">
      <c r="C62" s="70"/>
      <c r="D62" s="70"/>
      <c r="E62" s="70"/>
      <c r="F62" s="70"/>
      <c r="G62" s="70"/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  <row r="139" spans="3:9" s="65" customFormat="1" ht="12.75" customHeight="1">
      <c r="C139" s="70"/>
      <c r="D139" s="70"/>
      <c r="E139" s="70"/>
      <c r="F139" s="70"/>
      <c r="G139" s="70"/>
      <c r="I139" s="73"/>
    </row>
    <row r="140" spans="3:9" s="65" customFormat="1" ht="12.75" customHeight="1">
      <c r="C140" s="70"/>
      <c r="D140" s="70"/>
      <c r="E140" s="70"/>
      <c r="F140" s="70"/>
      <c r="G140" s="70"/>
      <c r="I140" s="73"/>
    </row>
    <row r="141" spans="3:9" s="65" customFormat="1" ht="12.75" customHeight="1">
      <c r="C141" s="70"/>
      <c r="D141" s="70"/>
      <c r="E141" s="70"/>
      <c r="F141" s="70"/>
      <c r="G141" s="70"/>
      <c r="I141" s="73"/>
    </row>
    <row r="142" spans="3:9" s="65" customFormat="1" ht="12.75" customHeight="1">
      <c r="C142" s="70"/>
      <c r="D142" s="70"/>
      <c r="E142" s="70"/>
      <c r="F142" s="70"/>
      <c r="G142" s="70"/>
      <c r="I142" s="73"/>
    </row>
  </sheetData>
  <mergeCells count="2">
    <mergeCell ref="A8:I8"/>
    <mergeCell ref="G5:I5"/>
  </mergeCells>
  <phoneticPr fontId="0" type="noConversion"/>
  <conditionalFormatting sqref="G41">
    <cfRule type="cellIs" dxfId="12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M171"/>
  <sheetViews>
    <sheetView topLeftCell="A9"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3.5703125" style="23" bestFit="1" customWidth="1"/>
    <col min="11" max="11" width="12.42578125" style="23" hidden="1" customWidth="1"/>
    <col min="12" max="12" width="11" style="23" hidden="1" customWidth="1"/>
    <col min="13" max="13" width="0" style="23" hidden="1" customWidth="1"/>
    <col min="14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120</v>
      </c>
      <c r="G5" s="505" t="str">
        <f>VLOOKUP($F5,District,2,FALSE)</f>
        <v>Seattle Community Colleges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14543</v>
      </c>
      <c r="D10" s="48"/>
      <c r="E10" s="48">
        <f>IF(ISNA(VLOOKUP($F$5,Student,14,FALSE)),0,VLOOKUP($F$5,Student,14,FALSE))</f>
        <v>174</v>
      </c>
      <c r="F10" s="48"/>
      <c r="G10" s="48">
        <f>$E$10+$C$10+$A$10</f>
        <v>14717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17" si="0">IF(ISNA(VLOOKUP($F$5 &amp;A16, AllocSched,12,FALSE)),"-",VLOOKUP($F$5 &amp;A16, AllocSched,12,FALSE))</f>
        <v>52015138</v>
      </c>
      <c r="D16" s="112" t="s">
        <v>51</v>
      </c>
      <c r="E16" s="16">
        <f>IF(ISNA(VLOOKUP($F$5 &amp; A16, AllocSched,13,FALSE)),"-",VLOOKUP($F$5 &amp; A16, AllocSched,13,FALSE))</f>
        <v>-54231</v>
      </c>
      <c r="F16" s="16" t="s">
        <v>51</v>
      </c>
      <c r="G16" s="16">
        <f t="shared" ref="G16:G23" si="1">IF(C16="-",E16,C16+E16)</f>
        <v>51960907</v>
      </c>
      <c r="H16" s="55" t="str">
        <f t="shared" ref="H16:H47" si="2">IF(ISNA(VLOOKUP($F$5 &amp; A16, AllocSched,9,FALSE))," ",VLOOKUP($F$5 &amp; A16, AllocSched,9,FALSE))</f>
        <v>001-011</v>
      </c>
      <c r="I16" s="56">
        <f t="shared" ref="I16:I43" si="3">IF(ISNA(VLOOKUP($F$5 &amp; A16, AllocSched,14,FALSE))," ",VLOOKUP($F$5 &amp; A16, AllocSched,14,FALSE))</f>
        <v>101</v>
      </c>
    </row>
    <row r="17" spans="1:9" ht="12.75" customHeight="1">
      <c r="A17" s="115" t="s">
        <v>171</v>
      </c>
      <c r="B17" s="54"/>
      <c r="C17" s="16">
        <f t="shared" si="0"/>
        <v>51781</v>
      </c>
      <c r="D17" s="112"/>
      <c r="E17" s="16">
        <f t="shared" ref="E17:E21" si="4">IF(ISNA(VLOOKUP($F$5 &amp; A17, AllocSched,13,FALSE)),"-",VLOOKUP($F$5 &amp; A17, AllocSched,13,FALSE))</f>
        <v>54231</v>
      </c>
      <c r="F17" s="16"/>
      <c r="G17" s="16">
        <f t="shared" si="1"/>
        <v>106012</v>
      </c>
      <c r="H17" s="55" t="str">
        <f t="shared" si="2"/>
        <v>08A-3E0</v>
      </c>
      <c r="I17" s="56" t="str">
        <f t="shared" si="3"/>
        <v>3E0</v>
      </c>
    </row>
    <row r="18" spans="1:9" s="272" customFormat="1" ht="12.75" customHeight="1">
      <c r="A18" s="38" t="s">
        <v>781</v>
      </c>
      <c r="B18" s="54"/>
      <c r="C18" s="16">
        <f t="shared" ref="C18:C23" si="5">IF(ISNA(VLOOKUP($F$5 &amp;A18, AllocSched,12,FALSE)),"-",VLOOKUP($F$5 &amp;A18, AllocSched,12,FALSE))</f>
        <v>0</v>
      </c>
      <c r="D18" s="112"/>
      <c r="E18" s="16">
        <f>IF(ISNA(VLOOKUP($F$5 &amp; A18, AllocSched,13,FALSE)),"-",VLOOKUP($F$5 &amp; A18, AllocSched,13,FALSE))</f>
        <v>352949</v>
      </c>
      <c r="F18" s="16"/>
      <c r="G18" s="16">
        <f t="shared" si="1"/>
        <v>352949</v>
      </c>
      <c r="H18" s="55" t="str">
        <f>IF(ISNA(VLOOKUP($F$5 &amp; A18, AllocSched,9,FALSE))," ",VLOOKUP($F$5 &amp; A18, AllocSched,9,FALSE))</f>
        <v>001-011</v>
      </c>
      <c r="I18" s="56">
        <f>IF(ISNA(VLOOKUP($F$5 &amp; A18, AllocSched,14,FALSE))," ",VLOOKUP($F$5 &amp; A18, AllocSched,14,FALSE))</f>
        <v>101</v>
      </c>
    </row>
    <row r="19" spans="1:9" s="272" customFormat="1" ht="12.75" customHeight="1">
      <c r="A19" s="115" t="s">
        <v>448</v>
      </c>
      <c r="B19" s="54"/>
      <c r="C19" s="16">
        <f t="shared" si="5"/>
        <v>0</v>
      </c>
      <c r="D19" s="112"/>
      <c r="E19" s="16">
        <f>IF(ISNA(VLOOKUP($F$5 &amp; A19, AllocSched,13,FALSE)),"-",VLOOKUP($F$5 &amp; A19, AllocSched,13,FALSE))</f>
        <v>1206835</v>
      </c>
      <c r="F19" s="16"/>
      <c r="G19" s="16">
        <f t="shared" si="1"/>
        <v>1206835</v>
      </c>
      <c r="H19" s="55" t="str">
        <f>IF(ISNA(VLOOKUP($F$5 &amp; A19, AllocSched,9,FALSE))," ",VLOOKUP($F$5 &amp; A19, AllocSched,9,FALSE))</f>
        <v>001-011</v>
      </c>
      <c r="I19" s="56">
        <f>IF(ISNA(VLOOKUP($F$5 &amp; A19, AllocSched,14,FALSE))," ",VLOOKUP($F$5 &amp; A19, AllocSched,14,FALSE))</f>
        <v>101</v>
      </c>
    </row>
    <row r="20" spans="1:9" s="269" customFormat="1" ht="12.75" customHeight="1">
      <c r="A20" s="115" t="s">
        <v>340</v>
      </c>
      <c r="B20" s="54"/>
      <c r="C20" s="16">
        <f t="shared" si="5"/>
        <v>0</v>
      </c>
      <c r="D20" s="112"/>
      <c r="E20" s="16">
        <f>IF(ISNA(VLOOKUP($F$5 &amp; A20, AllocSched,13,FALSE)),"-",VLOOKUP($F$5 &amp; A20, AllocSched,13,FALSE))</f>
        <v>2886616</v>
      </c>
      <c r="F20" s="16"/>
      <c r="G20" s="16">
        <f t="shared" si="1"/>
        <v>2886616</v>
      </c>
      <c r="H20" s="55" t="str">
        <f>IF(ISNA(VLOOKUP($F$5 &amp; A20, AllocSched,9,FALSE))," ",VLOOKUP($F$5 &amp; A20, AllocSched,9,FALSE))</f>
        <v>001-011</v>
      </c>
      <c r="I20" s="56">
        <f>IF(ISNA(VLOOKUP($F$5 &amp; A20, AllocSched,14,FALSE))," ",VLOOKUP($F$5 &amp; A20, AllocSched,14,FALSE))</f>
        <v>101</v>
      </c>
    </row>
    <row r="21" spans="1:9" ht="12.75" customHeight="1">
      <c r="A21" s="115" t="s">
        <v>207</v>
      </c>
      <c r="B21" s="54"/>
      <c r="C21" s="16">
        <f t="shared" si="5"/>
        <v>0</v>
      </c>
      <c r="D21" s="112"/>
      <c r="E21" s="16">
        <f t="shared" si="4"/>
        <v>270563</v>
      </c>
      <c r="F21" s="16"/>
      <c r="G21" s="16">
        <f t="shared" si="1"/>
        <v>270563</v>
      </c>
      <c r="H21" s="55" t="str">
        <f t="shared" si="2"/>
        <v>001-011</v>
      </c>
      <c r="I21" s="56">
        <f t="shared" si="3"/>
        <v>101</v>
      </c>
    </row>
    <row r="22" spans="1:9" s="272" customFormat="1" ht="12.75" customHeight="1">
      <c r="A22" s="115" t="s">
        <v>203</v>
      </c>
      <c r="B22" s="54"/>
      <c r="C22" s="16">
        <f t="shared" si="5"/>
        <v>0</v>
      </c>
      <c r="D22" s="112"/>
      <c r="E22" s="16">
        <f>IF(ISNA(VLOOKUP($F$5 &amp; A22, AllocSched,13,FALSE)),"-",VLOOKUP($F$5 &amp; A22, AllocSched,13,FALSE))</f>
        <v>-15168</v>
      </c>
      <c r="F22" s="16"/>
      <c r="G22" s="16">
        <f t="shared" si="1"/>
        <v>-15168</v>
      </c>
      <c r="H22" s="55" t="str">
        <f>IF(ISNA(VLOOKUP($F$5 &amp; A22, AllocSched,9,FALSE))," ",VLOOKUP($F$5 &amp; A22, AllocSched,9,FALSE))</f>
        <v>001-011</v>
      </c>
      <c r="I22" s="56">
        <f>IF(ISNA(VLOOKUP($F$5 &amp; A22, AllocSched,14,FALSE))," ",VLOOKUP($F$5 &amp; A22, AllocSched,14,FALSE))</f>
        <v>101</v>
      </c>
    </row>
    <row r="23" spans="1:9" s="272" customFormat="1" ht="12.75" customHeight="1">
      <c r="A23" s="115" t="s">
        <v>454</v>
      </c>
      <c r="B23" s="54"/>
      <c r="C23" s="16">
        <f t="shared" si="5"/>
        <v>0</v>
      </c>
      <c r="D23" s="112"/>
      <c r="E23" s="16">
        <f>IF(ISNA(VLOOKUP($F$5 &amp; A23, AllocSched,13,FALSE)),"-",VLOOKUP($F$5 &amp; A23, AllocSched,13,FALSE))</f>
        <v>29115</v>
      </c>
      <c r="F23" s="16"/>
      <c r="G23" s="16">
        <f t="shared" si="1"/>
        <v>29115</v>
      </c>
      <c r="H23" s="55" t="str">
        <f>IF(ISNA(VLOOKUP($F$5 &amp; A23, AllocSched,9,FALSE))," ",VLOOKUP($F$5 &amp; A23, AllocSched,9,FALSE))</f>
        <v>001-011</v>
      </c>
      <c r="I23" s="56">
        <f>IF(ISNA(VLOOKUP($F$5 &amp; A23, AllocSched,14,FALSE))," ",VLOOKUP($F$5 &amp; A23, AllocSched,14,FALSE))</f>
        <v>101</v>
      </c>
    </row>
    <row r="24" spans="1:9" ht="12.75" customHeight="1">
      <c r="A24" s="115"/>
      <c r="B24" s="54"/>
      <c r="C24" s="16"/>
      <c r="D24" s="112"/>
      <c r="E24" s="16"/>
      <c r="F24" s="16"/>
      <c r="G24" s="16"/>
      <c r="H24" s="55" t="str">
        <f t="shared" si="2"/>
        <v xml:space="preserve"> </v>
      </c>
      <c r="I24" s="56" t="str">
        <f t="shared" si="3"/>
        <v xml:space="preserve"> </v>
      </c>
    </row>
    <row r="25" spans="1:9" s="83" customFormat="1">
      <c r="A25" s="114" t="s">
        <v>168</v>
      </c>
      <c r="B25" s="84"/>
      <c r="C25" s="16"/>
      <c r="D25" s="112"/>
      <c r="E25" s="16"/>
      <c r="F25" s="16"/>
      <c r="G25" s="16"/>
      <c r="H25" s="55" t="str">
        <f t="shared" si="2"/>
        <v xml:space="preserve"> </v>
      </c>
      <c r="I25" s="56" t="str">
        <f t="shared" si="3"/>
        <v xml:space="preserve"> </v>
      </c>
    </row>
    <row r="26" spans="1:9" ht="12.75" customHeight="1">
      <c r="A26" s="38" t="s">
        <v>160</v>
      </c>
      <c r="C26" s="16">
        <f t="shared" ref="C26:C46" si="6">IF(ISNA(VLOOKUP($F$5 &amp;A26, AllocSched,12,FALSE)),"-",VLOOKUP($F$5 &amp;A26, AllocSched,12,FALSE))</f>
        <v>137456</v>
      </c>
      <c r="D26" s="112"/>
      <c r="E26" s="16">
        <f t="shared" ref="E26:E47" si="7">IF(ISNA(VLOOKUP($F$5 &amp; A26, AllocSched,13,FALSE)),"-",VLOOKUP($F$5 &amp; A26, AllocSched,13,FALSE))</f>
        <v>-102374</v>
      </c>
      <c r="F26" s="16"/>
      <c r="G26" s="16">
        <f t="shared" ref="G26:G45" si="8">IF(C26="-",E26,C26+E26)</f>
        <v>35082</v>
      </c>
      <c r="H26" s="55" t="str">
        <f t="shared" si="2"/>
        <v>001-011</v>
      </c>
      <c r="I26" s="56">
        <f t="shared" si="3"/>
        <v>101</v>
      </c>
    </row>
    <row r="27" spans="1:9" s="272" customFormat="1" ht="12.75" customHeight="1">
      <c r="A27" s="38" t="s">
        <v>345</v>
      </c>
      <c r="C27" s="16">
        <f t="shared" ref="C27:C35" si="9">IF(ISNA(VLOOKUP($F$5 &amp;A27, AllocSched,12,FALSE)),"-",VLOOKUP($F$5 &amp;A27, AllocSched,12,FALSE))</f>
        <v>1280881</v>
      </c>
      <c r="D27" s="112"/>
      <c r="E27" s="16">
        <f>IF(ISNA(VLOOKUP($F$5 &amp; A27, AllocSched,13,FALSE)),"-",VLOOKUP($F$5 &amp; A27, AllocSched,13,FALSE))</f>
        <v>0</v>
      </c>
      <c r="F27" s="16"/>
      <c r="G27" s="16">
        <f t="shared" ref="G27:G35" si="10">IF(C27="-",E27,C27+E27)</f>
        <v>1280881</v>
      </c>
      <c r="H27" s="55" t="str">
        <f>IF(ISNA(VLOOKUP($F$5 &amp; A27, AllocSched,9,FALSE))," ",VLOOKUP($F$5 &amp; A27, AllocSched,9,FALSE))</f>
        <v>001-011</v>
      </c>
      <c r="I27" s="56">
        <f>IF(ISNA(VLOOKUP($F$5 &amp; A27, AllocSched,14,FALSE))," ",VLOOKUP($F$5 &amp; A27, AllocSched,14,FALSE))</f>
        <v>101</v>
      </c>
    </row>
    <row r="28" spans="1:9" ht="12.75" customHeight="1">
      <c r="A28" s="38" t="s">
        <v>211</v>
      </c>
      <c r="C28" s="16" t="str">
        <f t="shared" si="9"/>
        <v>-</v>
      </c>
      <c r="D28" s="112"/>
      <c r="E28" s="16" t="str">
        <f>IF(ISNA(VLOOKUP($F$5 &amp; A28, AllocSched,13,FALSE)),"-",VLOOKUP($F$5 &amp; A28, AllocSched,13,FALSE))</f>
        <v>-</v>
      </c>
      <c r="F28" s="16"/>
      <c r="G28" s="16" t="str">
        <f t="shared" si="10"/>
        <v>-</v>
      </c>
      <c r="H28" s="55" t="str">
        <f>IF(ISNA(VLOOKUP($F$5 &amp; A28, AllocSched,9,FALSE))," ",VLOOKUP($F$5 &amp; A28, AllocSched,9,FALSE))</f>
        <v xml:space="preserve"> </v>
      </c>
      <c r="I28" s="56" t="str">
        <f t="shared" si="3"/>
        <v xml:space="preserve"> </v>
      </c>
    </row>
    <row r="29" spans="1:9" s="272" customFormat="1" ht="12.75" customHeight="1">
      <c r="A29" s="38" t="s">
        <v>453</v>
      </c>
      <c r="C29" s="16">
        <f t="shared" si="9"/>
        <v>0</v>
      </c>
      <c r="D29" s="112"/>
      <c r="E29" s="16">
        <f>IF(ISNA(VLOOKUP($F$5 &amp; A29, AllocSched,13,FALSE)),"-",VLOOKUP($F$5 &amp; A29, AllocSched,13,FALSE))</f>
        <v>425000</v>
      </c>
      <c r="F29" s="16"/>
      <c r="G29" s="16">
        <f t="shared" si="10"/>
        <v>425000</v>
      </c>
      <c r="H29" s="55" t="str">
        <f>IF(ISNA(VLOOKUP($F$5 &amp; A29, AllocSched,9,FALSE))," ",VLOOKUP($F$5 &amp; A29, AllocSched,9,FALSE))</f>
        <v>001-BP1</v>
      </c>
      <c r="I29" s="56" t="str">
        <f>IF(ISNA(VLOOKUP($F$5 &amp; A29, AllocSched,14,FALSE))," ",VLOOKUP($F$5 &amp; A29, AllocSched,14,FALSE))</f>
        <v>BP1</v>
      </c>
    </row>
    <row r="30" spans="1:9" ht="12.75" customHeight="1">
      <c r="A30" s="38" t="s">
        <v>172</v>
      </c>
      <c r="C30" s="16" t="str">
        <f t="shared" si="9"/>
        <v>-</v>
      </c>
      <c r="D30" s="112"/>
      <c r="E30" s="16" t="str">
        <f t="shared" si="7"/>
        <v>-</v>
      </c>
      <c r="F30" s="16"/>
      <c r="G30" s="16" t="str">
        <f t="shared" si="10"/>
        <v>-</v>
      </c>
      <c r="H30" s="55" t="str">
        <f t="shared" si="2"/>
        <v xml:space="preserve"> </v>
      </c>
      <c r="I30" s="56" t="str">
        <f t="shared" si="3"/>
        <v xml:space="preserve"> </v>
      </c>
    </row>
    <row r="31" spans="1:9" ht="12.75" customHeight="1">
      <c r="A31" s="38" t="s">
        <v>271</v>
      </c>
      <c r="C31" s="16" t="str">
        <f t="shared" si="9"/>
        <v>-</v>
      </c>
      <c r="D31" s="112"/>
      <c r="E31" s="16" t="str">
        <f>IF(ISNA(VLOOKUP($F$5 &amp; A31, AllocSched,13,FALSE)),"-",VLOOKUP($F$5 &amp; A31, AllocSched,13,FALSE))</f>
        <v>-</v>
      </c>
      <c r="F31" s="16"/>
      <c r="G31" s="16" t="str">
        <f t="shared" si="10"/>
        <v>-</v>
      </c>
      <c r="H31" s="55" t="str">
        <f>IF(ISNA(VLOOKUP($F$5 &amp; A31, AllocSched,9,FALSE))," ",VLOOKUP($F$5 &amp; A31, AllocSched,9,FALSE))</f>
        <v xml:space="preserve"> </v>
      </c>
      <c r="I31" s="56" t="str">
        <f>IF(ISNA(VLOOKUP($F$5 &amp; A31, AllocSched,14,FALSE))," ",VLOOKUP($F$5 &amp; A31, AllocSched,14,FALSE))</f>
        <v xml:space="preserve"> </v>
      </c>
    </row>
    <row r="32" spans="1:9" s="272" customFormat="1" ht="12.75" customHeight="1">
      <c r="A32" s="38" t="s">
        <v>270</v>
      </c>
      <c r="C32" s="16" t="str">
        <f t="shared" si="9"/>
        <v>-</v>
      </c>
      <c r="D32" s="112"/>
      <c r="E32" s="16" t="str">
        <f>IF(ISNA(VLOOKUP($F$5 &amp; A32, AllocSched,13,FALSE)),"-",VLOOKUP($F$5 &amp; A32, AllocSched,13,FALSE))</f>
        <v>-</v>
      </c>
      <c r="F32" s="16"/>
      <c r="G32" s="16" t="str">
        <f t="shared" si="10"/>
        <v>-</v>
      </c>
      <c r="H32" s="55" t="str">
        <f>IF(ISNA(VLOOKUP($F$5 &amp; A32, AllocSched,9,FALSE))," ",VLOOKUP($F$5 &amp; A32, AllocSched,9,FALSE))</f>
        <v xml:space="preserve"> </v>
      </c>
      <c r="I32" s="56" t="str">
        <f>IF(ISNA(VLOOKUP($F$5 &amp; A32, AllocSched,14,FALSE))," ",VLOOKUP($F$5 &amp; A32, AllocSched,14,FALSE))</f>
        <v xml:space="preserve"> </v>
      </c>
    </row>
    <row r="33" spans="1:9" ht="12.75" customHeight="1">
      <c r="A33" s="38" t="s">
        <v>170</v>
      </c>
      <c r="C33" s="16">
        <f t="shared" si="9"/>
        <v>132329</v>
      </c>
      <c r="D33" s="112"/>
      <c r="E33" s="16">
        <f t="shared" si="7"/>
        <v>-23524</v>
      </c>
      <c r="F33" s="16"/>
      <c r="G33" s="16">
        <f t="shared" si="10"/>
        <v>108805</v>
      </c>
      <c r="H33" s="55" t="str">
        <f t="shared" si="2"/>
        <v>001-011</v>
      </c>
      <c r="I33" s="56">
        <f t="shared" si="3"/>
        <v>101</v>
      </c>
    </row>
    <row r="34" spans="1:9" ht="12.75" customHeight="1">
      <c r="A34" s="115" t="s">
        <v>162</v>
      </c>
      <c r="B34" s="54"/>
      <c r="C34" s="16">
        <f t="shared" si="9"/>
        <v>536156</v>
      </c>
      <c r="D34" s="112"/>
      <c r="E34" s="16">
        <f>IF(ISNA(VLOOKUP($F$5 &amp; A34, AllocSched,13,FALSE)),"-",VLOOKUP($F$5 &amp; A34, AllocSched,13,FALSE))</f>
        <v>-536156</v>
      </c>
      <c r="F34" s="16"/>
      <c r="G34" s="16">
        <f t="shared" si="10"/>
        <v>0</v>
      </c>
      <c r="H34" s="55" t="str">
        <f>IF(ISNA(VLOOKUP($F$5 &amp; A34, AllocSched,9,FALSE))," ",VLOOKUP($F$5 &amp; A34, AllocSched,9,FALSE))</f>
        <v>001-011</v>
      </c>
      <c r="I34" s="56">
        <f>IF(ISNA(VLOOKUP($F$5 &amp; A34, AllocSched,14,FALSE))," ",VLOOKUP($F$5 &amp; A34, AllocSched,14,FALSE))</f>
        <v>101</v>
      </c>
    </row>
    <row r="35" spans="1:9" ht="12.75" customHeight="1">
      <c r="A35" s="115" t="s">
        <v>224</v>
      </c>
      <c r="B35" s="54"/>
      <c r="C35" s="16">
        <f t="shared" si="9"/>
        <v>149749</v>
      </c>
      <c r="D35" s="112"/>
      <c r="E35" s="16">
        <f>IF(ISNA(VLOOKUP($F$5 &amp; A35, AllocSched,13,FALSE)),"-",VLOOKUP($F$5 &amp; A35, AllocSched,13,FALSE))</f>
        <v>0</v>
      </c>
      <c r="F35" s="16"/>
      <c r="G35" s="16">
        <f t="shared" si="10"/>
        <v>149749</v>
      </c>
      <c r="H35" s="55" t="str">
        <f>IF(ISNA(VLOOKUP($F$5 &amp; A35, AllocSched,9,FALSE))," ",VLOOKUP($F$5 &amp; A35, AllocSched,9,FALSE))</f>
        <v>08A-3E0</v>
      </c>
      <c r="I35" s="56" t="str">
        <f t="shared" si="3"/>
        <v>3E0</v>
      </c>
    </row>
    <row r="36" spans="1:9" ht="12.75" customHeight="1">
      <c r="A36" s="115" t="s">
        <v>225</v>
      </c>
      <c r="B36" s="54"/>
      <c r="C36" s="16">
        <f t="shared" si="6"/>
        <v>13119</v>
      </c>
      <c r="D36" s="112"/>
      <c r="E36" s="16">
        <f t="shared" si="7"/>
        <v>0</v>
      </c>
      <c r="F36" s="16"/>
      <c r="G36" s="16">
        <f t="shared" si="8"/>
        <v>13119</v>
      </c>
      <c r="H36" s="55" t="str">
        <f t="shared" si="2"/>
        <v>001-011</v>
      </c>
      <c r="I36" s="56">
        <f t="shared" si="3"/>
        <v>101</v>
      </c>
    </row>
    <row r="37" spans="1:9" ht="12.75" customHeight="1">
      <c r="A37" s="115" t="s">
        <v>255</v>
      </c>
      <c r="B37" s="54"/>
      <c r="C37" s="16">
        <f>IF(ISNA(VLOOKUP($F$5 &amp;A37, AllocSched,12,FALSE)),"-",VLOOKUP($F$5 &amp;A37, AllocSched,12,FALSE))</f>
        <v>255000</v>
      </c>
      <c r="D37" s="112"/>
      <c r="E37" s="16">
        <f>IF(ISNA(VLOOKUP($F$5 &amp; A37, AllocSched,13,FALSE)),"-",VLOOKUP($F$5 &amp; A37, AllocSched,13,FALSE))</f>
        <v>0</v>
      </c>
      <c r="F37" s="16"/>
      <c r="G37" s="16">
        <f>IF(C37="-",E37,C37+E37)</f>
        <v>255000</v>
      </c>
      <c r="H37" s="55" t="str">
        <f>IF(ISNA(VLOOKUP($F$5 &amp; A37, AllocSched,9,FALSE))," ",VLOOKUP($F$5 &amp; A37, AllocSched,9,FALSE))</f>
        <v>001-011</v>
      </c>
      <c r="I37" s="56">
        <f t="shared" si="3"/>
        <v>101</v>
      </c>
    </row>
    <row r="38" spans="1:9" s="272" customFormat="1" ht="12.75" customHeight="1">
      <c r="A38" s="38" t="s">
        <v>397</v>
      </c>
      <c r="B38" s="54"/>
      <c r="C38" s="16">
        <f>IF(ISNA(VLOOKUP($F$5 &amp;A38, AllocSched,12,FALSE)),"-",VLOOKUP($F$5 &amp;A38, AllocSched,12,FALSE))</f>
        <v>58570</v>
      </c>
      <c r="D38" s="112"/>
      <c r="E38" s="16">
        <f>IF(ISNA(VLOOKUP($F$5 &amp; A38, AllocSched,13,FALSE)),"-",VLOOKUP($F$5 &amp; A38, AllocSched,13,FALSE))</f>
        <v>0</v>
      </c>
      <c r="F38" s="16"/>
      <c r="G38" s="16">
        <f>IF(C38="-",E38,C38+E38)</f>
        <v>58570</v>
      </c>
      <c r="H38" s="55" t="str">
        <f>IF(ISNA(VLOOKUP($F$5 &amp; A38, AllocSched,9,FALSE))," ",VLOOKUP($F$5 &amp; A38, AllocSched,9,FALSE))</f>
        <v>001-BK1</v>
      </c>
      <c r="I38" s="56" t="str">
        <f>IF(ISNA(VLOOKUP($F$5 &amp; A38, AllocSched,14,FALSE))," ",VLOOKUP($F$5 &amp; A38, AllocSched,14,FALSE))</f>
        <v>BK1</v>
      </c>
    </row>
    <row r="39" spans="1:9" ht="12.75" customHeight="1">
      <c r="A39" s="115" t="s">
        <v>256</v>
      </c>
      <c r="B39" s="54"/>
      <c r="C39" s="16" t="str">
        <f>IF(ISNA(VLOOKUP($F$5 &amp;A39, AllocSched,12,FALSE)),"-",VLOOKUP($F$5 &amp;A39, AllocSched,12,FALSE))</f>
        <v>-</v>
      </c>
      <c r="D39" s="112"/>
      <c r="E39" s="16" t="str">
        <f>IF(ISNA(VLOOKUP($F$5 &amp; A39, AllocSched,13,FALSE)),"-",VLOOKUP($F$5 &amp; A39, AllocSched,13,FALSE))</f>
        <v>-</v>
      </c>
      <c r="F39" s="16"/>
      <c r="G39" s="16" t="str">
        <f>IF(C39="-",E39,C39+E39)</f>
        <v>-</v>
      </c>
      <c r="H39" s="55" t="str">
        <f>IF(ISNA(VLOOKUP($F$5 &amp; A39, AllocSched,9,FALSE))," ",VLOOKUP($F$5 &amp; A39, AllocSched,9,FALSE))</f>
        <v xml:space="preserve"> </v>
      </c>
      <c r="I39" s="56" t="str">
        <f t="shared" si="3"/>
        <v xml:space="preserve"> </v>
      </c>
    </row>
    <row r="40" spans="1:9" ht="12.75" customHeight="1">
      <c r="A40" s="115" t="s">
        <v>151</v>
      </c>
      <c r="B40" s="54"/>
      <c r="C40" s="16">
        <f t="shared" si="6"/>
        <v>972500</v>
      </c>
      <c r="D40" s="112"/>
      <c r="E40" s="16">
        <f t="shared" si="7"/>
        <v>-32500</v>
      </c>
      <c r="F40" s="16"/>
      <c r="G40" s="16">
        <f t="shared" si="8"/>
        <v>940000</v>
      </c>
      <c r="H40" s="55" t="str">
        <f t="shared" si="2"/>
        <v>08A-3E0</v>
      </c>
      <c r="I40" s="56" t="str">
        <f t="shared" si="3"/>
        <v>3E0</v>
      </c>
    </row>
    <row r="41" spans="1:9" ht="12.75" customHeight="1">
      <c r="A41" s="115" t="s">
        <v>150</v>
      </c>
      <c r="B41" s="54"/>
      <c r="C41" s="16">
        <f t="shared" si="6"/>
        <v>88232</v>
      </c>
      <c r="D41" s="112"/>
      <c r="E41" s="16">
        <f t="shared" si="7"/>
        <v>0</v>
      </c>
      <c r="F41" s="16"/>
      <c r="G41" s="16">
        <f t="shared" si="8"/>
        <v>88232</v>
      </c>
      <c r="H41" s="55" t="str">
        <f t="shared" si="2"/>
        <v>001-011</v>
      </c>
      <c r="I41" s="56">
        <f t="shared" si="3"/>
        <v>101</v>
      </c>
    </row>
    <row r="42" spans="1:9" ht="12.75" customHeight="1">
      <c r="A42" s="115" t="s">
        <v>410</v>
      </c>
      <c r="B42" s="54"/>
      <c r="C42" s="16" t="str">
        <f>IF(ISNA(VLOOKUP($F$5 &amp;A42, AllocSched,12,FALSE)),"-",VLOOKUP($F$5 &amp;A42, AllocSched,12,FALSE))</f>
        <v>-</v>
      </c>
      <c r="D42" s="112"/>
      <c r="E42" s="16" t="str">
        <f>IF(ISNA(VLOOKUP($F$5 &amp; A42, AllocSched,13,FALSE)),"-",VLOOKUP($F$5 &amp; A42, AllocSched,13,FALSE))</f>
        <v>-</v>
      </c>
      <c r="F42" s="16"/>
      <c r="G42" s="16" t="str">
        <f>IF(C42="-",E42,C42+E42)</f>
        <v>-</v>
      </c>
      <c r="H42" s="55" t="str">
        <f t="shared" si="2"/>
        <v xml:space="preserve"> </v>
      </c>
      <c r="I42" s="56" t="str">
        <f>IF(ISNA(VLOOKUP($F$5 &amp; A42, AllocSched,14,FALSE))," ",VLOOKUP($F$5 &amp; A42, AllocSched,14,FALSE))</f>
        <v xml:space="preserve"> </v>
      </c>
    </row>
    <row r="43" spans="1:9" ht="12.75" customHeight="1">
      <c r="A43" s="115" t="s">
        <v>6</v>
      </c>
      <c r="B43" s="54"/>
      <c r="C43" s="16">
        <f t="shared" si="6"/>
        <v>180554</v>
      </c>
      <c r="D43" s="112"/>
      <c r="E43" s="16">
        <f t="shared" si="7"/>
        <v>-50964</v>
      </c>
      <c r="F43" s="16"/>
      <c r="G43" s="16">
        <f t="shared" si="8"/>
        <v>129590</v>
      </c>
      <c r="H43" s="55" t="str">
        <f t="shared" si="2"/>
        <v>001-011</v>
      </c>
      <c r="I43" s="56">
        <f t="shared" si="3"/>
        <v>101</v>
      </c>
    </row>
    <row r="44" spans="1:9" s="272" customFormat="1" ht="12.75" customHeight="1">
      <c r="A44" s="115" t="s">
        <v>64</v>
      </c>
      <c r="B44" s="54"/>
      <c r="C44" s="16" t="str">
        <f t="shared" ref="C44" si="11">IF(ISNA(VLOOKUP($F$5 &amp;A44, AllocSched,12,FALSE)),"-",VLOOKUP($F$5 &amp;A44, AllocSched,12,FALSE))</f>
        <v>-</v>
      </c>
      <c r="D44" s="112"/>
      <c r="E44" s="16" t="str">
        <f t="shared" ref="E44" si="12">IF(ISNA(VLOOKUP($F$5 &amp; A44, AllocSched,13,FALSE)),"-",VLOOKUP($F$5 &amp; A44, AllocSched,13,FALSE))</f>
        <v>-</v>
      </c>
      <c r="F44" s="16"/>
      <c r="G44" s="16" t="str">
        <f t="shared" ref="G44" si="13">IF(C44="-",E44,C44+E44)</f>
        <v>-</v>
      </c>
      <c r="H44" s="55" t="str">
        <f t="shared" ref="H44" si="14">IF(ISNA(VLOOKUP($F$5 &amp; A44, AllocSched,9,FALSE))," ",VLOOKUP($F$5 &amp; A44, AllocSched,9,FALSE))</f>
        <v xml:space="preserve"> </v>
      </c>
      <c r="I44" s="56" t="str">
        <f t="shared" ref="I44" si="15">IF(ISNA(VLOOKUP($F$5 &amp; A44, AllocSched,14,FALSE))," ",VLOOKUP($F$5 &amp; A44, AllocSched,14,FALSE))</f>
        <v xml:space="preserve"> </v>
      </c>
    </row>
    <row r="45" spans="1:9" ht="12.75" customHeight="1">
      <c r="A45" s="115" t="s">
        <v>333</v>
      </c>
      <c r="B45" s="54"/>
      <c r="C45" s="16">
        <f t="shared" si="6"/>
        <v>718713</v>
      </c>
      <c r="D45" s="112"/>
      <c r="E45" s="16">
        <f t="shared" si="7"/>
        <v>-190000</v>
      </c>
      <c r="F45" s="16"/>
      <c r="G45" s="16">
        <f t="shared" si="8"/>
        <v>528713</v>
      </c>
      <c r="H45" s="55" t="str">
        <f t="shared" si="2"/>
        <v>001-011</v>
      </c>
      <c r="I45" s="56">
        <f>IF(ISNA(VLOOKUP($F$5 &amp; A45, AllocSched,14,FALSE))," ",VLOOKUP($F$5 &amp; A45, AllocSched,14,FALSE))</f>
        <v>101</v>
      </c>
    </row>
    <row r="46" spans="1:9" ht="12.75" customHeight="1">
      <c r="A46" s="115" t="s">
        <v>332</v>
      </c>
      <c r="B46" s="54"/>
      <c r="C46" s="16">
        <f t="shared" si="6"/>
        <v>2525506</v>
      </c>
      <c r="D46" s="112"/>
      <c r="E46" s="16">
        <f t="shared" si="7"/>
        <v>0</v>
      </c>
      <c r="F46" s="16"/>
      <c r="G46" s="16">
        <f>IF(C46="-",E46,C46+E46)</f>
        <v>2525506</v>
      </c>
      <c r="H46" s="55" t="str">
        <f t="shared" si="2"/>
        <v>001-AC1</v>
      </c>
      <c r="I46" s="56">
        <f>IF(ISNA(VLOOKUP($F$5 &amp; A46, AllocSched,14,FALSE))," ",VLOOKUP($F$5 &amp; A46, AllocSched,14,FALSE))</f>
        <v>123</v>
      </c>
    </row>
    <row r="47" spans="1:9" ht="12.75" customHeight="1">
      <c r="A47" s="115" t="s">
        <v>767</v>
      </c>
      <c r="B47" s="54"/>
      <c r="C47" s="16" t="str">
        <f>IF(ISNA(VLOOKUP($F$5 &amp;A47, AllocSched,12,FALSE)),"-",VLOOKUP($F$5 &amp;A47, AllocSched,12,FALSE))</f>
        <v>-</v>
      </c>
      <c r="D47" s="112"/>
      <c r="E47" s="16" t="str">
        <f t="shared" si="7"/>
        <v>-</v>
      </c>
      <c r="F47" s="16"/>
      <c r="G47" s="16" t="str">
        <f>IF(C47="-",E47,C47+E47)</f>
        <v>-</v>
      </c>
      <c r="H47" s="55" t="str">
        <f t="shared" si="2"/>
        <v xml:space="preserve"> </v>
      </c>
      <c r="I47" s="56" t="str">
        <f>IF(ISNA(VLOOKUP($F$5 &amp; A47, AllocSched,14,FALSE))," ",VLOOKUP($F$5 &amp; A47, AllocSched,14,FALSE))</f>
        <v xml:space="preserve"> </v>
      </c>
    </row>
    <row r="48" spans="1:9" s="272" customFormat="1" ht="12.75" customHeight="1">
      <c r="A48" s="115" t="s">
        <v>449</v>
      </c>
      <c r="B48" s="54"/>
      <c r="C48" s="16">
        <f>IF(ISNA(VLOOKUP($F$5 &amp;A48, AllocSched,12,FALSE)),"-",VLOOKUP($F$5 &amp;A48, AllocSched,12,FALSE))</f>
        <v>0</v>
      </c>
      <c r="D48" s="112"/>
      <c r="E48" s="16">
        <f>IF(ISNA(VLOOKUP($F$5 &amp; A48, AllocSched,13,FALSE)),"-",VLOOKUP($F$5 &amp; A48, AllocSched,13,FALSE))</f>
        <v>392138</v>
      </c>
      <c r="F48" s="16"/>
      <c r="G48" s="16">
        <f>IF(C48="-",E48,C48+E48)</f>
        <v>392138</v>
      </c>
      <c r="H48" s="55" t="str">
        <f>IF(ISNA(VLOOKUP($F$5 &amp; A48, AllocSched,9,FALSE))," ",VLOOKUP($F$5 &amp; A48, AllocSched,9,FALSE))</f>
        <v>001-011</v>
      </c>
      <c r="I48" s="56">
        <f>IF(ISNA(VLOOKUP($F$5 &amp; A48, AllocSched,14,FALSE))," ",VLOOKUP($F$5 &amp; A48, AllocSched,14,FALSE))</f>
        <v>101</v>
      </c>
    </row>
    <row r="49" spans="1:12" s="272" customFormat="1" ht="12.75" customHeight="1">
      <c r="A49" s="115" t="s">
        <v>450</v>
      </c>
      <c r="B49" s="54"/>
      <c r="C49" s="16" t="str">
        <f>IF(ISNA(VLOOKUP($F$5 &amp;A49, AllocSched,12,FALSE)),"-",VLOOKUP($F$5 &amp;A49, AllocSched,12,FALSE))</f>
        <v>-</v>
      </c>
      <c r="D49" s="112"/>
      <c r="E49" s="16" t="str">
        <f>IF(ISNA(VLOOKUP($F$5 &amp; A49, AllocSched,13,FALSE)),"-",VLOOKUP($F$5 &amp; A49, AllocSched,13,FALSE))</f>
        <v>-</v>
      </c>
      <c r="F49" s="16"/>
      <c r="G49" s="16" t="str">
        <f>IF(C49="-",E49,C49+E49)</f>
        <v>-</v>
      </c>
      <c r="H49" s="55" t="str">
        <f>IF(ISNA(VLOOKUP($F$5 &amp; A49, AllocSched,9,FALSE))," ",VLOOKUP($F$5 &amp; A49, AllocSched,9,FALSE))</f>
        <v xml:space="preserve"> </v>
      </c>
      <c r="I49" s="56" t="str">
        <f>IF(ISNA(VLOOKUP($F$5 &amp; A49, AllocSched,14,FALSE))," ",VLOOKUP($F$5 &amp; A49, AllocSched,14,FALSE))</f>
        <v xml:space="preserve"> </v>
      </c>
    </row>
    <row r="50" spans="1:12" ht="12.75" customHeight="1">
      <c r="A50" s="54"/>
      <c r="B50" s="54"/>
      <c r="C50" s="16"/>
      <c r="D50" s="112"/>
      <c r="E50" s="16"/>
      <c r="F50" s="16"/>
      <c r="G50" s="16"/>
      <c r="H50" s="55"/>
      <c r="I50" s="56"/>
    </row>
    <row r="51" spans="1:12" ht="13.5" thickBot="1">
      <c r="A51" s="89" t="s">
        <v>174</v>
      </c>
      <c r="B51" s="57" t="s">
        <v>51</v>
      </c>
      <c r="C51" s="111">
        <f>SUM(C16:C49)</f>
        <v>59115684</v>
      </c>
      <c r="D51" s="113" t="s">
        <v>51</v>
      </c>
      <c r="E51" s="111">
        <f>SUM(E16:E49)</f>
        <v>4612530</v>
      </c>
      <c r="F51" s="113" t="s">
        <v>51</v>
      </c>
      <c r="G51" s="111">
        <f>SUM(G16:G49)</f>
        <v>63728214</v>
      </c>
      <c r="J51" s="25"/>
      <c r="K51" s="30"/>
    </row>
    <row r="52" spans="1:12" ht="12.75" customHeight="1" thickTop="1">
      <c r="A52" s="84"/>
      <c r="B52" s="84"/>
      <c r="C52" s="58">
        <v>0</v>
      </c>
      <c r="D52" s="58"/>
      <c r="E52" s="90"/>
      <c r="F52" s="90"/>
      <c r="G52" s="90"/>
    </row>
    <row r="53" spans="1:12" s="65" customFormat="1" ht="25.5">
      <c r="A53" s="84" t="s">
        <v>156</v>
      </c>
      <c r="B53" s="60"/>
      <c r="C53" s="61"/>
      <c r="D53" s="62"/>
      <c r="E53" s="63" t="s">
        <v>67</v>
      </c>
      <c r="F53" s="62"/>
      <c r="G53" s="64" t="s">
        <v>163</v>
      </c>
      <c r="H53" s="64" t="s">
        <v>164</v>
      </c>
      <c r="I53" s="98" t="s">
        <v>70</v>
      </c>
    </row>
    <row r="54" spans="1:12" s="65" customFormat="1" ht="12.75" customHeight="1">
      <c r="A54" s="66" t="s">
        <v>240</v>
      </c>
      <c r="B54" s="67"/>
      <c r="C54" s="26" t="s">
        <v>187</v>
      </c>
      <c r="E54" s="66" t="s">
        <v>371</v>
      </c>
      <c r="G54" s="30">
        <f>VLOOKUP($F$5 &amp; $A54 &amp; $E54,AddRes,7,FALSE)</f>
        <v>0</v>
      </c>
      <c r="H54" s="30">
        <f>VLOOKUP($F$5 &amp; $A54 &amp; $E54,AddRes,8,FALSE)</f>
        <v>0</v>
      </c>
      <c r="I54" s="69">
        <f>VLOOKUP($F$5 &amp; $A54 &amp; $E54,AddRes,10,FALSE)</f>
        <v>42277</v>
      </c>
    </row>
    <row r="55" spans="1:12" s="65" customFormat="1" ht="12.75" customHeight="1">
      <c r="A55" s="66" t="s">
        <v>497</v>
      </c>
      <c r="B55" s="67"/>
      <c r="C55" s="26" t="s">
        <v>187</v>
      </c>
      <c r="E55" s="66" t="s">
        <v>627</v>
      </c>
      <c r="G55" s="30">
        <f>VLOOKUP($F$5 &amp; $A55 &amp; $E55,AddRes,7,FALSE)</f>
        <v>0</v>
      </c>
      <c r="H55" s="30">
        <f>VLOOKUP($F$5 &amp; $A55 &amp; $E55,AddRes,8,FALSE)</f>
        <v>0</v>
      </c>
      <c r="I55" s="69">
        <f>VLOOKUP($F$5 &amp; $A55 &amp; $E55,AddRes,10,FALSE)</f>
        <v>42551</v>
      </c>
    </row>
    <row r="56" spans="1:12" s="65" customFormat="1" ht="12.75" customHeight="1">
      <c r="A56" s="66" t="s">
        <v>498</v>
      </c>
      <c r="B56" s="67"/>
      <c r="C56" s="26" t="s">
        <v>187</v>
      </c>
      <c r="E56" s="66" t="s">
        <v>628</v>
      </c>
      <c r="G56" s="30">
        <f>VLOOKUP($F$5 &amp; $A56 &amp; $E56,AddRes,7,FALSE)</f>
        <v>0</v>
      </c>
      <c r="H56" s="30">
        <f>VLOOKUP($F$5 &amp; $A56 &amp; $E56,AddRes,8,FALSE)</f>
        <v>0</v>
      </c>
      <c r="I56" s="69">
        <f>VLOOKUP($F$5 &amp; $A56 &amp; $E56,AddRes,10,FALSE)</f>
        <v>42551</v>
      </c>
    </row>
    <row r="57" spans="1:12" s="65" customFormat="1" ht="12.75" customHeight="1">
      <c r="A57" s="66" t="s">
        <v>505</v>
      </c>
      <c r="B57" s="67"/>
      <c r="C57" s="26" t="s">
        <v>187</v>
      </c>
      <c r="E57" s="66" t="s">
        <v>629</v>
      </c>
      <c r="G57" s="30">
        <f>VLOOKUP($F$5 &amp; $A57 &amp; $E57,AddRes,7,FALSE)</f>
        <v>0</v>
      </c>
      <c r="H57" s="30">
        <f>VLOOKUP($F$5 &amp; $A57 &amp; $E57,AddRes,8,FALSE)</f>
        <v>0</v>
      </c>
      <c r="I57" s="69">
        <f>VLOOKUP($F$5 &amp; $A57 &amp; $E57,AddRes,10,FALSE)</f>
        <v>42551</v>
      </c>
      <c r="K57" s="75"/>
      <c r="L57" s="75"/>
    </row>
    <row r="58" spans="1:12" s="65" customFormat="1" ht="12.75" customHeight="1">
      <c r="A58" s="66" t="s">
        <v>241</v>
      </c>
      <c r="B58" s="67"/>
      <c r="C58" s="26" t="s">
        <v>187</v>
      </c>
      <c r="E58" s="66" t="s">
        <v>630</v>
      </c>
      <c r="G58" s="30">
        <f>VLOOKUP($F$5 &amp; $A58 &amp; $E58,AddRes,7,FALSE)</f>
        <v>0</v>
      </c>
      <c r="H58" s="30">
        <f>VLOOKUP($F$5 &amp; $A58 &amp; $E58,AddRes,8,FALSE)</f>
        <v>0</v>
      </c>
      <c r="I58" s="69">
        <f>VLOOKUP($F$5 &amp; $A58 &amp; $E58,AddRes,10,FALSE)</f>
        <v>42551</v>
      </c>
    </row>
    <row r="59" spans="1:12" s="65" customFormat="1" ht="12.75" customHeight="1">
      <c r="A59" s="66" t="s">
        <v>242</v>
      </c>
      <c r="B59" s="67"/>
      <c r="C59" s="26" t="s">
        <v>187</v>
      </c>
      <c r="E59" s="66" t="s">
        <v>246</v>
      </c>
      <c r="G59" s="30">
        <f t="shared" ref="G59:G67" si="16">VLOOKUP($F$5 &amp; $A59 &amp; $E59,AddRes,7,FALSE)</f>
        <v>0</v>
      </c>
      <c r="H59" s="30">
        <f t="shared" ref="H59:H67" si="17">VLOOKUP($F$5 &amp; $A59 &amp; $E59,AddRes,8,FALSE)</f>
        <v>0</v>
      </c>
      <c r="I59" s="69">
        <f t="shared" ref="I59:I67" si="18">VLOOKUP($F$5 &amp; $A59 &amp; $E59,AddRes,10,FALSE)</f>
        <v>42551</v>
      </c>
    </row>
    <row r="60" spans="1:12" s="65" customFormat="1" ht="12.75" customHeight="1">
      <c r="A60" s="66" t="s">
        <v>235</v>
      </c>
      <c r="B60" s="67"/>
      <c r="C60" s="26" t="s">
        <v>187</v>
      </c>
      <c r="E60" s="66" t="s">
        <v>631</v>
      </c>
      <c r="G60" s="30">
        <f t="shared" ref="G60:G66" si="19">VLOOKUP($F$5 &amp; $A60 &amp; $E60,AddRes,7,FALSE)</f>
        <v>0</v>
      </c>
      <c r="H60" s="30">
        <f t="shared" ref="H60:H66" si="20">VLOOKUP($F$5 &amp; $A60 &amp; $E60,AddRes,8,FALSE)</f>
        <v>0</v>
      </c>
      <c r="I60" s="69">
        <f t="shared" ref="I60:I66" si="21">VLOOKUP($F$5 &amp; $A60 &amp; $E60,AddRes,10,FALSE)</f>
        <v>42277</v>
      </c>
    </row>
    <row r="61" spans="1:12" s="65" customFormat="1" ht="12.75" customHeight="1">
      <c r="A61" s="66" t="s">
        <v>231</v>
      </c>
      <c r="B61" s="67"/>
      <c r="C61" s="26" t="s">
        <v>187</v>
      </c>
      <c r="E61" s="66" t="s">
        <v>632</v>
      </c>
      <c r="G61" s="30">
        <f t="shared" si="19"/>
        <v>0</v>
      </c>
      <c r="H61" s="30">
        <f t="shared" si="20"/>
        <v>0</v>
      </c>
      <c r="I61" s="69">
        <f t="shared" si="21"/>
        <v>42551</v>
      </c>
    </row>
    <row r="62" spans="1:12" s="65" customFormat="1" ht="12.75" customHeight="1">
      <c r="A62" s="66" t="s">
        <v>232</v>
      </c>
      <c r="B62" s="67"/>
      <c r="C62" s="26" t="s">
        <v>187</v>
      </c>
      <c r="E62" s="66" t="s">
        <v>633</v>
      </c>
      <c r="G62" s="30">
        <f t="shared" si="19"/>
        <v>0</v>
      </c>
      <c r="H62" s="30">
        <f t="shared" si="20"/>
        <v>0</v>
      </c>
      <c r="I62" s="69">
        <f t="shared" si="21"/>
        <v>42551</v>
      </c>
    </row>
    <row r="63" spans="1:12" s="65" customFormat="1" ht="12.75" customHeight="1">
      <c r="A63" s="66" t="s">
        <v>240</v>
      </c>
      <c r="B63" s="67"/>
      <c r="C63" s="26" t="s">
        <v>188</v>
      </c>
      <c r="E63" s="66" t="s">
        <v>379</v>
      </c>
      <c r="G63" s="30">
        <f t="shared" si="19"/>
        <v>0</v>
      </c>
      <c r="H63" s="30">
        <f t="shared" si="20"/>
        <v>0</v>
      </c>
      <c r="I63" s="69">
        <f t="shared" si="21"/>
        <v>42277</v>
      </c>
      <c r="J63" s="198"/>
    </row>
    <row r="64" spans="1:12" s="65" customFormat="1" ht="12.75" customHeight="1">
      <c r="A64" s="66" t="s">
        <v>497</v>
      </c>
      <c r="B64" s="67"/>
      <c r="C64" s="26" t="s">
        <v>188</v>
      </c>
      <c r="E64" s="66" t="s">
        <v>673</v>
      </c>
      <c r="G64" s="30">
        <f t="shared" si="19"/>
        <v>0</v>
      </c>
      <c r="H64" s="30">
        <f t="shared" si="20"/>
        <v>0</v>
      </c>
      <c r="I64" s="69">
        <f t="shared" si="21"/>
        <v>42551</v>
      </c>
    </row>
    <row r="65" spans="1:13" s="65" customFormat="1" ht="12.75" customHeight="1">
      <c r="A65" s="66" t="s">
        <v>498</v>
      </c>
      <c r="B65" s="67"/>
      <c r="C65" s="26" t="s">
        <v>188</v>
      </c>
      <c r="E65" s="66" t="s">
        <v>674</v>
      </c>
      <c r="G65" s="30">
        <f t="shared" si="19"/>
        <v>0</v>
      </c>
      <c r="H65" s="30">
        <f t="shared" si="20"/>
        <v>0</v>
      </c>
      <c r="I65" s="69">
        <f t="shared" si="21"/>
        <v>42551</v>
      </c>
      <c r="K65" s="198">
        <f>SUM(G55:G62)</f>
        <v>0</v>
      </c>
      <c r="L65" s="198">
        <f>SUM(H55:H62)</f>
        <v>0</v>
      </c>
      <c r="M65" s="65" t="s">
        <v>187</v>
      </c>
    </row>
    <row r="66" spans="1:13" s="65" customFormat="1" ht="12.75" customHeight="1">
      <c r="A66" s="66" t="s">
        <v>505</v>
      </c>
      <c r="B66" s="67"/>
      <c r="C66" s="26" t="s">
        <v>188</v>
      </c>
      <c r="E66" s="66" t="s">
        <v>675</v>
      </c>
      <c r="G66" s="30">
        <f t="shared" si="19"/>
        <v>0</v>
      </c>
      <c r="H66" s="30">
        <f t="shared" si="20"/>
        <v>0</v>
      </c>
      <c r="I66" s="69">
        <f t="shared" si="21"/>
        <v>42551</v>
      </c>
    </row>
    <row r="67" spans="1:13" s="65" customFormat="1" ht="12.75" customHeight="1">
      <c r="A67" s="66" t="s">
        <v>242</v>
      </c>
      <c r="B67" s="67"/>
      <c r="C67" s="26" t="s">
        <v>188</v>
      </c>
      <c r="E67" s="66" t="s">
        <v>248</v>
      </c>
      <c r="G67" s="30">
        <f t="shared" si="16"/>
        <v>0</v>
      </c>
      <c r="H67" s="30">
        <f t="shared" si="17"/>
        <v>0</v>
      </c>
      <c r="I67" s="69">
        <f t="shared" si="18"/>
        <v>42551</v>
      </c>
    </row>
    <row r="68" spans="1:13" s="65" customFormat="1" ht="12.75" customHeight="1">
      <c r="A68" s="66" t="s">
        <v>231</v>
      </c>
      <c r="B68" s="67"/>
      <c r="C68" s="26" t="s">
        <v>188</v>
      </c>
      <c r="E68" s="66" t="s">
        <v>676</v>
      </c>
      <c r="G68" s="30">
        <f t="shared" ref="G68:G83" si="22">VLOOKUP($F$5 &amp; $A68 &amp; $E68,AddRes,7,FALSE)</f>
        <v>0</v>
      </c>
      <c r="H68" s="30">
        <f t="shared" ref="H68:H83" si="23">VLOOKUP($F$5 &amp; $A68 &amp; $E68,AddRes,8,FALSE)</f>
        <v>0</v>
      </c>
      <c r="I68" s="69">
        <f t="shared" ref="I68:I83" si="24">VLOOKUP($F$5 &amp; $A68 &amp; $E68,AddRes,10,FALSE)</f>
        <v>42551</v>
      </c>
    </row>
    <row r="69" spans="1:13" s="65" customFormat="1" ht="12.75" customHeight="1">
      <c r="A69" s="66" t="s">
        <v>232</v>
      </c>
      <c r="B69" s="67"/>
      <c r="C69" s="26" t="s">
        <v>188</v>
      </c>
      <c r="E69" s="66" t="s">
        <v>677</v>
      </c>
      <c r="G69" s="30">
        <f t="shared" si="22"/>
        <v>0</v>
      </c>
      <c r="H69" s="30">
        <f t="shared" si="23"/>
        <v>0</v>
      </c>
      <c r="I69" s="69">
        <f t="shared" si="24"/>
        <v>42551</v>
      </c>
    </row>
    <row r="70" spans="1:13" s="65" customFormat="1" ht="12.75" customHeight="1">
      <c r="A70" s="66" t="s">
        <v>240</v>
      </c>
      <c r="B70" s="67"/>
      <c r="C70" s="26" t="s">
        <v>237</v>
      </c>
      <c r="E70" s="66" t="s">
        <v>380</v>
      </c>
      <c r="G70" s="30">
        <f t="shared" si="22"/>
        <v>0</v>
      </c>
      <c r="H70" s="30">
        <f t="shared" si="23"/>
        <v>0</v>
      </c>
      <c r="I70" s="69">
        <f t="shared" si="24"/>
        <v>42277</v>
      </c>
    </row>
    <row r="71" spans="1:13" s="65" customFormat="1" ht="12.75" customHeight="1">
      <c r="A71" s="66" t="s">
        <v>497</v>
      </c>
      <c r="B71" s="67"/>
      <c r="C71" s="26" t="s">
        <v>237</v>
      </c>
      <c r="E71" s="66" t="s">
        <v>678</v>
      </c>
      <c r="G71" s="30">
        <f t="shared" si="22"/>
        <v>0</v>
      </c>
      <c r="H71" s="30">
        <f t="shared" si="23"/>
        <v>0</v>
      </c>
      <c r="I71" s="69">
        <f t="shared" si="24"/>
        <v>42551</v>
      </c>
    </row>
    <row r="72" spans="1:13" s="65" customFormat="1" ht="12.75" customHeight="1">
      <c r="A72" s="66" t="s">
        <v>498</v>
      </c>
      <c r="B72" s="67"/>
      <c r="C72" s="26" t="s">
        <v>237</v>
      </c>
      <c r="E72" s="66" t="s">
        <v>679</v>
      </c>
      <c r="G72" s="270">
        <f t="shared" si="22"/>
        <v>0</v>
      </c>
      <c r="H72" s="270">
        <f t="shared" si="23"/>
        <v>0</v>
      </c>
      <c r="I72" s="69">
        <f t="shared" si="24"/>
        <v>42551</v>
      </c>
    </row>
    <row r="73" spans="1:13" s="65" customFormat="1" ht="12.75" customHeight="1">
      <c r="A73" s="66" t="s">
        <v>231</v>
      </c>
      <c r="B73" s="67"/>
      <c r="C73" s="26" t="s">
        <v>237</v>
      </c>
      <c r="E73" s="66" t="s">
        <v>680</v>
      </c>
      <c r="G73" s="30">
        <f t="shared" si="22"/>
        <v>0</v>
      </c>
      <c r="H73" s="30">
        <f t="shared" si="23"/>
        <v>0</v>
      </c>
      <c r="I73" s="69">
        <f t="shared" si="24"/>
        <v>42551</v>
      </c>
      <c r="K73" s="198">
        <f>SUM(G71:G74)</f>
        <v>0</v>
      </c>
      <c r="L73" s="198">
        <f>SUM(H71:H74)</f>
        <v>0</v>
      </c>
      <c r="M73" s="65" t="s">
        <v>237</v>
      </c>
    </row>
    <row r="74" spans="1:13" s="65" customFormat="1" ht="12.75" customHeight="1">
      <c r="A74" s="66" t="s">
        <v>232</v>
      </c>
      <c r="B74" s="67"/>
      <c r="C74" s="26" t="s">
        <v>237</v>
      </c>
      <c r="E74" s="66" t="s">
        <v>681</v>
      </c>
      <c r="G74" s="30">
        <f t="shared" si="22"/>
        <v>0</v>
      </c>
      <c r="H74" s="30">
        <f t="shared" si="23"/>
        <v>0</v>
      </c>
      <c r="I74" s="69">
        <f t="shared" si="24"/>
        <v>42551</v>
      </c>
    </row>
    <row r="75" spans="1:13" s="65" customFormat="1" ht="12.75" customHeight="1">
      <c r="A75" s="66" t="s">
        <v>240</v>
      </c>
      <c r="B75" s="67"/>
      <c r="C75" s="26" t="s">
        <v>217</v>
      </c>
      <c r="E75" s="66" t="s">
        <v>384</v>
      </c>
      <c r="G75" s="30">
        <f t="shared" si="22"/>
        <v>0</v>
      </c>
      <c r="H75" s="30">
        <f t="shared" si="23"/>
        <v>0</v>
      </c>
      <c r="I75" s="69">
        <f t="shared" si="24"/>
        <v>42277</v>
      </c>
    </row>
    <row r="76" spans="1:13" s="65" customFormat="1" ht="12.75" customHeight="1">
      <c r="A76" s="66" t="s">
        <v>497</v>
      </c>
      <c r="B76" s="67"/>
      <c r="C76" s="26" t="s">
        <v>217</v>
      </c>
      <c r="E76" s="66" t="s">
        <v>703</v>
      </c>
      <c r="G76" s="30">
        <f t="shared" si="22"/>
        <v>0</v>
      </c>
      <c r="H76" s="30">
        <f t="shared" si="23"/>
        <v>0</v>
      </c>
      <c r="I76" s="69">
        <f t="shared" si="24"/>
        <v>42551</v>
      </c>
      <c r="J76" s="198"/>
    </row>
    <row r="77" spans="1:13" s="65" customFormat="1" ht="12.75" customHeight="1">
      <c r="A77" s="66" t="s">
        <v>498</v>
      </c>
      <c r="B77" s="67"/>
      <c r="C77" s="26" t="s">
        <v>217</v>
      </c>
      <c r="E77" s="66" t="s">
        <v>704</v>
      </c>
      <c r="G77" s="30">
        <f t="shared" si="22"/>
        <v>0</v>
      </c>
      <c r="H77" s="30">
        <f t="shared" si="23"/>
        <v>0</v>
      </c>
      <c r="I77" s="69">
        <f t="shared" si="24"/>
        <v>42551</v>
      </c>
    </row>
    <row r="78" spans="1:13" s="65" customFormat="1" ht="12.75" customHeight="1">
      <c r="A78" s="66" t="s">
        <v>505</v>
      </c>
      <c r="B78" s="67"/>
      <c r="C78" s="26" t="s">
        <v>217</v>
      </c>
      <c r="E78" s="66" t="s">
        <v>705</v>
      </c>
      <c r="G78" s="30">
        <f t="shared" si="22"/>
        <v>0</v>
      </c>
      <c r="H78" s="30">
        <f t="shared" si="23"/>
        <v>0</v>
      </c>
      <c r="I78" s="69">
        <f t="shared" si="24"/>
        <v>42551</v>
      </c>
      <c r="J78" s="198"/>
    </row>
    <row r="79" spans="1:13" s="65" customFormat="1" ht="12.75" customHeight="1">
      <c r="A79" s="66" t="s">
        <v>269</v>
      </c>
      <c r="B79" s="67"/>
      <c r="C79" s="26" t="s">
        <v>217</v>
      </c>
      <c r="E79" s="66" t="s">
        <v>706</v>
      </c>
      <c r="G79" s="30">
        <f t="shared" si="22"/>
        <v>0</v>
      </c>
      <c r="H79" s="30">
        <f t="shared" si="23"/>
        <v>0</v>
      </c>
      <c r="I79" s="69">
        <f t="shared" si="24"/>
        <v>42916</v>
      </c>
    </row>
    <row r="80" spans="1:13" s="65" customFormat="1" ht="12.75" customHeight="1">
      <c r="A80" s="66" t="s">
        <v>269</v>
      </c>
      <c r="B80" s="67"/>
      <c r="C80" s="26" t="s">
        <v>217</v>
      </c>
      <c r="E80" s="66" t="s">
        <v>707</v>
      </c>
      <c r="G80" s="270">
        <f t="shared" si="22"/>
        <v>0</v>
      </c>
      <c r="H80" s="270">
        <f t="shared" si="23"/>
        <v>0</v>
      </c>
      <c r="I80" s="69">
        <f t="shared" si="24"/>
        <v>42916</v>
      </c>
    </row>
    <row r="81" spans="1:9" s="65" customFormat="1" ht="12.75" customHeight="1">
      <c r="A81" s="66" t="s">
        <v>231</v>
      </c>
      <c r="B81" s="67"/>
      <c r="C81" s="26" t="s">
        <v>217</v>
      </c>
      <c r="E81" s="66" t="s">
        <v>708</v>
      </c>
      <c r="G81" s="30">
        <f t="shared" si="22"/>
        <v>0</v>
      </c>
      <c r="H81" s="30">
        <f t="shared" si="23"/>
        <v>0</v>
      </c>
      <c r="I81" s="69">
        <f t="shared" si="24"/>
        <v>42551</v>
      </c>
    </row>
    <row r="82" spans="1:9" s="65" customFormat="1" ht="12.75" customHeight="1">
      <c r="A82" s="66" t="s">
        <v>506</v>
      </c>
      <c r="B82" s="67"/>
      <c r="C82" s="26" t="s">
        <v>217</v>
      </c>
      <c r="E82" s="66" t="s">
        <v>709</v>
      </c>
      <c r="G82" s="270">
        <f t="shared" si="22"/>
        <v>0</v>
      </c>
      <c r="H82" s="270">
        <f t="shared" si="23"/>
        <v>0</v>
      </c>
      <c r="I82" s="69">
        <f t="shared" si="24"/>
        <v>42551</v>
      </c>
    </row>
    <row r="83" spans="1:9" s="65" customFormat="1" ht="12.75" customHeight="1">
      <c r="A83" s="66" t="s">
        <v>232</v>
      </c>
      <c r="B83" s="67"/>
      <c r="C83" s="26" t="s">
        <v>217</v>
      </c>
      <c r="E83" s="66" t="s">
        <v>710</v>
      </c>
      <c r="G83" s="270">
        <f t="shared" si="22"/>
        <v>0</v>
      </c>
      <c r="H83" s="270">
        <f t="shared" si="23"/>
        <v>0</v>
      </c>
      <c r="I83" s="69">
        <f t="shared" si="24"/>
        <v>42551</v>
      </c>
    </row>
    <row r="84" spans="1:9" s="65" customFormat="1" ht="12.75" customHeight="1">
      <c r="C84" s="70"/>
      <c r="D84" s="70"/>
      <c r="E84" s="70"/>
      <c r="F84" s="70"/>
      <c r="G84" s="71"/>
      <c r="H84" s="72"/>
      <c r="I84" s="73"/>
    </row>
    <row r="85" spans="1:9" s="65" customFormat="1" ht="12.75" customHeight="1">
      <c r="C85" s="74" t="s">
        <v>71</v>
      </c>
      <c r="D85" s="70"/>
      <c r="E85" s="70"/>
      <c r="F85" s="70"/>
      <c r="G85" s="75">
        <f>SUM(G54:G83)</f>
        <v>0</v>
      </c>
      <c r="H85" s="75">
        <f>SUM(H54:H83)</f>
        <v>0</v>
      </c>
      <c r="I85" s="73"/>
    </row>
    <row r="86" spans="1:9" s="65" customFormat="1" ht="12.75" customHeight="1">
      <c r="C86" s="70"/>
      <c r="D86" s="70"/>
      <c r="E86" s="70"/>
      <c r="F86" s="70"/>
      <c r="G86" s="70"/>
      <c r="I86" s="73"/>
    </row>
    <row r="87" spans="1:9" s="65" customFormat="1" ht="12.75" customHeight="1">
      <c r="C87" s="70"/>
      <c r="D87" s="70"/>
      <c r="E87" s="70"/>
      <c r="F87" s="70"/>
      <c r="G87" s="70"/>
      <c r="I87" s="73"/>
    </row>
    <row r="88" spans="1:9" s="65" customFormat="1" ht="12.75" customHeight="1">
      <c r="C88" s="70"/>
      <c r="D88" s="70"/>
      <c r="E88" s="70"/>
      <c r="F88" s="70"/>
      <c r="G88" s="70"/>
      <c r="I88" s="73"/>
    </row>
    <row r="89" spans="1:9" s="65" customFormat="1" ht="12.75" customHeight="1">
      <c r="C89" s="70"/>
      <c r="D89" s="70"/>
      <c r="E89" s="70"/>
      <c r="F89" s="70"/>
      <c r="G89" s="70"/>
      <c r="I89" s="73"/>
    </row>
    <row r="90" spans="1:9" s="65" customFormat="1" ht="12.75" customHeight="1">
      <c r="C90" s="70"/>
      <c r="D90" s="70"/>
      <c r="E90" s="70"/>
      <c r="F90" s="70"/>
      <c r="G90" s="70"/>
      <c r="I90" s="73"/>
    </row>
    <row r="91" spans="1:9" s="65" customFormat="1" ht="12.75" customHeight="1">
      <c r="C91" s="70"/>
      <c r="D91" s="70"/>
      <c r="E91" s="70"/>
      <c r="F91" s="70"/>
      <c r="G91" s="70"/>
      <c r="I91" s="73"/>
    </row>
    <row r="92" spans="1:9" s="65" customFormat="1" ht="12.75" customHeight="1">
      <c r="C92" s="70"/>
      <c r="D92" s="70"/>
      <c r="E92" s="70"/>
      <c r="F92" s="70"/>
      <c r="G92" s="70"/>
      <c r="I92" s="73"/>
    </row>
    <row r="93" spans="1:9" s="65" customFormat="1" ht="12.75" customHeight="1">
      <c r="C93" s="70"/>
      <c r="D93" s="70"/>
      <c r="E93" s="70"/>
      <c r="F93" s="70"/>
      <c r="G93" s="70"/>
      <c r="I93" s="73"/>
    </row>
    <row r="94" spans="1:9" s="65" customFormat="1" ht="12.75" customHeight="1">
      <c r="C94" s="70"/>
      <c r="D94" s="70"/>
      <c r="E94" s="70"/>
      <c r="F94" s="70"/>
      <c r="G94" s="70"/>
      <c r="I94" s="73"/>
    </row>
    <row r="95" spans="1:9" s="65" customFormat="1" ht="12.75" customHeight="1">
      <c r="C95" s="70"/>
      <c r="D95" s="70"/>
      <c r="E95" s="70"/>
      <c r="F95" s="70"/>
      <c r="G95" s="70"/>
      <c r="I95" s="73"/>
    </row>
    <row r="96" spans="1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  <row r="139" spans="3:9" s="65" customFormat="1" ht="12.75" customHeight="1">
      <c r="C139" s="70"/>
      <c r="D139" s="70"/>
      <c r="E139" s="70"/>
      <c r="F139" s="70"/>
      <c r="G139" s="70"/>
      <c r="I139" s="73"/>
    </row>
    <row r="140" spans="3:9" s="65" customFormat="1" ht="12.75" customHeight="1">
      <c r="C140" s="70"/>
      <c r="D140" s="70"/>
      <c r="E140" s="70"/>
      <c r="F140" s="70"/>
      <c r="G140" s="70"/>
      <c r="I140" s="73"/>
    </row>
    <row r="141" spans="3:9" s="65" customFormat="1" ht="12.75" customHeight="1">
      <c r="C141" s="70"/>
      <c r="D141" s="70"/>
      <c r="E141" s="70"/>
      <c r="F141" s="70"/>
      <c r="G141" s="70"/>
      <c r="I141" s="73"/>
    </row>
    <row r="142" spans="3:9" s="65" customFormat="1" ht="12.75" customHeight="1">
      <c r="C142" s="70"/>
      <c r="D142" s="70"/>
      <c r="E142" s="70"/>
      <c r="F142" s="70"/>
      <c r="G142" s="70"/>
      <c r="I142" s="73"/>
    </row>
    <row r="143" spans="3:9" s="65" customFormat="1" ht="12.75" customHeight="1">
      <c r="C143" s="70"/>
      <c r="D143" s="70"/>
      <c r="E143" s="70"/>
      <c r="F143" s="70"/>
      <c r="G143" s="70"/>
      <c r="I143" s="73"/>
    </row>
    <row r="144" spans="3:9" s="65" customFormat="1" ht="12.75" customHeight="1">
      <c r="C144" s="70"/>
      <c r="D144" s="70"/>
      <c r="E144" s="70"/>
      <c r="F144" s="70"/>
      <c r="G144" s="70"/>
      <c r="I144" s="73"/>
    </row>
    <row r="145" spans="3:9" s="65" customFormat="1" ht="12.75" customHeight="1">
      <c r="C145" s="70"/>
      <c r="D145" s="70"/>
      <c r="E145" s="70"/>
      <c r="F145" s="70"/>
      <c r="G145" s="70"/>
      <c r="I145" s="73"/>
    </row>
    <row r="146" spans="3:9" s="65" customFormat="1" ht="12.75" customHeight="1">
      <c r="C146" s="70"/>
      <c r="D146" s="70"/>
      <c r="E146" s="70"/>
      <c r="F146" s="70"/>
      <c r="G146" s="70"/>
      <c r="I146" s="73"/>
    </row>
    <row r="147" spans="3:9" s="65" customFormat="1" ht="12.75" customHeight="1">
      <c r="C147" s="70"/>
      <c r="D147" s="70"/>
      <c r="E147" s="70"/>
      <c r="F147" s="70"/>
      <c r="G147" s="70"/>
      <c r="I147" s="73"/>
    </row>
    <row r="148" spans="3:9" s="65" customFormat="1" ht="12.75" customHeight="1">
      <c r="C148" s="70"/>
      <c r="D148" s="70"/>
      <c r="E148" s="70"/>
      <c r="F148" s="70"/>
      <c r="G148" s="70"/>
      <c r="I148" s="73"/>
    </row>
    <row r="149" spans="3:9" s="65" customFormat="1" ht="12.75" customHeight="1">
      <c r="C149" s="70"/>
      <c r="D149" s="70"/>
      <c r="E149" s="70"/>
      <c r="F149" s="70"/>
      <c r="G149" s="70"/>
      <c r="I149" s="73"/>
    </row>
    <row r="150" spans="3:9" s="65" customFormat="1" ht="12.75" customHeight="1">
      <c r="C150" s="70"/>
      <c r="D150" s="70"/>
      <c r="E150" s="70"/>
      <c r="F150" s="70"/>
      <c r="G150" s="70"/>
      <c r="I150" s="73"/>
    </row>
    <row r="151" spans="3:9" s="65" customFormat="1" ht="12.75" customHeight="1">
      <c r="C151" s="70"/>
      <c r="D151" s="70"/>
      <c r="E151" s="70"/>
      <c r="F151" s="70"/>
      <c r="G151" s="70"/>
      <c r="I151" s="73"/>
    </row>
    <row r="152" spans="3:9" s="65" customFormat="1" ht="12.75" customHeight="1">
      <c r="C152" s="70"/>
      <c r="D152" s="70"/>
      <c r="E152" s="70"/>
      <c r="F152" s="70"/>
      <c r="G152" s="70"/>
      <c r="I152" s="73"/>
    </row>
    <row r="153" spans="3:9" s="65" customFormat="1" ht="12.75" customHeight="1">
      <c r="C153" s="70"/>
      <c r="D153" s="70"/>
      <c r="E153" s="70"/>
      <c r="F153" s="70"/>
      <c r="G153" s="70"/>
      <c r="I153" s="73"/>
    </row>
    <row r="154" spans="3:9" s="65" customFormat="1" ht="12.75" customHeight="1">
      <c r="C154" s="70"/>
      <c r="D154" s="70"/>
      <c r="E154" s="70"/>
      <c r="F154" s="70"/>
      <c r="G154" s="70"/>
      <c r="I154" s="73"/>
    </row>
    <row r="155" spans="3:9" s="65" customFormat="1" ht="12.75" customHeight="1">
      <c r="C155" s="70"/>
      <c r="D155" s="70"/>
      <c r="E155" s="70"/>
      <c r="F155" s="70"/>
      <c r="G155" s="70"/>
      <c r="I155" s="73"/>
    </row>
    <row r="156" spans="3:9" s="65" customFormat="1" ht="12.75" customHeight="1">
      <c r="C156" s="70"/>
      <c r="D156" s="70"/>
      <c r="E156" s="70"/>
      <c r="F156" s="70"/>
      <c r="G156" s="70"/>
      <c r="I156" s="73"/>
    </row>
    <row r="157" spans="3:9" s="65" customFormat="1" ht="12.75" customHeight="1">
      <c r="C157" s="70"/>
      <c r="D157" s="70"/>
      <c r="E157" s="70"/>
      <c r="F157" s="70"/>
      <c r="G157" s="70"/>
      <c r="I157" s="73"/>
    </row>
    <row r="158" spans="3:9" s="65" customFormat="1" ht="12.75" customHeight="1">
      <c r="C158" s="70"/>
      <c r="D158" s="70"/>
      <c r="E158" s="70"/>
      <c r="F158" s="70"/>
      <c r="G158" s="70"/>
      <c r="I158" s="73"/>
    </row>
    <row r="159" spans="3:9" s="65" customFormat="1" ht="12.75" customHeight="1">
      <c r="C159" s="70"/>
      <c r="D159" s="70"/>
      <c r="E159" s="70"/>
      <c r="F159" s="70"/>
      <c r="G159" s="70"/>
      <c r="I159" s="73"/>
    </row>
    <row r="160" spans="3:9" s="65" customFormat="1" ht="12.75" customHeight="1">
      <c r="C160" s="70"/>
      <c r="D160" s="70"/>
      <c r="E160" s="70"/>
      <c r="F160" s="70"/>
      <c r="G160" s="70"/>
      <c r="I160" s="73"/>
    </row>
    <row r="161" spans="3:9" s="65" customFormat="1" ht="12.75" customHeight="1">
      <c r="C161" s="70"/>
      <c r="D161" s="70"/>
      <c r="E161" s="70"/>
      <c r="F161" s="70"/>
      <c r="G161" s="70"/>
      <c r="I161" s="73"/>
    </row>
    <row r="162" spans="3:9" s="65" customFormat="1" ht="12.75" customHeight="1">
      <c r="C162" s="70"/>
      <c r="D162" s="70"/>
      <c r="E162" s="70"/>
      <c r="F162" s="70"/>
      <c r="G162" s="70"/>
      <c r="I162" s="73"/>
    </row>
    <row r="163" spans="3:9" s="65" customFormat="1" ht="12.75" customHeight="1">
      <c r="C163" s="70"/>
      <c r="D163" s="70"/>
      <c r="E163" s="70"/>
      <c r="F163" s="70"/>
      <c r="G163" s="70"/>
      <c r="I163" s="73"/>
    </row>
    <row r="164" spans="3:9" s="65" customFormat="1" ht="12.75" customHeight="1">
      <c r="C164" s="70"/>
      <c r="D164" s="70"/>
      <c r="E164" s="70"/>
      <c r="F164" s="70"/>
      <c r="G164" s="70"/>
      <c r="I164" s="73"/>
    </row>
    <row r="165" spans="3:9" s="65" customFormat="1" ht="12.75" customHeight="1">
      <c r="C165" s="70"/>
      <c r="D165" s="70"/>
      <c r="E165" s="70"/>
      <c r="F165" s="70"/>
      <c r="G165" s="70"/>
      <c r="I165" s="73"/>
    </row>
    <row r="166" spans="3:9" s="65" customFormat="1" ht="12.75" customHeight="1">
      <c r="C166" s="70"/>
      <c r="D166" s="70"/>
      <c r="E166" s="70"/>
      <c r="F166" s="70"/>
      <c r="G166" s="70"/>
      <c r="I166" s="73"/>
    </row>
    <row r="167" spans="3:9" s="65" customFormat="1" ht="12.75" customHeight="1">
      <c r="C167" s="70"/>
      <c r="D167" s="70"/>
      <c r="E167" s="70"/>
      <c r="F167" s="70"/>
      <c r="G167" s="70"/>
      <c r="I167" s="73"/>
    </row>
    <row r="168" spans="3:9" s="65" customFormat="1" ht="12.75" customHeight="1">
      <c r="C168" s="70"/>
      <c r="D168" s="70"/>
      <c r="E168" s="70"/>
      <c r="F168" s="70"/>
      <c r="G168" s="70"/>
      <c r="I168" s="73"/>
    </row>
    <row r="169" spans="3:9" s="65" customFormat="1" ht="12.75" customHeight="1">
      <c r="C169" s="70"/>
      <c r="D169" s="70"/>
      <c r="E169" s="70"/>
      <c r="F169" s="70"/>
      <c r="G169" s="70"/>
      <c r="I169" s="73"/>
    </row>
    <row r="170" spans="3:9" s="65" customFormat="1" ht="12.75" customHeight="1">
      <c r="C170" s="70"/>
      <c r="D170" s="70"/>
      <c r="E170" s="70"/>
      <c r="F170" s="70"/>
      <c r="G170" s="70"/>
      <c r="I170" s="73"/>
    </row>
    <row r="171" spans="3:9" s="65" customFormat="1" ht="12.75" customHeight="1">
      <c r="C171" s="70"/>
      <c r="D171" s="70"/>
      <c r="E171" s="70"/>
      <c r="F171" s="70"/>
      <c r="G171" s="70"/>
      <c r="I171" s="73"/>
    </row>
  </sheetData>
  <mergeCells count="2">
    <mergeCell ref="A8:I8"/>
    <mergeCell ref="G5:I5"/>
  </mergeCells>
  <phoneticPr fontId="0" type="noConversion"/>
  <conditionalFormatting sqref="G51">
    <cfRule type="cellIs" dxfId="11" priority="3" stopIfTrue="1" operator="equal">
      <formula>19279082</formula>
    </cfRule>
  </conditionalFormatting>
  <printOptions horizontalCentered="1"/>
  <pageMargins left="0.25" right="0.25" top="0.25" bottom="0.5" header="0.35" footer="0.25"/>
  <pageSetup scale="70" orientation="portrait" r:id="rId1"/>
  <headerFooter alignWithMargins="0">
    <oddFooter>&amp;L&amp;"Calibri,Regular"Prepared by the SBCTC&amp;R&amp;"Calibri,Regular"&amp;D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L137"/>
  <sheetViews>
    <sheetView topLeftCell="A16"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3.5703125" style="23" bestFit="1" customWidth="1"/>
    <col min="11" max="12" width="11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121</v>
      </c>
      <c r="G5" s="505" t="str">
        <f>VLOOKUP($F5,District,2,FALSE)</f>
        <v>Shoreline Community College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5055</v>
      </c>
      <c r="D10" s="48"/>
      <c r="E10" s="48">
        <f>IF(ISNA(VLOOKUP($F$5,Student,14,FALSE)),0,VLOOKUP($F$5,Student,14,FALSE))</f>
        <v>20</v>
      </c>
      <c r="F10" s="48"/>
      <c r="G10" s="48">
        <f>$E$10+$C$10+$A$10</f>
        <v>5075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24" si="0">IF(ISNA(VLOOKUP($F$5 &amp;A16, AllocSched,12,FALSE)),"-",VLOOKUP($F$5 &amp;A16, AllocSched,12,FALSE))</f>
        <v>16531435</v>
      </c>
      <c r="D16" s="112" t="s">
        <v>51</v>
      </c>
      <c r="E16" s="16">
        <f t="shared" ref="E16:E24" si="1">IF(ISNA(VLOOKUP($F$5 &amp; A16, AllocSched,13,FALSE)),"-",VLOOKUP($F$5 &amp; A16, AllocSched,13,FALSE))</f>
        <v>-16601</v>
      </c>
      <c r="F16" s="16" t="s">
        <v>51</v>
      </c>
      <c r="G16" s="16">
        <f t="shared" ref="G16" si="2">IF(C16="-",E16,C16+E16)</f>
        <v>16514834</v>
      </c>
      <c r="H16" s="55" t="str">
        <f t="shared" ref="H16:H22" si="3">IF(ISNA(VLOOKUP($F$5 &amp; A16, AllocSched,9,FALSE))," ",VLOOKUP($F$5 &amp; A16, AllocSched,9,FALSE))</f>
        <v>001-011</v>
      </c>
      <c r="I16" s="56">
        <f t="shared" ref="I16:I37" si="4">IF(ISNA(VLOOKUP($F$5 &amp; A16, AllocSched,14,FALSE))," ",VLOOKUP($F$5 &amp; A16, AllocSched,14,FALSE))</f>
        <v>101</v>
      </c>
    </row>
    <row r="17" spans="1:9" ht="12.75" customHeight="1">
      <c r="A17" s="115" t="s">
        <v>171</v>
      </c>
      <c r="B17" s="54"/>
      <c r="C17" s="16">
        <f t="shared" si="0"/>
        <v>442887</v>
      </c>
      <c r="D17" s="112"/>
      <c r="E17" s="16">
        <f t="shared" si="1"/>
        <v>16601</v>
      </c>
      <c r="F17" s="16"/>
      <c r="G17" s="16">
        <f t="shared" ref="G17:G24" si="5">IF(C17="-",E17,C17+E17)</f>
        <v>459488</v>
      </c>
      <c r="H17" s="55" t="str">
        <f t="shared" si="3"/>
        <v>08A-3E0</v>
      </c>
      <c r="I17" s="56" t="str">
        <f t="shared" si="4"/>
        <v>3E0</v>
      </c>
    </row>
    <row r="18" spans="1:9" s="272" customFormat="1" ht="12.75" customHeight="1">
      <c r="A18" s="38" t="s">
        <v>781</v>
      </c>
      <c r="B18" s="54"/>
      <c r="C18" s="16">
        <f t="shared" si="0"/>
        <v>0</v>
      </c>
      <c r="D18" s="112"/>
      <c r="E18" s="16">
        <f t="shared" si="1"/>
        <v>104402</v>
      </c>
      <c r="F18" s="16"/>
      <c r="G18" s="16">
        <f t="shared" si="5"/>
        <v>104402</v>
      </c>
      <c r="H18" s="55" t="str">
        <f>IF(ISNA(VLOOKUP($F$5 &amp; A18, AllocSched,9,FALSE))," ",VLOOKUP($F$5 &amp; A18, AllocSched,9,FALSE))</f>
        <v>001-011</v>
      </c>
      <c r="I18" s="56">
        <f t="shared" si="4"/>
        <v>101</v>
      </c>
    </row>
    <row r="19" spans="1:9" s="272" customFormat="1" ht="12.75" customHeight="1">
      <c r="A19" s="115" t="s">
        <v>448</v>
      </c>
      <c r="B19" s="54"/>
      <c r="C19" s="16">
        <f t="shared" si="0"/>
        <v>0</v>
      </c>
      <c r="D19" s="112"/>
      <c r="E19" s="16">
        <f t="shared" si="1"/>
        <v>367722</v>
      </c>
      <c r="F19" s="16"/>
      <c r="G19" s="16">
        <f t="shared" si="5"/>
        <v>367722</v>
      </c>
      <c r="H19" s="55" t="str">
        <f>IF(ISNA(VLOOKUP($F$5 &amp; A19, AllocSched,9,FALSE))," ",VLOOKUP($F$5 &amp; A19, AllocSched,9,FALSE))</f>
        <v>001-011</v>
      </c>
      <c r="I19" s="56">
        <f t="shared" si="4"/>
        <v>101</v>
      </c>
    </row>
    <row r="20" spans="1:9" s="269" customFormat="1" ht="12.75" customHeight="1">
      <c r="A20" s="115" t="s">
        <v>340</v>
      </c>
      <c r="B20" s="54"/>
      <c r="C20" s="16">
        <f t="shared" si="0"/>
        <v>0</v>
      </c>
      <c r="D20" s="112"/>
      <c r="E20" s="16">
        <f t="shared" si="1"/>
        <v>913945</v>
      </c>
      <c r="F20" s="16"/>
      <c r="G20" s="16">
        <f t="shared" si="5"/>
        <v>913945</v>
      </c>
      <c r="H20" s="55" t="str">
        <f>IF(ISNA(VLOOKUP($F$5 &amp; A20, AllocSched,9,FALSE))," ",VLOOKUP($F$5 &amp; A20, AllocSched,9,FALSE))</f>
        <v>001-011</v>
      </c>
      <c r="I20" s="56">
        <f t="shared" si="4"/>
        <v>101</v>
      </c>
    </row>
    <row r="21" spans="1:9" s="272" customFormat="1" ht="12.75" customHeight="1">
      <c r="A21" s="115" t="s">
        <v>253</v>
      </c>
      <c r="B21" s="54"/>
      <c r="C21" s="16">
        <f t="shared" si="0"/>
        <v>0</v>
      </c>
      <c r="D21" s="112"/>
      <c r="E21" s="16">
        <f t="shared" si="1"/>
        <v>9000</v>
      </c>
      <c r="F21" s="16"/>
      <c r="G21" s="16">
        <f t="shared" si="5"/>
        <v>9000</v>
      </c>
      <c r="H21" s="55" t="str">
        <f>IF(ISNA(VLOOKUP($F$5 &amp; A21, AllocSched,9,FALSE))," ",VLOOKUP($F$5 &amp; A21, AllocSched,9,FALSE))</f>
        <v>001-011</v>
      </c>
      <c r="I21" s="56">
        <f t="shared" si="4"/>
        <v>101</v>
      </c>
    </row>
    <row r="22" spans="1:9" ht="12.75" customHeight="1">
      <c r="A22" s="115" t="s">
        <v>207</v>
      </c>
      <c r="B22" s="54"/>
      <c r="C22" s="16">
        <f t="shared" si="0"/>
        <v>0</v>
      </c>
      <c r="D22" s="112"/>
      <c r="E22" s="16">
        <f t="shared" si="1"/>
        <v>74449</v>
      </c>
      <c r="F22" s="16"/>
      <c r="G22" s="16">
        <f t="shared" si="5"/>
        <v>74449</v>
      </c>
      <c r="H22" s="55" t="str">
        <f t="shared" si="3"/>
        <v>001-011</v>
      </c>
      <c r="I22" s="56">
        <f t="shared" si="4"/>
        <v>101</v>
      </c>
    </row>
    <row r="23" spans="1:9" s="272" customFormat="1" ht="12.75" customHeight="1">
      <c r="A23" s="115" t="s">
        <v>203</v>
      </c>
      <c r="B23" s="54"/>
      <c r="C23" s="16">
        <f t="shared" si="0"/>
        <v>0</v>
      </c>
      <c r="D23" s="112"/>
      <c r="E23" s="16">
        <f t="shared" si="1"/>
        <v>-4758</v>
      </c>
      <c r="F23" s="16"/>
      <c r="G23" s="16">
        <f t="shared" si="5"/>
        <v>-4758</v>
      </c>
      <c r="H23" s="55" t="str">
        <f>IF(ISNA(VLOOKUP($F$5 &amp; A23, AllocSched,9,FALSE))," ",VLOOKUP($F$5 &amp; A23, AllocSched,9,FALSE))</f>
        <v>001-011</v>
      </c>
      <c r="I23" s="56">
        <f t="shared" si="4"/>
        <v>101</v>
      </c>
    </row>
    <row r="24" spans="1:9" s="272" customFormat="1" ht="12.75" customHeight="1">
      <c r="A24" s="115" t="s">
        <v>454</v>
      </c>
      <c r="B24" s="54"/>
      <c r="C24" s="16">
        <f t="shared" si="0"/>
        <v>0</v>
      </c>
      <c r="D24" s="112"/>
      <c r="E24" s="16">
        <f t="shared" si="1"/>
        <v>9431</v>
      </c>
      <c r="F24" s="16"/>
      <c r="G24" s="16">
        <f t="shared" si="5"/>
        <v>9431</v>
      </c>
      <c r="H24" s="55" t="str">
        <f>IF(ISNA(VLOOKUP($F$5 &amp; A24, AllocSched,9,FALSE))," ",VLOOKUP($F$5 &amp; A24, AllocSched,9,FALSE))</f>
        <v>001-011</v>
      </c>
      <c r="I24" s="56">
        <f t="shared" si="4"/>
        <v>101</v>
      </c>
    </row>
    <row r="25" spans="1:9" ht="12.75" customHeight="1">
      <c r="A25" s="115"/>
      <c r="B25" s="54"/>
      <c r="C25" s="16"/>
      <c r="D25" s="112"/>
      <c r="E25" s="16"/>
      <c r="F25" s="16"/>
      <c r="G25" s="16"/>
      <c r="H25" s="55" t="str">
        <f t="shared" ref="H25:H36" si="6">IF(ISNA(VLOOKUP($F$5 &amp; A25, AllocSched,9,FALSE))," ",VLOOKUP($F$5 &amp; A25, AllocSched,9,FALSE))</f>
        <v xml:space="preserve"> </v>
      </c>
      <c r="I25" s="56" t="str">
        <f t="shared" si="4"/>
        <v xml:space="preserve"> </v>
      </c>
    </row>
    <row r="26" spans="1:9" s="83" customFormat="1">
      <c r="A26" s="114" t="s">
        <v>168</v>
      </c>
      <c r="B26" s="84"/>
      <c r="C26" s="16"/>
      <c r="D26" s="112"/>
      <c r="E26" s="16"/>
      <c r="F26" s="16"/>
      <c r="G26" s="16"/>
      <c r="H26" s="55" t="str">
        <f t="shared" si="6"/>
        <v xml:space="preserve"> </v>
      </c>
      <c r="I26" s="56" t="str">
        <f t="shared" si="4"/>
        <v xml:space="preserve"> </v>
      </c>
    </row>
    <row r="27" spans="1:9" s="83" customFormat="1">
      <c r="A27" s="38" t="s">
        <v>345</v>
      </c>
      <c r="B27" s="84"/>
      <c r="C27" s="16">
        <f>IF(ISNA(VLOOKUP($F$5 &amp;A27, AllocSched,12,FALSE)),"-",VLOOKUP($F$5 &amp;A27, AllocSched,12,FALSE))</f>
        <v>152614</v>
      </c>
      <c r="D27" s="112"/>
      <c r="E27" s="16">
        <f>IF(ISNA(VLOOKUP($F$5 &amp; A27, AllocSched,13,FALSE)),"-",VLOOKUP($F$5 &amp; A27, AllocSched,13,FALSE))</f>
        <v>0</v>
      </c>
      <c r="F27" s="16"/>
      <c r="G27" s="16">
        <f>IF(C27="-",E27,C27+E27)</f>
        <v>152614</v>
      </c>
      <c r="H27" s="55" t="str">
        <f>IF(ISNA(VLOOKUP($F$5 &amp; A27, AllocSched,9,FALSE))," ",VLOOKUP($F$5 &amp; A27, AllocSched,9,FALSE))</f>
        <v>001-011</v>
      </c>
      <c r="I27" s="56">
        <f t="shared" si="4"/>
        <v>101</v>
      </c>
    </row>
    <row r="28" spans="1:9" ht="12.75" customHeight="1">
      <c r="A28" s="38" t="s">
        <v>409</v>
      </c>
      <c r="C28" s="16">
        <f>IF(ISNA(VLOOKUP($F$5 &amp;A28, AllocSched,12,FALSE)),"-",VLOOKUP($F$5 &amp;A28, AllocSched,12,FALSE))</f>
        <v>85367</v>
      </c>
      <c r="D28" s="112"/>
      <c r="E28" s="16">
        <f>IF(ISNA(VLOOKUP($F$5 &amp; A28, AllocSched,13,FALSE)),"-",VLOOKUP($F$5 &amp; A28, AllocSched,13,FALSE))</f>
        <v>-85367</v>
      </c>
      <c r="F28" s="16"/>
      <c r="G28" s="16">
        <f>IF(C28="-",E28,C28+E28)</f>
        <v>0</v>
      </c>
      <c r="H28" s="55" t="str">
        <f>IF(ISNA(VLOOKUP($F$5 &amp; A28, AllocSched,9,FALSE))," ",VLOOKUP($F$5 &amp; A28, AllocSched,9,FALSE))</f>
        <v>001-011</v>
      </c>
      <c r="I28" s="56">
        <f t="shared" si="4"/>
        <v>101</v>
      </c>
    </row>
    <row r="29" spans="1:9" ht="12.75" customHeight="1">
      <c r="A29" s="38" t="s">
        <v>170</v>
      </c>
      <c r="C29" s="16">
        <f t="shared" ref="C29:C35" si="7">IF(ISNA(VLOOKUP($F$5 &amp;A29, AllocSched,12,FALSE)),"-",VLOOKUP($F$5 &amp;A29, AllocSched,12,FALSE))</f>
        <v>67740</v>
      </c>
      <c r="D29" s="112"/>
      <c r="E29" s="16">
        <f t="shared" ref="E29:E36" si="8">IF(ISNA(VLOOKUP($F$5 &amp; A29, AllocSched,13,FALSE)),"-",VLOOKUP($F$5 &amp; A29, AllocSched,13,FALSE))</f>
        <v>-7004</v>
      </c>
      <c r="F29" s="16"/>
      <c r="G29" s="16">
        <f t="shared" ref="G29:G30" si="9">IF(C29="-",E29,C29+E29)</f>
        <v>60736</v>
      </c>
      <c r="H29" s="55" t="str">
        <f t="shared" si="6"/>
        <v>001-011</v>
      </c>
      <c r="I29" s="56">
        <f t="shared" si="4"/>
        <v>101</v>
      </c>
    </row>
    <row r="30" spans="1:9" ht="12.75" customHeight="1">
      <c r="A30" s="115" t="s">
        <v>150</v>
      </c>
      <c r="B30" s="54"/>
      <c r="C30" s="16">
        <f t="shared" si="7"/>
        <v>445412</v>
      </c>
      <c r="D30" s="112"/>
      <c r="E30" s="16">
        <f t="shared" si="8"/>
        <v>0</v>
      </c>
      <c r="F30" s="16"/>
      <c r="G30" s="16">
        <f t="shared" si="9"/>
        <v>445412</v>
      </c>
      <c r="H30" s="55" t="str">
        <f t="shared" si="6"/>
        <v>001-011</v>
      </c>
      <c r="I30" s="56">
        <f t="shared" si="4"/>
        <v>101</v>
      </c>
    </row>
    <row r="31" spans="1:9" ht="12.75" customHeight="1">
      <c r="A31" s="115" t="s">
        <v>273</v>
      </c>
      <c r="B31" s="54"/>
      <c r="C31" s="16">
        <f>IF(ISNA(VLOOKUP($F$5 &amp;A31, AllocSched,12,FALSE)),"-",VLOOKUP($F$5 &amp;A31, AllocSched,12,FALSE))</f>
        <v>125581</v>
      </c>
      <c r="D31" s="112"/>
      <c r="E31" s="16">
        <f>IF(ISNA(VLOOKUP($F$5 &amp; A31, AllocSched,13,FALSE)),"-",VLOOKUP($F$5 &amp; A31, AllocSched,13,FALSE))</f>
        <v>-125581</v>
      </c>
      <c r="F31" s="16"/>
      <c r="G31" s="16">
        <f t="shared" ref="G31:G37" si="10">IF(C31="-",E31,C31+E31)</f>
        <v>0</v>
      </c>
      <c r="H31" s="55" t="str">
        <f>IF(ISNA(VLOOKUP($F$5 &amp; A31, AllocSched,9,FALSE))," ",VLOOKUP($F$5 &amp; A31, AllocSched,9,FALSE))</f>
        <v>001-BD1</v>
      </c>
      <c r="I31" s="56" t="str">
        <f t="shared" si="4"/>
        <v>BD1</v>
      </c>
    </row>
    <row r="32" spans="1:9" ht="12.75" customHeight="1">
      <c r="A32" s="115" t="s">
        <v>6</v>
      </c>
      <c r="B32" s="54"/>
      <c r="C32" s="16">
        <f t="shared" si="7"/>
        <v>37777</v>
      </c>
      <c r="D32" s="112"/>
      <c r="E32" s="16">
        <f t="shared" si="8"/>
        <v>-7487</v>
      </c>
      <c r="F32" s="16"/>
      <c r="G32" s="16">
        <f t="shared" si="10"/>
        <v>30290</v>
      </c>
      <c r="H32" s="55" t="str">
        <f t="shared" si="6"/>
        <v>001-011</v>
      </c>
      <c r="I32" s="56">
        <f t="shared" si="4"/>
        <v>101</v>
      </c>
    </row>
    <row r="33" spans="1:11" s="272" customFormat="1" ht="12.75" customHeight="1">
      <c r="A33" s="115" t="s">
        <v>64</v>
      </c>
      <c r="B33" s="54"/>
      <c r="C33" s="16" t="str">
        <f t="shared" ref="C33" si="11">IF(ISNA(VLOOKUP($F$5 &amp;A33, AllocSched,12,FALSE)),"-",VLOOKUP($F$5 &amp;A33, AllocSched,12,FALSE))</f>
        <v>-</v>
      </c>
      <c r="D33" s="112"/>
      <c r="E33" s="16" t="str">
        <f t="shared" ref="E33" si="12">IF(ISNA(VLOOKUP($F$5 &amp; A33, AllocSched,13,FALSE)),"-",VLOOKUP($F$5 &amp; A33, AllocSched,13,FALSE))</f>
        <v>-</v>
      </c>
      <c r="F33" s="16"/>
      <c r="G33" s="16" t="str">
        <f t="shared" ref="G33" si="13">IF(C33="-",E33,C33+E33)</f>
        <v>-</v>
      </c>
      <c r="H33" s="55" t="str">
        <f t="shared" ref="H33" si="14">IF(ISNA(VLOOKUP($F$5 &amp; A33, AllocSched,9,FALSE))," ",VLOOKUP($F$5 &amp; A33, AllocSched,9,FALSE))</f>
        <v xml:space="preserve"> </v>
      </c>
      <c r="I33" s="56" t="str">
        <f t="shared" ref="I33" si="15">IF(ISNA(VLOOKUP($F$5 &amp; A33, AllocSched,14,FALSE))," ",VLOOKUP($F$5 &amp; A33, AllocSched,14,FALSE))</f>
        <v xml:space="preserve"> </v>
      </c>
    </row>
    <row r="34" spans="1:11" ht="12.75" customHeight="1">
      <c r="A34" s="115" t="s">
        <v>333</v>
      </c>
      <c r="B34" s="54"/>
      <c r="C34" s="16">
        <f t="shared" si="7"/>
        <v>132766</v>
      </c>
      <c r="D34" s="112"/>
      <c r="E34" s="16">
        <f t="shared" si="8"/>
        <v>0</v>
      </c>
      <c r="F34" s="16"/>
      <c r="G34" s="16">
        <f t="shared" si="10"/>
        <v>132766</v>
      </c>
      <c r="H34" s="55" t="str">
        <f t="shared" si="6"/>
        <v>001-011</v>
      </c>
      <c r="I34" s="56">
        <f t="shared" si="4"/>
        <v>101</v>
      </c>
    </row>
    <row r="35" spans="1:11" ht="12.75" customHeight="1">
      <c r="A35" s="115" t="s">
        <v>332</v>
      </c>
      <c r="B35" s="54"/>
      <c r="C35" s="16">
        <f t="shared" si="7"/>
        <v>634182</v>
      </c>
      <c r="D35" s="112"/>
      <c r="E35" s="16">
        <f t="shared" si="8"/>
        <v>0</v>
      </c>
      <c r="F35" s="16"/>
      <c r="G35" s="16">
        <f t="shared" si="10"/>
        <v>634182</v>
      </c>
      <c r="H35" s="55" t="str">
        <f t="shared" si="6"/>
        <v>001-AC1</v>
      </c>
      <c r="I35" s="56">
        <f t="shared" si="4"/>
        <v>123</v>
      </c>
    </row>
    <row r="36" spans="1:11" ht="12.75" customHeight="1">
      <c r="A36" s="115" t="s">
        <v>767</v>
      </c>
      <c r="B36" s="54"/>
      <c r="C36" s="16" t="str">
        <f>IF(ISNA(VLOOKUP($F$5 &amp;A36, AllocSched,12,FALSE)),"-",VLOOKUP($F$5 &amp;A36, AllocSched,12,FALSE))</f>
        <v>-</v>
      </c>
      <c r="D36" s="112"/>
      <c r="E36" s="16" t="str">
        <f t="shared" si="8"/>
        <v>-</v>
      </c>
      <c r="F36" s="16"/>
      <c r="G36" s="16" t="str">
        <f t="shared" si="10"/>
        <v>-</v>
      </c>
      <c r="H36" s="55" t="str">
        <f t="shared" si="6"/>
        <v xml:space="preserve"> </v>
      </c>
      <c r="I36" s="56" t="str">
        <f t="shared" si="4"/>
        <v xml:space="preserve"> </v>
      </c>
    </row>
    <row r="37" spans="1:11" s="272" customFormat="1" ht="12.75" customHeight="1">
      <c r="A37" s="115" t="s">
        <v>449</v>
      </c>
      <c r="B37" s="54"/>
      <c r="C37" s="16">
        <f>IF(ISNA(VLOOKUP($F$5 &amp;A37, AllocSched,12,FALSE)),"-",VLOOKUP($F$5 &amp;A37, AllocSched,12,FALSE))</f>
        <v>0</v>
      </c>
      <c r="D37" s="112"/>
      <c r="E37" s="16">
        <f>IF(ISNA(VLOOKUP($F$5 &amp; A37, AllocSched,13,FALSE)),"-",VLOOKUP($F$5 &amp; A37, AllocSched,13,FALSE))</f>
        <v>131936</v>
      </c>
      <c r="F37" s="16"/>
      <c r="G37" s="16">
        <f t="shared" si="10"/>
        <v>131936</v>
      </c>
      <c r="H37" s="55" t="str">
        <f>IF(ISNA(VLOOKUP($F$5 &amp; A37, AllocSched,9,FALSE))," ",VLOOKUP($F$5 &amp; A37, AllocSched,9,FALSE))</f>
        <v>001-011</v>
      </c>
      <c r="I37" s="56">
        <f t="shared" si="4"/>
        <v>101</v>
      </c>
    </row>
    <row r="38" spans="1:11" ht="12.75" customHeight="1">
      <c r="A38" s="54"/>
      <c r="B38" s="54"/>
      <c r="C38" s="16"/>
      <c r="D38" s="112"/>
      <c r="E38" s="16"/>
      <c r="F38" s="16"/>
      <c r="G38" s="16"/>
      <c r="H38" s="55"/>
      <c r="I38" s="56"/>
    </row>
    <row r="39" spans="1:11" ht="13.5" thickBot="1">
      <c r="A39" s="89" t="s">
        <v>174</v>
      </c>
      <c r="B39" s="57" t="s">
        <v>51</v>
      </c>
      <c r="C39" s="111">
        <f>SUM(C16:C37)</f>
        <v>18655761</v>
      </c>
      <c r="D39" s="113" t="s">
        <v>51</v>
      </c>
      <c r="E39" s="111">
        <f>SUM(E16:E37)</f>
        <v>1380688</v>
      </c>
      <c r="F39" s="113" t="s">
        <v>51</v>
      </c>
      <c r="G39" s="111">
        <f>SUM(G16:G37)</f>
        <v>20036449</v>
      </c>
      <c r="J39" s="25"/>
      <c r="K39" s="30"/>
    </row>
    <row r="40" spans="1:11" ht="12.75" customHeight="1" thickTop="1">
      <c r="A40" s="84"/>
      <c r="B40" s="84"/>
      <c r="C40" s="58">
        <v>0</v>
      </c>
      <c r="D40" s="58"/>
      <c r="E40" s="90"/>
      <c r="F40" s="90"/>
      <c r="G40" s="90"/>
    </row>
    <row r="41" spans="1:11" s="65" customFormat="1" ht="25.5">
      <c r="A41" s="59" t="s">
        <v>156</v>
      </c>
      <c r="B41" s="60"/>
      <c r="C41" s="61"/>
      <c r="D41" s="62"/>
      <c r="E41" s="63" t="s">
        <v>67</v>
      </c>
      <c r="F41" s="62"/>
      <c r="G41" s="64" t="s">
        <v>163</v>
      </c>
      <c r="H41" s="64" t="s">
        <v>164</v>
      </c>
      <c r="I41" s="98" t="s">
        <v>70</v>
      </c>
    </row>
    <row r="42" spans="1:11" s="65" customFormat="1" ht="12.75" customHeight="1">
      <c r="A42" s="66" t="s">
        <v>240</v>
      </c>
      <c r="B42" s="67"/>
      <c r="C42" s="68"/>
      <c r="E42" s="66" t="s">
        <v>381</v>
      </c>
      <c r="G42" s="30">
        <f>VLOOKUP($F$5 &amp; $A42 &amp; $E42,AddRes,7,FALSE)</f>
        <v>0</v>
      </c>
      <c r="H42" s="30">
        <f>VLOOKUP($F$5 &amp; $A42 &amp; $E42,AddRes,8,FALSE)</f>
        <v>0</v>
      </c>
      <c r="I42" s="69">
        <f>VLOOKUP($F$5 &amp; $A42 &amp; $E42,AddRes,10,FALSE)</f>
        <v>42277</v>
      </c>
    </row>
    <row r="43" spans="1:11" s="65" customFormat="1" ht="12.75" customHeight="1">
      <c r="A43" s="66" t="s">
        <v>497</v>
      </c>
      <c r="B43" s="67"/>
      <c r="C43" s="26"/>
      <c r="E43" s="66" t="s">
        <v>682</v>
      </c>
      <c r="G43" s="30">
        <f>VLOOKUP($F$5 &amp; $A43 &amp; $E43,AddRes,7,FALSE)</f>
        <v>0</v>
      </c>
      <c r="H43" s="30">
        <f>VLOOKUP($F$5 &amp; $A43 &amp; $E43,AddRes,8,FALSE)</f>
        <v>0</v>
      </c>
      <c r="I43" s="69">
        <f>VLOOKUP($F$5 &amp; $A43 &amp; $E43,AddRes,10,FALSE)</f>
        <v>42551</v>
      </c>
    </row>
    <row r="44" spans="1:11" s="65" customFormat="1" ht="12.75" customHeight="1">
      <c r="A44" s="66" t="s">
        <v>498</v>
      </c>
      <c r="B44" s="67"/>
      <c r="C44" s="26"/>
      <c r="E44" s="66" t="s">
        <v>683</v>
      </c>
      <c r="G44" s="30">
        <f>VLOOKUP($F$5 &amp; $A44 &amp; $E44,AddRes,7,FALSE)</f>
        <v>0</v>
      </c>
      <c r="H44" s="30">
        <f>VLOOKUP($F$5 &amp; $A44 &amp; $E44,AddRes,8,FALSE)</f>
        <v>0</v>
      </c>
      <c r="I44" s="69">
        <f>VLOOKUP($F$5 &amp; $A44 &amp; $E44,AddRes,10,FALSE)</f>
        <v>42551</v>
      </c>
    </row>
    <row r="45" spans="1:11" s="65" customFormat="1" ht="12.75" customHeight="1">
      <c r="A45" s="66" t="s">
        <v>505</v>
      </c>
      <c r="B45" s="67"/>
      <c r="C45" s="26"/>
      <c r="E45" s="66" t="s">
        <v>684</v>
      </c>
      <c r="G45" s="30">
        <f>VLOOKUP($F$5 &amp; $A45 &amp; $E45,AddRes,7,FALSE)</f>
        <v>0</v>
      </c>
      <c r="H45" s="30">
        <f>VLOOKUP($F$5 &amp; $A45 &amp; $E45,AddRes,8,FALSE)</f>
        <v>0</v>
      </c>
      <c r="I45" s="69">
        <f>VLOOKUP($F$5 &amp; $A45 &amp; $E45,AddRes,10,FALSE)</f>
        <v>42551</v>
      </c>
    </row>
    <row r="46" spans="1:11" s="65" customFormat="1" ht="12.75" customHeight="1">
      <c r="A46" s="66" t="s">
        <v>235</v>
      </c>
      <c r="B46" s="67"/>
      <c r="C46" s="68"/>
      <c r="E46" s="66" t="s">
        <v>428</v>
      </c>
      <c r="G46" s="270">
        <f t="shared" ref="G46" si="16">VLOOKUP($F$5 &amp; $A46 &amp; $E46,AddRes,7,FALSE)</f>
        <v>0</v>
      </c>
      <c r="H46" s="270">
        <f t="shared" ref="H46" si="17">VLOOKUP($F$5 &amp; $A46 &amp; $E46,AddRes,8,FALSE)</f>
        <v>0</v>
      </c>
      <c r="I46" s="69">
        <f t="shared" ref="I46" si="18">VLOOKUP($F$5 &amp; $A46 &amp; $E46,AddRes,10,FALSE)</f>
        <v>42247</v>
      </c>
    </row>
    <row r="47" spans="1:11" s="65" customFormat="1" ht="12.75" customHeight="1">
      <c r="A47" s="66" t="s">
        <v>231</v>
      </c>
      <c r="B47" s="67"/>
      <c r="C47" s="68"/>
      <c r="E47" s="66" t="s">
        <v>685</v>
      </c>
      <c r="G47" s="30">
        <f>VLOOKUP($F$5 &amp; $A47 &amp; $E47,AddRes,7,FALSE)</f>
        <v>0</v>
      </c>
      <c r="H47" s="30">
        <f>VLOOKUP($F$5 &amp; $A47 &amp; $E47,AddRes,8,FALSE)</f>
        <v>0</v>
      </c>
      <c r="I47" s="69">
        <f>VLOOKUP($F$5 &amp; $A47 &amp; $E47,AddRes,10,FALSE)</f>
        <v>42551</v>
      </c>
    </row>
    <row r="48" spans="1:11" s="65" customFormat="1" ht="12.75" customHeight="1">
      <c r="A48" s="66" t="s">
        <v>506</v>
      </c>
      <c r="B48" s="67"/>
      <c r="C48" s="68"/>
      <c r="E48" s="66" t="s">
        <v>686</v>
      </c>
      <c r="G48" s="270">
        <f>VLOOKUP($F$5 &amp; $A48 &amp; $E48,AddRes,7,FALSE)</f>
        <v>0</v>
      </c>
      <c r="H48" s="270">
        <f>VLOOKUP($F$5 &amp; $A48 &amp; $E48,AddRes,8,FALSE)</f>
        <v>0</v>
      </c>
      <c r="I48" s="69">
        <f>VLOOKUP($F$5 &amp; $A48 &amp; $E48,AddRes,10,FALSE)</f>
        <v>42551</v>
      </c>
    </row>
    <row r="49" spans="1:12" s="65" customFormat="1" ht="12.75" customHeight="1">
      <c r="A49" s="66" t="s">
        <v>232</v>
      </c>
      <c r="B49" s="67"/>
      <c r="C49" s="68"/>
      <c r="E49" s="66" t="s">
        <v>687</v>
      </c>
      <c r="G49" s="30">
        <f>VLOOKUP($F$5 &amp; $A49 &amp; $E49,AddRes,7,FALSE)</f>
        <v>0</v>
      </c>
      <c r="H49" s="30">
        <f>VLOOKUP($F$5 &amp; $A49 &amp; $E49,AddRes,8,FALSE)</f>
        <v>0</v>
      </c>
      <c r="I49" s="69">
        <f>VLOOKUP($F$5 &amp; $A49 &amp; $E49,AddRes,10,FALSE)</f>
        <v>42551</v>
      </c>
    </row>
    <row r="50" spans="1:12" s="65" customFormat="1" ht="12.75" customHeight="1">
      <c r="A50" s="66"/>
      <c r="C50" s="70"/>
      <c r="D50" s="70"/>
      <c r="E50" s="70"/>
      <c r="F50" s="70"/>
      <c r="G50" s="71"/>
      <c r="H50" s="72"/>
      <c r="I50" s="73"/>
    </row>
    <row r="51" spans="1:12" s="65" customFormat="1" ht="12.75" customHeight="1">
      <c r="A51" s="66"/>
      <c r="C51" s="74" t="s">
        <v>71</v>
      </c>
      <c r="D51" s="70"/>
      <c r="E51" s="70"/>
      <c r="F51" s="70"/>
      <c r="G51" s="75">
        <f>SUM(G42:G49)</f>
        <v>0</v>
      </c>
      <c r="H51" s="75">
        <f>SUM(H42:H49)</f>
        <v>0</v>
      </c>
      <c r="I51" s="73"/>
    </row>
    <row r="52" spans="1:12" s="65" customFormat="1" ht="12.75" customHeight="1">
      <c r="A52" s="66"/>
      <c r="C52" s="70"/>
      <c r="D52" s="70"/>
      <c r="E52" s="70"/>
      <c r="F52" s="70"/>
      <c r="G52" s="70"/>
      <c r="I52" s="73"/>
    </row>
    <row r="53" spans="1:12" s="65" customFormat="1" ht="12.75" customHeight="1">
      <c r="A53" s="66"/>
      <c r="C53" s="70"/>
      <c r="D53" s="70"/>
      <c r="E53" s="70"/>
      <c r="F53" s="70"/>
      <c r="G53" s="70"/>
      <c r="I53" s="73"/>
      <c r="K53" s="75"/>
      <c r="L53" s="75"/>
    </row>
    <row r="54" spans="1:12" s="65" customFormat="1" ht="12.75" customHeight="1">
      <c r="A54" s="66"/>
      <c r="C54" s="70"/>
      <c r="D54" s="70"/>
      <c r="E54" s="70"/>
      <c r="F54" s="70"/>
      <c r="G54" s="70"/>
      <c r="I54" s="73"/>
    </row>
    <row r="55" spans="1:12" s="65" customFormat="1" ht="12.75" customHeight="1">
      <c r="C55" s="70"/>
      <c r="D55" s="70"/>
      <c r="E55" s="70"/>
      <c r="F55" s="70"/>
      <c r="G55" s="70"/>
      <c r="I55" s="73"/>
    </row>
    <row r="56" spans="1:12" s="65" customFormat="1" ht="12.75" customHeight="1">
      <c r="C56" s="70"/>
      <c r="D56" s="70"/>
      <c r="E56" s="70"/>
      <c r="F56" s="70"/>
      <c r="G56" s="70"/>
      <c r="I56" s="73"/>
    </row>
    <row r="57" spans="1:12" s="65" customFormat="1" ht="12.75" customHeight="1">
      <c r="C57" s="70"/>
      <c r="D57" s="70"/>
      <c r="E57" s="70"/>
      <c r="F57" s="70"/>
      <c r="G57" s="70"/>
      <c r="I57" s="73"/>
    </row>
    <row r="58" spans="1:12" s="65" customFormat="1" ht="12.75" customHeight="1">
      <c r="C58" s="70"/>
      <c r="D58" s="70"/>
      <c r="E58" s="70"/>
      <c r="F58" s="70"/>
      <c r="G58" s="70"/>
      <c r="I58" s="73"/>
    </row>
    <row r="59" spans="1:12" s="65" customFormat="1" ht="12.75" customHeight="1">
      <c r="C59" s="70"/>
      <c r="D59" s="70"/>
      <c r="E59" s="70"/>
      <c r="F59" s="70"/>
      <c r="G59" s="70"/>
      <c r="I59" s="73"/>
    </row>
    <row r="60" spans="1:12" s="65" customFormat="1" ht="12.75" customHeight="1">
      <c r="C60" s="70"/>
      <c r="D60" s="70"/>
      <c r="E60" s="70"/>
      <c r="F60" s="70"/>
      <c r="G60" s="70"/>
      <c r="I60" s="73"/>
    </row>
    <row r="61" spans="1:12" s="65" customFormat="1" ht="12.75" customHeight="1">
      <c r="C61" s="70"/>
      <c r="D61" s="70"/>
      <c r="E61" s="70"/>
      <c r="F61" s="70"/>
      <c r="G61" s="70"/>
      <c r="I61" s="73"/>
    </row>
    <row r="62" spans="1:12" s="65" customFormat="1" ht="12.75" customHeight="1">
      <c r="C62" s="70"/>
      <c r="D62" s="70"/>
      <c r="E62" s="70"/>
      <c r="F62" s="70"/>
      <c r="G62" s="70"/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</sheetData>
  <mergeCells count="2">
    <mergeCell ref="A8:I8"/>
    <mergeCell ref="G5:I5"/>
  </mergeCells>
  <phoneticPr fontId="0" type="noConversion"/>
  <conditionalFormatting sqref="G39">
    <cfRule type="cellIs" dxfId="10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L145"/>
  <sheetViews>
    <sheetView tabSelected="1" zoomScaleNormal="100" workbookViewId="0"/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3.5703125" style="23" bestFit="1" customWidth="1"/>
    <col min="11" max="11" width="12.42578125" style="23" bestFit="1" customWidth="1"/>
    <col min="12" max="12" width="11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118</v>
      </c>
      <c r="G5" s="505" t="str">
        <f>VLOOKUP($F5,District,2,FALSE)</f>
        <v>Skagit Valley College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3802</v>
      </c>
      <c r="D10" s="48"/>
      <c r="E10" s="48">
        <f>IF(ISNA(VLOOKUP($F$5,Student,14,FALSE)),0,VLOOKUP($F$5,Student,14,FALSE))</f>
        <v>27</v>
      </c>
      <c r="F10" s="48"/>
      <c r="G10" s="48">
        <f>$E$10+$C$10+$A$10</f>
        <v>3829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22" si="0">IF(ISNA(VLOOKUP($F$5 &amp;A16, AllocSched,12,FALSE)),"-",VLOOKUP($F$5 &amp;A16, AllocSched,12,FALSE))</f>
        <v>13141325</v>
      </c>
      <c r="D16" s="112" t="s">
        <v>51</v>
      </c>
      <c r="E16" s="16">
        <f t="shared" ref="E16:E28" si="1">IF(ISNA(VLOOKUP($F$5 &amp; A16, AllocSched,13,FALSE)),"-",VLOOKUP($F$5 &amp; A16, AllocSched,13,FALSE))</f>
        <v>-11964</v>
      </c>
      <c r="F16" s="16" t="s">
        <v>51</v>
      </c>
      <c r="G16" s="16">
        <f t="shared" ref="G16:G25" si="2">IF(C16="-",E16,C16+E16)</f>
        <v>13129361</v>
      </c>
      <c r="H16" s="55" t="str">
        <f t="shared" ref="H16:H42" si="3">IF(ISNA(VLOOKUP($F$5 &amp; A16, AllocSched,9,FALSE))," ",VLOOKUP($F$5 &amp; A16, AllocSched,9,FALSE))</f>
        <v>001-011</v>
      </c>
      <c r="I16" s="56">
        <f t="shared" ref="I16:I42" si="4">IF(ISNA(VLOOKUP($F$5 &amp; A16, AllocSched,14,FALSE))," ",VLOOKUP($F$5 &amp; A16, AllocSched,14,FALSE))</f>
        <v>101</v>
      </c>
    </row>
    <row r="17" spans="1:9" ht="12.75" customHeight="1">
      <c r="A17" s="115" t="s">
        <v>171</v>
      </c>
      <c r="B17" s="54"/>
      <c r="C17" s="16">
        <f t="shared" si="0"/>
        <v>1359591</v>
      </c>
      <c r="D17" s="112"/>
      <c r="E17" s="16">
        <f t="shared" si="1"/>
        <v>11964</v>
      </c>
      <c r="F17" s="16"/>
      <c r="G17" s="16">
        <f t="shared" si="2"/>
        <v>1371555</v>
      </c>
      <c r="H17" s="55" t="str">
        <f t="shared" si="3"/>
        <v>08A-3E0</v>
      </c>
      <c r="I17" s="56" t="str">
        <f t="shared" si="4"/>
        <v>3E0</v>
      </c>
    </row>
    <row r="18" spans="1:9" s="272" customFormat="1" ht="12.75" customHeight="1">
      <c r="A18" s="38" t="s">
        <v>781</v>
      </c>
      <c r="B18" s="54"/>
      <c r="C18" s="16">
        <f>IF(ISNA(VLOOKUP($F$5 &amp;A18, AllocSched,12,FALSE)),"-",VLOOKUP($F$5 &amp;A18, AllocSched,12,FALSE))</f>
        <v>0</v>
      </c>
      <c r="D18" s="112"/>
      <c r="E18" s="16">
        <f>IF(ISNA(VLOOKUP($F$5 &amp; A18, AllocSched,13,FALSE)),"-",VLOOKUP($F$5 &amp; A18, AllocSched,13,FALSE))</f>
        <v>86869</v>
      </c>
      <c r="F18" s="16"/>
      <c r="G18" s="16">
        <f t="shared" si="2"/>
        <v>86869</v>
      </c>
      <c r="H18" s="55" t="str">
        <f t="shared" si="3"/>
        <v>001-011</v>
      </c>
      <c r="I18" s="56">
        <f t="shared" si="4"/>
        <v>101</v>
      </c>
    </row>
    <row r="19" spans="1:9" s="272" customFormat="1" ht="12.75" customHeight="1">
      <c r="A19" s="115" t="s">
        <v>448</v>
      </c>
      <c r="B19" s="54"/>
      <c r="C19" s="16">
        <f>IF(ISNA(VLOOKUP($F$5 &amp;A19, AllocSched,12,FALSE)),"-",VLOOKUP($F$5 &amp;A19, AllocSched,12,FALSE))</f>
        <v>0</v>
      </c>
      <c r="D19" s="112"/>
      <c r="E19" s="16">
        <f>IF(ISNA(VLOOKUP($F$5 &amp; A19, AllocSched,13,FALSE)),"-",VLOOKUP($F$5 &amp; A19, AllocSched,13,FALSE))</f>
        <v>316976</v>
      </c>
      <c r="F19" s="16"/>
      <c r="G19" s="16">
        <f t="shared" si="2"/>
        <v>316976</v>
      </c>
      <c r="H19" s="55" t="str">
        <f t="shared" si="3"/>
        <v>001-011</v>
      </c>
      <c r="I19" s="56">
        <f t="shared" si="4"/>
        <v>101</v>
      </c>
    </row>
    <row r="20" spans="1:9" s="272" customFormat="1" ht="12.75" customHeight="1">
      <c r="A20" s="115" t="s">
        <v>265</v>
      </c>
      <c r="B20" s="54"/>
      <c r="C20" s="16" t="str">
        <f>IF(ISNA(VLOOKUP($F$5 &amp;A20, AllocSched,12,FALSE)),"-",VLOOKUP($F$5 &amp;A20, AllocSched,12,FALSE))</f>
        <v>-</v>
      </c>
      <c r="D20" s="112"/>
      <c r="E20" s="16" t="str">
        <f>IF(ISNA(VLOOKUP($F$5 &amp; A20, AllocSched,13,FALSE)),"-",VLOOKUP($F$5 &amp; A20, AllocSched,13,FALSE))</f>
        <v>-</v>
      </c>
      <c r="F20" s="16"/>
      <c r="G20" s="16" t="str">
        <f t="shared" si="2"/>
        <v>-</v>
      </c>
      <c r="H20" s="55" t="str">
        <f t="shared" si="3"/>
        <v xml:space="preserve"> </v>
      </c>
      <c r="I20" s="56" t="str">
        <f t="shared" si="4"/>
        <v xml:space="preserve"> </v>
      </c>
    </row>
    <row r="21" spans="1:9" s="269" customFormat="1" ht="12.75" customHeight="1">
      <c r="A21" s="115" t="s">
        <v>340</v>
      </c>
      <c r="B21" s="54"/>
      <c r="C21" s="16">
        <f>IF(ISNA(VLOOKUP($F$5 &amp;A21, AllocSched,12,FALSE)),"-",VLOOKUP($F$5 &amp;A21, AllocSched,12,FALSE))</f>
        <v>0</v>
      </c>
      <c r="D21" s="112"/>
      <c r="E21" s="16">
        <f>IF(ISNA(VLOOKUP($F$5 &amp; A21, AllocSched,13,FALSE)),"-",VLOOKUP($F$5 &amp; A21, AllocSched,13,FALSE))</f>
        <v>773198</v>
      </c>
      <c r="F21" s="16"/>
      <c r="G21" s="16">
        <f t="shared" si="2"/>
        <v>773198</v>
      </c>
      <c r="H21" s="55" t="str">
        <f t="shared" si="3"/>
        <v>001-011</v>
      </c>
      <c r="I21" s="56">
        <f t="shared" si="4"/>
        <v>101</v>
      </c>
    </row>
    <row r="22" spans="1:9" ht="12.75" customHeight="1">
      <c r="A22" s="115" t="s">
        <v>253</v>
      </c>
      <c r="B22" s="54"/>
      <c r="C22" s="16">
        <f t="shared" si="0"/>
        <v>0</v>
      </c>
      <c r="D22" s="112"/>
      <c r="E22" s="16">
        <f t="shared" si="1"/>
        <v>28000</v>
      </c>
      <c r="F22" s="16"/>
      <c r="G22" s="16">
        <f t="shared" si="2"/>
        <v>28000</v>
      </c>
      <c r="H22" s="55" t="str">
        <f t="shared" si="3"/>
        <v>001-011</v>
      </c>
      <c r="I22" s="56">
        <f t="shared" si="4"/>
        <v>101</v>
      </c>
    </row>
    <row r="23" spans="1:9" ht="12.75" customHeight="1">
      <c r="A23" s="115" t="s">
        <v>207</v>
      </c>
      <c r="B23" s="54"/>
      <c r="C23" s="16">
        <f>IF(ISNA(VLOOKUP($F$5 &amp;A23, AllocSched,12,FALSE)),"-",VLOOKUP($F$5 &amp;A23, AllocSched,12,FALSE))</f>
        <v>0</v>
      </c>
      <c r="D23" s="112"/>
      <c r="E23" s="16">
        <f t="shared" si="1"/>
        <v>68672</v>
      </c>
      <c r="F23" s="16"/>
      <c r="G23" s="16">
        <f t="shared" si="2"/>
        <v>68672</v>
      </c>
      <c r="H23" s="55" t="str">
        <f t="shared" si="3"/>
        <v>001-011</v>
      </c>
      <c r="I23" s="56">
        <f t="shared" si="4"/>
        <v>101</v>
      </c>
    </row>
    <row r="24" spans="1:9" ht="12.75" customHeight="1">
      <c r="A24" s="115" t="s">
        <v>203</v>
      </c>
      <c r="B24" s="54"/>
      <c r="C24" s="16">
        <f>IF(ISNA(VLOOKUP($F$5 &amp;A24, AllocSched,12,FALSE)),"-",VLOOKUP($F$5 &amp;A24, AllocSched,12,FALSE))</f>
        <v>0</v>
      </c>
      <c r="D24" s="112"/>
      <c r="E24" s="16">
        <f>IF(ISNA(VLOOKUP($F$5 &amp; A24, AllocSched,13,FALSE)),"-",VLOOKUP($F$5 &amp; A24, AllocSched,13,FALSE))</f>
        <v>-4055</v>
      </c>
      <c r="F24" s="16"/>
      <c r="G24" s="16">
        <f t="shared" si="2"/>
        <v>-4055</v>
      </c>
      <c r="H24" s="55" t="str">
        <f t="shared" si="3"/>
        <v>001-011</v>
      </c>
      <c r="I24" s="56">
        <f t="shared" si="4"/>
        <v>101</v>
      </c>
    </row>
    <row r="25" spans="1:9" s="272" customFormat="1" ht="12.75" customHeight="1">
      <c r="A25" s="115" t="s">
        <v>454</v>
      </c>
      <c r="B25" s="54"/>
      <c r="C25" s="16">
        <f>IF(ISNA(VLOOKUP($F$5 &amp;A25, AllocSched,12,FALSE)),"-",VLOOKUP($F$5 &amp;A25, AllocSched,12,FALSE))</f>
        <v>0</v>
      </c>
      <c r="D25" s="112"/>
      <c r="E25" s="16">
        <f>IF(ISNA(VLOOKUP($F$5 &amp; A25, AllocSched,13,FALSE)),"-",VLOOKUP($F$5 &amp; A25, AllocSched,13,FALSE))</f>
        <v>15696</v>
      </c>
      <c r="F25" s="16"/>
      <c r="G25" s="16">
        <f t="shared" si="2"/>
        <v>15696</v>
      </c>
      <c r="H25" s="55" t="str">
        <f t="shared" si="3"/>
        <v>001-011</v>
      </c>
      <c r="I25" s="56">
        <f t="shared" si="4"/>
        <v>101</v>
      </c>
    </row>
    <row r="26" spans="1:9" ht="12.75" customHeight="1">
      <c r="A26" s="115"/>
      <c r="B26" s="54"/>
      <c r="C26" s="16"/>
      <c r="D26" s="112"/>
      <c r="E26" s="16"/>
      <c r="F26" s="16"/>
      <c r="G26" s="16"/>
      <c r="H26" s="55" t="str">
        <f t="shared" si="3"/>
        <v xml:space="preserve"> </v>
      </c>
      <c r="I26" s="56" t="str">
        <f t="shared" si="4"/>
        <v xml:space="preserve"> </v>
      </c>
    </row>
    <row r="27" spans="1:9" s="83" customFormat="1">
      <c r="A27" s="114" t="s">
        <v>168</v>
      </c>
      <c r="B27" s="84"/>
      <c r="C27" s="16"/>
      <c r="D27" s="112"/>
      <c r="E27" s="16" t="str">
        <f t="shared" si="1"/>
        <v>-</v>
      </c>
      <c r="F27" s="16"/>
      <c r="G27" s="16"/>
      <c r="H27" s="55" t="str">
        <f t="shared" si="3"/>
        <v xml:space="preserve"> </v>
      </c>
      <c r="I27" s="56" t="str">
        <f t="shared" si="4"/>
        <v xml:space="preserve"> </v>
      </c>
    </row>
    <row r="28" spans="1:9" s="83" customFormat="1">
      <c r="A28" s="38" t="s">
        <v>345</v>
      </c>
      <c r="B28" s="84"/>
      <c r="C28" s="16">
        <f>IF(ISNA(VLOOKUP($F$5 &amp;A28, AllocSched,12,FALSE)),"-",VLOOKUP($F$5 &amp;A28, AllocSched,12,FALSE))</f>
        <v>212976</v>
      </c>
      <c r="D28" s="112"/>
      <c r="E28" s="16">
        <f t="shared" si="1"/>
        <v>0</v>
      </c>
      <c r="F28" s="16"/>
      <c r="G28" s="16">
        <f>IF(C28="-",E28,C28+E28)</f>
        <v>212976</v>
      </c>
      <c r="H28" s="55" t="str">
        <f t="shared" si="3"/>
        <v>001-011</v>
      </c>
      <c r="I28" s="56">
        <f t="shared" si="4"/>
        <v>101</v>
      </c>
    </row>
    <row r="29" spans="1:9" ht="12.75" customHeight="1">
      <c r="A29" s="38" t="s">
        <v>211</v>
      </c>
      <c r="C29" s="16" t="str">
        <f t="shared" ref="C29:C40" si="5">IF(ISNA(VLOOKUP($F$5 &amp;A29, AllocSched,12,FALSE)),"-",VLOOKUP($F$5 &amp;A29, AllocSched,12,FALSE))</f>
        <v>-</v>
      </c>
      <c r="D29" s="112"/>
      <c r="E29" s="16" t="str">
        <f t="shared" ref="E29:E41" si="6">IF(ISNA(VLOOKUP($F$5 &amp; A29, AllocSched,13,FALSE)),"-",VLOOKUP($F$5 &amp; A29, AllocSched,13,FALSE))</f>
        <v>-</v>
      </c>
      <c r="F29" s="16"/>
      <c r="G29" s="16" t="str">
        <f t="shared" ref="G29:G39" si="7">IF(C29="-",E29,C29+E29)</f>
        <v>-</v>
      </c>
      <c r="H29" s="55" t="str">
        <f t="shared" si="3"/>
        <v xml:space="preserve"> </v>
      </c>
      <c r="I29" s="56" t="str">
        <f t="shared" si="4"/>
        <v xml:space="preserve"> </v>
      </c>
    </row>
    <row r="30" spans="1:9" ht="12.75" customHeight="1">
      <c r="A30" s="38" t="s">
        <v>208</v>
      </c>
      <c r="C30" s="16">
        <f t="shared" si="5"/>
        <v>1963325</v>
      </c>
      <c r="D30" s="112"/>
      <c r="E30" s="16">
        <f t="shared" si="6"/>
        <v>0</v>
      </c>
      <c r="F30" s="16"/>
      <c r="G30" s="16">
        <f t="shared" si="7"/>
        <v>1963325</v>
      </c>
      <c r="H30" s="55" t="str">
        <f t="shared" si="3"/>
        <v>060-BA0</v>
      </c>
      <c r="I30" s="56" t="str">
        <f t="shared" si="4"/>
        <v>BA0</v>
      </c>
    </row>
    <row r="31" spans="1:9" ht="12.75" customHeight="1">
      <c r="A31" s="38" t="s">
        <v>222</v>
      </c>
      <c r="C31" s="16">
        <f>IF(ISNA(VLOOKUP($F$5 &amp;A31, AllocSched,12,FALSE)),"-",VLOOKUP($F$5 &amp;A31, AllocSched,12,FALSE))</f>
        <v>67622</v>
      </c>
      <c r="D31" s="112"/>
      <c r="E31" s="16">
        <f>IF(ISNA(VLOOKUP($F$5 &amp; A31, AllocSched,13,FALSE)),"-",VLOOKUP($F$5 &amp; A31, AllocSched,13,FALSE))</f>
        <v>-67622</v>
      </c>
      <c r="F31" s="16"/>
      <c r="G31" s="16">
        <f>IF(C31="-",E31,C31+E31)</f>
        <v>0</v>
      </c>
      <c r="H31" s="55" t="str">
        <f t="shared" si="3"/>
        <v>08A-3E0</v>
      </c>
      <c r="I31" s="56" t="str">
        <f t="shared" si="4"/>
        <v>3E0</v>
      </c>
    </row>
    <row r="32" spans="1:9" ht="12.75" customHeight="1">
      <c r="A32" s="38" t="s">
        <v>173</v>
      </c>
      <c r="C32" s="16">
        <f t="shared" si="5"/>
        <v>204157</v>
      </c>
      <c r="D32" s="112"/>
      <c r="E32" s="16">
        <f t="shared" si="6"/>
        <v>0</v>
      </c>
      <c r="F32" s="16"/>
      <c r="G32" s="16">
        <f t="shared" si="7"/>
        <v>204157</v>
      </c>
      <c r="H32" s="55" t="str">
        <f t="shared" si="3"/>
        <v>001-011</v>
      </c>
      <c r="I32" s="56">
        <f t="shared" si="4"/>
        <v>101</v>
      </c>
    </row>
    <row r="33" spans="1:11" ht="12.75" customHeight="1">
      <c r="A33" s="38" t="s">
        <v>170</v>
      </c>
      <c r="C33" s="16">
        <f t="shared" si="5"/>
        <v>47968</v>
      </c>
      <c r="D33" s="112"/>
      <c r="E33" s="16">
        <f t="shared" si="6"/>
        <v>5766</v>
      </c>
      <c r="F33" s="16"/>
      <c r="G33" s="16">
        <f t="shared" si="7"/>
        <v>53734</v>
      </c>
      <c r="H33" s="55" t="str">
        <f t="shared" si="3"/>
        <v>001-011</v>
      </c>
      <c r="I33" s="56">
        <f t="shared" si="4"/>
        <v>101</v>
      </c>
    </row>
    <row r="34" spans="1:11" ht="12.75" customHeight="1">
      <c r="A34" s="115" t="s">
        <v>162</v>
      </c>
      <c r="B34" s="54"/>
      <c r="C34" s="16">
        <f>IF(ISNA(VLOOKUP($F$5 &amp;A34, AllocSched,12,FALSE)),"-",VLOOKUP($F$5 &amp;A34, AllocSched,12,FALSE))</f>
        <v>36795</v>
      </c>
      <c r="D34" s="112"/>
      <c r="E34" s="16">
        <f>IF(ISNA(VLOOKUP($F$5 &amp; A34, AllocSched,13,FALSE)),"-",VLOOKUP($F$5 &amp; A34, AllocSched,13,FALSE))</f>
        <v>-36795</v>
      </c>
      <c r="F34" s="16"/>
      <c r="G34" s="16">
        <f>IF(C34="-",E34,C34+E34)</f>
        <v>0</v>
      </c>
      <c r="H34" s="55" t="str">
        <f t="shared" si="3"/>
        <v>001-011</v>
      </c>
      <c r="I34" s="56">
        <f t="shared" si="4"/>
        <v>101</v>
      </c>
    </row>
    <row r="35" spans="1:11" ht="12.75" customHeight="1">
      <c r="A35" s="115" t="s">
        <v>151</v>
      </c>
      <c r="B35" s="54"/>
      <c r="C35" s="16">
        <f t="shared" si="5"/>
        <v>277500</v>
      </c>
      <c r="D35" s="112"/>
      <c r="E35" s="16">
        <f t="shared" si="6"/>
        <v>-27500</v>
      </c>
      <c r="F35" s="16"/>
      <c r="G35" s="16">
        <f t="shared" si="7"/>
        <v>250000</v>
      </c>
      <c r="H35" s="55" t="str">
        <f t="shared" si="3"/>
        <v>08A-3E0</v>
      </c>
      <c r="I35" s="56" t="str">
        <f t="shared" si="4"/>
        <v>3E0</v>
      </c>
    </row>
    <row r="36" spans="1:11" ht="12.75" customHeight="1">
      <c r="A36" s="115" t="s">
        <v>150</v>
      </c>
      <c r="B36" s="54"/>
      <c r="C36" s="16">
        <f t="shared" si="5"/>
        <v>29412</v>
      </c>
      <c r="D36" s="112"/>
      <c r="E36" s="16">
        <f t="shared" si="6"/>
        <v>0</v>
      </c>
      <c r="F36" s="16"/>
      <c r="G36" s="16">
        <f t="shared" si="7"/>
        <v>29412</v>
      </c>
      <c r="H36" s="55" t="str">
        <f t="shared" si="3"/>
        <v>001-011</v>
      </c>
      <c r="I36" s="56">
        <f t="shared" si="4"/>
        <v>101</v>
      </c>
    </row>
    <row r="37" spans="1:11" ht="12.75" customHeight="1">
      <c r="A37" s="115" t="s">
        <v>273</v>
      </c>
      <c r="B37" s="54"/>
      <c r="C37" s="16">
        <f>IF(ISNA(VLOOKUP($F$5 &amp;A37, AllocSched,12,FALSE)),"-",VLOOKUP($F$5 &amp;A37, AllocSched,12,FALSE))</f>
        <v>129848</v>
      </c>
      <c r="D37" s="112"/>
      <c r="E37" s="16">
        <f>IF(ISNA(VLOOKUP($F$5 &amp; A37, AllocSched,13,FALSE)),"-",VLOOKUP($F$5 &amp; A37, AllocSched,13,FALSE))</f>
        <v>-129848</v>
      </c>
      <c r="F37" s="16"/>
      <c r="G37" s="16">
        <f>IF(C37="-",E37,C37+E37)</f>
        <v>0</v>
      </c>
      <c r="H37" s="55" t="str">
        <f t="shared" si="3"/>
        <v>001-BD1</v>
      </c>
      <c r="I37" s="56" t="str">
        <f t="shared" si="4"/>
        <v>BD1</v>
      </c>
    </row>
    <row r="38" spans="1:11" ht="12.75" customHeight="1">
      <c r="A38" s="115" t="s">
        <v>6</v>
      </c>
      <c r="B38" s="54"/>
      <c r="C38" s="16">
        <f t="shared" si="5"/>
        <v>26343</v>
      </c>
      <c r="D38" s="112"/>
      <c r="E38" s="16">
        <f t="shared" si="6"/>
        <v>-2423</v>
      </c>
      <c r="F38" s="16"/>
      <c r="G38" s="16">
        <f t="shared" si="7"/>
        <v>23920</v>
      </c>
      <c r="H38" s="55" t="str">
        <f t="shared" si="3"/>
        <v>001-011</v>
      </c>
      <c r="I38" s="56">
        <f t="shared" si="4"/>
        <v>101</v>
      </c>
    </row>
    <row r="39" spans="1:11" ht="12.75" customHeight="1">
      <c r="A39" s="115" t="s">
        <v>333</v>
      </c>
      <c r="B39" s="54"/>
      <c r="C39" s="16">
        <f t="shared" si="5"/>
        <v>100047</v>
      </c>
      <c r="D39" s="112"/>
      <c r="E39" s="16">
        <f t="shared" si="6"/>
        <v>-6317</v>
      </c>
      <c r="F39" s="16"/>
      <c r="G39" s="16">
        <f t="shared" si="7"/>
        <v>93730</v>
      </c>
      <c r="H39" s="55" t="str">
        <f t="shared" si="3"/>
        <v>001-011</v>
      </c>
      <c r="I39" s="56">
        <f t="shared" si="4"/>
        <v>101</v>
      </c>
    </row>
    <row r="40" spans="1:11" ht="12.75" customHeight="1">
      <c r="A40" s="115" t="s">
        <v>332</v>
      </c>
      <c r="B40" s="54"/>
      <c r="C40" s="16">
        <f t="shared" si="5"/>
        <v>447718</v>
      </c>
      <c r="D40" s="112"/>
      <c r="E40" s="16">
        <f t="shared" si="6"/>
        <v>0</v>
      </c>
      <c r="F40" s="16"/>
      <c r="G40" s="16">
        <f>IF(C40="-",E40,C40+E40)</f>
        <v>447718</v>
      </c>
      <c r="H40" s="55" t="str">
        <f t="shared" si="3"/>
        <v>001-AC1</v>
      </c>
      <c r="I40" s="56">
        <f t="shared" si="4"/>
        <v>123</v>
      </c>
    </row>
    <row r="41" spans="1:11" ht="12.75" customHeight="1">
      <c r="A41" s="115" t="s">
        <v>767</v>
      </c>
      <c r="B41" s="54"/>
      <c r="C41" s="16" t="str">
        <f>IF(ISNA(VLOOKUP($F$5 &amp;A41, AllocSched,12,FALSE)),"-",VLOOKUP($F$5 &amp;A41, AllocSched,12,FALSE))</f>
        <v>-</v>
      </c>
      <c r="D41" s="112"/>
      <c r="E41" s="16" t="str">
        <f t="shared" si="6"/>
        <v>-</v>
      </c>
      <c r="F41" s="16"/>
      <c r="G41" s="16" t="str">
        <f>IF(C41="-",E41,C41+E41)</f>
        <v>-</v>
      </c>
      <c r="H41" s="55" t="str">
        <f t="shared" si="3"/>
        <v xml:space="preserve"> </v>
      </c>
      <c r="I41" s="56" t="str">
        <f t="shared" si="4"/>
        <v xml:space="preserve"> </v>
      </c>
    </row>
    <row r="42" spans="1:11" s="272" customFormat="1" ht="12.75" customHeight="1">
      <c r="A42" s="281" t="s">
        <v>451</v>
      </c>
      <c r="B42" s="54"/>
      <c r="C42" s="16">
        <f>IF(ISNA(VLOOKUP($F$5 &amp;A42, AllocSched,12,FALSE)),"-",VLOOKUP($F$5 &amp;A42, AllocSched,12,FALSE))</f>
        <v>0</v>
      </c>
      <c r="D42" s="112"/>
      <c r="E42" s="16">
        <f>IF(ISNA(VLOOKUP($F$5 &amp; A42, AllocSched,13,FALSE)),"-",VLOOKUP($F$5 &amp; A42, AllocSched,13,FALSE))</f>
        <v>92665</v>
      </c>
      <c r="F42" s="16"/>
      <c r="G42" s="16">
        <f>IF(C42="-",E42,C42+E42)</f>
        <v>92665</v>
      </c>
      <c r="H42" s="55" t="str">
        <f t="shared" si="3"/>
        <v>001-011</v>
      </c>
      <c r="I42" s="56">
        <f t="shared" si="4"/>
        <v>101</v>
      </c>
    </row>
    <row r="43" spans="1:11" ht="12.75" customHeight="1">
      <c r="A43" s="54"/>
      <c r="B43" s="54"/>
      <c r="C43" s="16"/>
      <c r="D43" s="112"/>
      <c r="E43" s="16"/>
      <c r="F43" s="16"/>
      <c r="G43" s="16"/>
      <c r="H43" s="55"/>
      <c r="I43" s="56"/>
    </row>
    <row r="44" spans="1:11" ht="13.5" thickBot="1">
      <c r="A44" s="89" t="s">
        <v>174</v>
      </c>
      <c r="B44" s="57" t="s">
        <v>51</v>
      </c>
      <c r="C44" s="111">
        <f>SUM(C16:C42)</f>
        <v>18044627</v>
      </c>
      <c r="D44" s="113" t="s">
        <v>51</v>
      </c>
      <c r="E44" s="111">
        <f>SUM(E16:E42)</f>
        <v>1113282</v>
      </c>
      <c r="F44" s="113" t="s">
        <v>51</v>
      </c>
      <c r="G44" s="507">
        <f>SUM(G16:G42)</f>
        <v>19157909</v>
      </c>
      <c r="J44" s="25"/>
      <c r="K44" s="30"/>
    </row>
    <row r="45" spans="1:11" ht="12.75" customHeight="1" thickTop="1">
      <c r="A45" s="84"/>
      <c r="B45" s="84"/>
      <c r="C45" s="58">
        <v>0</v>
      </c>
      <c r="D45" s="58"/>
      <c r="E45" s="90"/>
      <c r="F45" s="90"/>
      <c r="G45" s="90"/>
    </row>
    <row r="46" spans="1:11" s="65" customFormat="1" ht="25.5">
      <c r="A46" s="59" t="s">
        <v>156</v>
      </c>
      <c r="B46" s="60"/>
      <c r="C46" s="61"/>
      <c r="D46" s="62"/>
      <c r="E46" s="63" t="s">
        <v>67</v>
      </c>
      <c r="F46" s="62"/>
      <c r="G46" s="64" t="s">
        <v>163</v>
      </c>
      <c r="H46" s="64" t="s">
        <v>164</v>
      </c>
      <c r="I46" s="98" t="s">
        <v>70</v>
      </c>
    </row>
    <row r="47" spans="1:11" s="65" customFormat="1" ht="12.75" customHeight="1">
      <c r="A47" s="66" t="s">
        <v>240</v>
      </c>
      <c r="B47" s="67"/>
      <c r="C47" s="68"/>
      <c r="E47" s="66" t="s">
        <v>382</v>
      </c>
      <c r="G47" s="150">
        <f t="shared" ref="G47:G57" si="8">VLOOKUP($F$5 &amp; $A47 &amp; $E47,AddRes,7,FALSE)</f>
        <v>0</v>
      </c>
      <c r="H47" s="150">
        <f>VLOOKUP($F$5 &amp; $A47 &amp; $E47,AddRes,8,FALSE)</f>
        <v>0</v>
      </c>
      <c r="I47" s="69">
        <f>VLOOKUP($F$5 &amp; $A47 &amp; $E47,AddRes,10,FALSE)</f>
        <v>42277</v>
      </c>
    </row>
    <row r="48" spans="1:11" s="65" customFormat="1" ht="12.75" customHeight="1">
      <c r="A48" s="66" t="s">
        <v>497</v>
      </c>
      <c r="B48" s="67"/>
      <c r="C48" s="26"/>
      <c r="E48" s="66" t="s">
        <v>688</v>
      </c>
      <c r="G48" s="150">
        <f t="shared" si="8"/>
        <v>0</v>
      </c>
      <c r="H48" s="150">
        <f>VLOOKUP($F$5 &amp; $A48 &amp; $E48,AddRes,8,FALSE)</f>
        <v>0</v>
      </c>
      <c r="I48" s="69">
        <f>VLOOKUP($F$5 &amp; $A48 &amp; $E48,AddRes,10,FALSE)</f>
        <v>42551</v>
      </c>
    </row>
    <row r="49" spans="1:12" s="65" customFormat="1" ht="12.75" customHeight="1">
      <c r="A49" s="66" t="s">
        <v>498</v>
      </c>
      <c r="B49" s="67"/>
      <c r="C49" s="26"/>
      <c r="E49" s="66" t="s">
        <v>689</v>
      </c>
      <c r="G49" s="150">
        <f t="shared" si="8"/>
        <v>0</v>
      </c>
      <c r="H49" s="150">
        <f>VLOOKUP($F$5 &amp; $A49 &amp; $E49,AddRes,8,FALSE)</f>
        <v>0</v>
      </c>
      <c r="I49" s="69">
        <f>VLOOKUP($F$5 &amp; $A49 &amp; $E49,AddRes,10,FALSE)</f>
        <v>42551</v>
      </c>
    </row>
    <row r="50" spans="1:12" s="65" customFormat="1" ht="12.75" customHeight="1">
      <c r="A50" s="66" t="s">
        <v>505</v>
      </c>
      <c r="B50" s="67"/>
      <c r="C50" s="26"/>
      <c r="E50" s="66" t="s">
        <v>690</v>
      </c>
      <c r="G50" s="150">
        <f t="shared" si="8"/>
        <v>0</v>
      </c>
      <c r="H50" s="150">
        <f>VLOOKUP($F$5 &amp; $A50 &amp; $E50,AddRes,8,FALSE)</f>
        <v>0</v>
      </c>
      <c r="I50" s="69">
        <f>VLOOKUP($F$5 &amp; $A50 &amp; $E50,AddRes,10,FALSE)</f>
        <v>42551</v>
      </c>
    </row>
    <row r="51" spans="1:12" s="65" customFormat="1" ht="12.75" customHeight="1">
      <c r="A51" s="66" t="s">
        <v>412</v>
      </c>
      <c r="B51" s="67"/>
      <c r="C51" s="68"/>
      <c r="E51" s="66" t="s">
        <v>422</v>
      </c>
      <c r="G51" s="150">
        <f t="shared" si="8"/>
        <v>0</v>
      </c>
      <c r="H51" s="150">
        <f t="shared" ref="H51" si="9">VLOOKUP($F$5 &amp; $A51 &amp; $E51,AddRes,8,FALSE)</f>
        <v>0</v>
      </c>
      <c r="I51" s="69">
        <f t="shared" ref="I51" si="10">VLOOKUP($F$5 &amp; $A51 &amp; $E51,AddRes,10,FALSE)</f>
        <v>42551</v>
      </c>
    </row>
    <row r="52" spans="1:12" s="65" customFormat="1" ht="12.75" customHeight="1">
      <c r="A52" s="66" t="s">
        <v>241</v>
      </c>
      <c r="B52" s="67"/>
      <c r="C52" s="68"/>
      <c r="E52" s="66" t="s">
        <v>691</v>
      </c>
      <c r="G52" s="150">
        <f t="shared" si="8"/>
        <v>0</v>
      </c>
      <c r="H52" s="150">
        <f t="shared" ref="H52:H57" si="11">VLOOKUP($F$5 &amp; $A52 &amp; $E52,AddRes,8,FALSE)</f>
        <v>0</v>
      </c>
      <c r="I52" s="69">
        <f t="shared" ref="I52:I57" si="12">VLOOKUP($F$5 &amp; $A52 &amp; $E52,AddRes,10,FALSE)</f>
        <v>42551</v>
      </c>
      <c r="K52" s="75"/>
      <c r="L52" s="75"/>
    </row>
    <row r="53" spans="1:12" s="65" customFormat="1" ht="12.75" customHeight="1">
      <c r="A53" s="66" t="s">
        <v>234</v>
      </c>
      <c r="B53" s="67"/>
      <c r="C53" s="68"/>
      <c r="E53" s="66" t="s">
        <v>692</v>
      </c>
      <c r="G53" s="150">
        <f t="shared" si="8"/>
        <v>0</v>
      </c>
      <c r="H53" s="150">
        <f t="shared" si="11"/>
        <v>0</v>
      </c>
      <c r="I53" s="69">
        <f t="shared" si="12"/>
        <v>42551</v>
      </c>
      <c r="K53" s="75"/>
      <c r="L53" s="75"/>
    </row>
    <row r="54" spans="1:12" s="65" customFormat="1" ht="12.75" customHeight="1">
      <c r="A54" s="66" t="s">
        <v>233</v>
      </c>
      <c r="B54" s="67"/>
      <c r="C54" s="68"/>
      <c r="E54" s="66" t="s">
        <v>693</v>
      </c>
      <c r="G54" s="150">
        <f t="shared" si="8"/>
        <v>0</v>
      </c>
      <c r="H54" s="150">
        <f t="shared" si="11"/>
        <v>0</v>
      </c>
      <c r="I54" s="69">
        <f t="shared" si="12"/>
        <v>42551</v>
      </c>
      <c r="K54" s="75"/>
      <c r="L54" s="75"/>
    </row>
    <row r="55" spans="1:12" s="65" customFormat="1" ht="12.75" customHeight="1">
      <c r="A55" s="66" t="s">
        <v>231</v>
      </c>
      <c r="B55" s="67"/>
      <c r="C55" s="68"/>
      <c r="E55" s="66" t="s">
        <v>694</v>
      </c>
      <c r="G55" s="150">
        <f t="shared" si="8"/>
        <v>0</v>
      </c>
      <c r="H55" s="150">
        <f t="shared" si="11"/>
        <v>0</v>
      </c>
      <c r="I55" s="69">
        <f t="shared" si="12"/>
        <v>42551</v>
      </c>
    </row>
    <row r="56" spans="1:12" s="65" customFormat="1" ht="12.75" customHeight="1">
      <c r="A56" s="66" t="s">
        <v>506</v>
      </c>
      <c r="B56" s="67"/>
      <c r="C56" s="68"/>
      <c r="E56" s="66" t="s">
        <v>695</v>
      </c>
      <c r="G56" s="150">
        <f t="shared" si="8"/>
        <v>0</v>
      </c>
      <c r="H56" s="150">
        <f t="shared" si="11"/>
        <v>0</v>
      </c>
      <c r="I56" s="69">
        <f t="shared" si="12"/>
        <v>42551</v>
      </c>
      <c r="K56" s="75"/>
      <c r="L56" s="75"/>
    </row>
    <row r="57" spans="1:12" s="65" customFormat="1" ht="12.75" customHeight="1">
      <c r="A57" s="66" t="s">
        <v>232</v>
      </c>
      <c r="B57" s="67"/>
      <c r="C57" s="68"/>
      <c r="E57" s="66" t="s">
        <v>696</v>
      </c>
      <c r="G57" s="150">
        <f t="shared" si="8"/>
        <v>0</v>
      </c>
      <c r="H57" s="150">
        <f t="shared" si="11"/>
        <v>0</v>
      </c>
      <c r="I57" s="69">
        <f t="shared" si="12"/>
        <v>42551</v>
      </c>
    </row>
    <row r="58" spans="1:12" s="65" customFormat="1" ht="12.75" customHeight="1">
      <c r="C58" s="70"/>
      <c r="D58" s="70"/>
      <c r="E58" s="70"/>
      <c r="F58" s="70"/>
      <c r="G58" s="71"/>
      <c r="H58" s="72"/>
      <c r="I58" s="73"/>
    </row>
    <row r="59" spans="1:12" s="65" customFormat="1" ht="12.75" customHeight="1">
      <c r="C59" s="74" t="s">
        <v>71</v>
      </c>
      <c r="D59" s="70"/>
      <c r="E59" s="70"/>
      <c r="F59" s="70"/>
      <c r="G59" s="75">
        <f>SUM(G47:G57)</f>
        <v>0</v>
      </c>
      <c r="H59" s="75">
        <f>SUM(H47:H57)</f>
        <v>0</v>
      </c>
      <c r="I59" s="73"/>
    </row>
    <row r="60" spans="1:12" s="65" customFormat="1" ht="12.75" customHeight="1">
      <c r="C60" s="70"/>
      <c r="D60" s="70"/>
      <c r="E60" s="70"/>
      <c r="F60" s="70"/>
      <c r="G60" s="70"/>
      <c r="I60" s="73"/>
    </row>
    <row r="61" spans="1:12" s="65" customFormat="1" ht="12.75" customHeight="1">
      <c r="C61" s="70"/>
      <c r="D61" s="70"/>
      <c r="E61" s="70"/>
      <c r="F61" s="70"/>
      <c r="G61" s="70"/>
      <c r="I61" s="73"/>
    </row>
    <row r="62" spans="1:12" s="65" customFormat="1" ht="12.75" customHeight="1">
      <c r="C62" s="70"/>
      <c r="D62" s="70"/>
      <c r="E62" s="70"/>
      <c r="F62" s="70"/>
      <c r="G62" s="70"/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  <row r="139" spans="3:9" s="65" customFormat="1" ht="12.75" customHeight="1">
      <c r="C139" s="70"/>
      <c r="D139" s="70"/>
      <c r="E139" s="70"/>
      <c r="F139" s="70"/>
      <c r="G139" s="70"/>
      <c r="I139" s="73"/>
    </row>
    <row r="140" spans="3:9" s="65" customFormat="1" ht="12.75" customHeight="1">
      <c r="C140" s="70"/>
      <c r="D140" s="70"/>
      <c r="E140" s="70"/>
      <c r="F140" s="70"/>
      <c r="G140" s="70"/>
      <c r="I140" s="73"/>
    </row>
    <row r="141" spans="3:9" s="65" customFormat="1" ht="12.75" customHeight="1">
      <c r="C141" s="70"/>
      <c r="D141" s="70"/>
      <c r="E141" s="70"/>
      <c r="F141" s="70"/>
      <c r="G141" s="70"/>
      <c r="I141" s="73"/>
    </row>
    <row r="142" spans="3:9" s="65" customFormat="1" ht="12.75" customHeight="1">
      <c r="C142" s="70"/>
      <c r="D142" s="70"/>
      <c r="E142" s="70"/>
      <c r="F142" s="70"/>
      <c r="G142" s="70"/>
      <c r="I142" s="73"/>
    </row>
    <row r="143" spans="3:9" s="65" customFormat="1" ht="12.75" customHeight="1">
      <c r="C143" s="70"/>
      <c r="D143" s="70"/>
      <c r="E143" s="70"/>
      <c r="F143" s="70"/>
      <c r="G143" s="70"/>
      <c r="I143" s="73"/>
    </row>
    <row r="144" spans="3:9" s="65" customFormat="1" ht="12.75" customHeight="1">
      <c r="C144" s="70"/>
      <c r="D144" s="70"/>
      <c r="E144" s="70"/>
      <c r="F144" s="70"/>
      <c r="G144" s="70"/>
      <c r="I144" s="73"/>
    </row>
    <row r="145" spans="3:9" s="65" customFormat="1" ht="12.75" customHeight="1">
      <c r="C145" s="70"/>
      <c r="D145" s="70"/>
      <c r="E145" s="70"/>
      <c r="F145" s="70"/>
      <c r="G145" s="70"/>
      <c r="I145" s="73"/>
    </row>
  </sheetData>
  <mergeCells count="2">
    <mergeCell ref="A8:I8"/>
    <mergeCell ref="G5:I5"/>
  </mergeCells>
  <phoneticPr fontId="0" type="noConversion"/>
  <conditionalFormatting sqref="G44">
    <cfRule type="cellIs" dxfId="9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L136"/>
  <sheetViews>
    <sheetView topLeftCell="A6"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3.5703125" style="23" bestFit="1" customWidth="1"/>
    <col min="11" max="11" width="12.42578125" style="23" bestFit="1" customWidth="1"/>
    <col min="12" max="12" width="11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E5" s="36" t="s">
        <v>46</v>
      </c>
      <c r="F5" s="199" t="s">
        <v>138</v>
      </c>
      <c r="G5" s="506" t="str">
        <f>VLOOKUP($F5,District,2,FALSE)</f>
        <v>South Puget Sound Community College</v>
      </c>
      <c r="H5" s="506"/>
      <c r="I5" s="506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3433</v>
      </c>
      <c r="D10" s="48"/>
      <c r="E10" s="48">
        <f>IF(ISNA(VLOOKUP($F$5,Student,14,FALSE)),0,VLOOKUP($F$5,Student,14,FALSE))</f>
        <v>15</v>
      </c>
      <c r="F10" s="48"/>
      <c r="G10" s="48">
        <f>$E$10+$C$10+$A$10</f>
        <v>3448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" si="0">IF(ISNA(VLOOKUP($F$5 &amp;A16, AllocSched,12,FALSE)),"-",VLOOKUP($F$5 &amp;A16, AllocSched,12,FALSE))</f>
        <v>12370431</v>
      </c>
      <c r="D16" s="112" t="s">
        <v>51</v>
      </c>
      <c r="E16" s="16">
        <f t="shared" ref="E16:E23" si="1">IF(ISNA(VLOOKUP($F$5 &amp; A16, AllocSched,13,FALSE)),"-",VLOOKUP($F$5 &amp; A16, AllocSched,13,FALSE))</f>
        <v>-14293</v>
      </c>
      <c r="F16" s="16" t="s">
        <v>51</v>
      </c>
      <c r="G16" s="16">
        <f t="shared" ref="G16:G23" si="2">IF(C16="-",E16,C16+E16)</f>
        <v>12356138</v>
      </c>
      <c r="H16" s="55" t="str">
        <f t="shared" ref="H16:H36" si="3">IF(ISNA(VLOOKUP($F$5 &amp; A16, AllocSched,9,FALSE))," ",VLOOKUP($F$5 &amp; A16, AllocSched,9,FALSE))</f>
        <v>001-011</v>
      </c>
      <c r="I16" s="56">
        <f t="shared" ref="I16:I36" si="4">IF(ISNA(VLOOKUP($F$5 &amp; A16, AllocSched,14,FALSE))," ",VLOOKUP($F$5 &amp; A16, AllocSched,14,FALSE))</f>
        <v>101</v>
      </c>
    </row>
    <row r="17" spans="1:11" ht="12.75" customHeight="1">
      <c r="A17" s="115" t="s">
        <v>171</v>
      </c>
      <c r="B17" s="35"/>
      <c r="C17" s="16">
        <f t="shared" ref="C17:C23" si="5">IF(ISNA(VLOOKUP($F$5 &amp;A17, AllocSched,12,FALSE)),"-",VLOOKUP($F$5 &amp;A17, AllocSched,12,FALSE))</f>
        <v>875901</v>
      </c>
      <c r="D17" s="112"/>
      <c r="E17" s="16">
        <f t="shared" si="1"/>
        <v>14293</v>
      </c>
      <c r="F17" s="16"/>
      <c r="G17" s="16">
        <f t="shared" si="2"/>
        <v>890194</v>
      </c>
      <c r="H17" s="55" t="str">
        <f t="shared" si="3"/>
        <v>08A-3E0</v>
      </c>
      <c r="I17" s="56" t="str">
        <f t="shared" si="4"/>
        <v>3E0</v>
      </c>
      <c r="J17" s="25"/>
      <c r="K17" s="25"/>
    </row>
    <row r="18" spans="1:11" s="272" customFormat="1" ht="12.75" customHeight="1">
      <c r="A18" s="38" t="s">
        <v>781</v>
      </c>
      <c r="B18" s="35"/>
      <c r="C18" s="16">
        <f t="shared" si="5"/>
        <v>0</v>
      </c>
      <c r="D18" s="112"/>
      <c r="E18" s="16">
        <f t="shared" si="1"/>
        <v>89952</v>
      </c>
      <c r="F18" s="16"/>
      <c r="G18" s="16">
        <f t="shared" si="2"/>
        <v>89952</v>
      </c>
      <c r="H18" s="55" t="str">
        <f>IF(ISNA(VLOOKUP($F$5 &amp; A18, AllocSched,9,FALSE))," ",VLOOKUP($F$5 &amp; A18, AllocSched,9,FALSE))</f>
        <v>001-011</v>
      </c>
      <c r="I18" s="56">
        <f>IF(ISNA(VLOOKUP($F$5 &amp; A18, AllocSched,14,FALSE))," ",VLOOKUP($F$5 &amp; A18, AllocSched,14,FALSE))</f>
        <v>101</v>
      </c>
      <c r="J18" s="25"/>
      <c r="K18" s="25"/>
    </row>
    <row r="19" spans="1:11" s="272" customFormat="1" ht="12.75" customHeight="1">
      <c r="A19" s="115" t="s">
        <v>448</v>
      </c>
      <c r="B19" s="35"/>
      <c r="C19" s="16">
        <f t="shared" si="5"/>
        <v>0</v>
      </c>
      <c r="D19" s="112"/>
      <c r="E19" s="16">
        <f t="shared" si="1"/>
        <v>278513</v>
      </c>
      <c r="F19" s="16"/>
      <c r="G19" s="16">
        <f t="shared" si="2"/>
        <v>278513</v>
      </c>
      <c r="H19" s="55" t="str">
        <f>IF(ISNA(VLOOKUP($F$5 &amp; A19, AllocSched,9,FALSE))," ",VLOOKUP($F$5 &amp; A19, AllocSched,9,FALSE))</f>
        <v>001-011</v>
      </c>
      <c r="I19" s="56">
        <f>IF(ISNA(VLOOKUP($F$5 &amp; A19, AllocSched,14,FALSE))," ",VLOOKUP($F$5 &amp; A19, AllocSched,14,FALSE))</f>
        <v>101</v>
      </c>
      <c r="J19" s="25"/>
      <c r="K19" s="25"/>
    </row>
    <row r="20" spans="1:11" s="269" customFormat="1" ht="12.75" customHeight="1">
      <c r="A20" s="115" t="s">
        <v>340</v>
      </c>
      <c r="B20" s="35"/>
      <c r="C20" s="16">
        <f t="shared" si="5"/>
        <v>0</v>
      </c>
      <c r="D20" s="112"/>
      <c r="E20" s="16">
        <f t="shared" si="1"/>
        <v>759291</v>
      </c>
      <c r="F20" s="16"/>
      <c r="G20" s="16">
        <f t="shared" si="2"/>
        <v>759291</v>
      </c>
      <c r="H20" s="55" t="str">
        <f t="shared" si="3"/>
        <v>001-011</v>
      </c>
      <c r="I20" s="56">
        <f t="shared" si="4"/>
        <v>101</v>
      </c>
      <c r="J20" s="25"/>
      <c r="K20" s="25"/>
    </row>
    <row r="21" spans="1:11" ht="12.75" customHeight="1">
      <c r="A21" s="115" t="s">
        <v>207</v>
      </c>
      <c r="B21" s="54"/>
      <c r="C21" s="16">
        <f t="shared" si="5"/>
        <v>0</v>
      </c>
      <c r="D21" s="112"/>
      <c r="E21" s="16">
        <f t="shared" si="1"/>
        <v>76797</v>
      </c>
      <c r="F21" s="16"/>
      <c r="G21" s="16">
        <f t="shared" si="2"/>
        <v>76797</v>
      </c>
      <c r="H21" s="55" t="str">
        <f t="shared" si="3"/>
        <v>001-011</v>
      </c>
      <c r="I21" s="56">
        <f t="shared" si="4"/>
        <v>101</v>
      </c>
    </row>
    <row r="22" spans="1:11" s="272" customFormat="1" ht="12.75" customHeight="1">
      <c r="A22" s="115" t="s">
        <v>203</v>
      </c>
      <c r="B22" s="54"/>
      <c r="C22" s="16">
        <f t="shared" si="5"/>
        <v>0</v>
      </c>
      <c r="D22" s="112"/>
      <c r="E22" s="16">
        <f t="shared" si="1"/>
        <v>-3648</v>
      </c>
      <c r="F22" s="16"/>
      <c r="G22" s="16">
        <f t="shared" si="2"/>
        <v>-3648</v>
      </c>
      <c r="H22" s="55" t="str">
        <f t="shared" si="3"/>
        <v>001-011</v>
      </c>
      <c r="I22" s="56">
        <f t="shared" si="4"/>
        <v>101</v>
      </c>
    </row>
    <row r="23" spans="1:11" s="272" customFormat="1" ht="12.75" customHeight="1">
      <c r="A23" s="115" t="s">
        <v>454</v>
      </c>
      <c r="B23" s="54"/>
      <c r="C23" s="16">
        <f t="shared" si="5"/>
        <v>0</v>
      </c>
      <c r="D23" s="112"/>
      <c r="E23" s="16">
        <f t="shared" si="1"/>
        <v>9707</v>
      </c>
      <c r="F23" s="16"/>
      <c r="G23" s="16">
        <f t="shared" si="2"/>
        <v>9707</v>
      </c>
      <c r="H23" s="55" t="str">
        <f>IF(ISNA(VLOOKUP($F$5 &amp; A23, AllocSched,9,FALSE))," ",VLOOKUP($F$5 &amp; A23, AllocSched,9,FALSE))</f>
        <v>001-011</v>
      </c>
      <c r="I23" s="56">
        <f>IF(ISNA(VLOOKUP($F$5 &amp; A23, AllocSched,14,FALSE))," ",VLOOKUP($F$5 &amp; A23, AllocSched,14,FALSE))</f>
        <v>101</v>
      </c>
    </row>
    <row r="24" spans="1:11" ht="12.75" customHeight="1">
      <c r="A24" s="115"/>
      <c r="B24" s="35"/>
      <c r="C24" s="16"/>
      <c r="D24" s="112"/>
      <c r="E24" s="16"/>
      <c r="F24" s="16"/>
      <c r="G24" s="16"/>
      <c r="H24" s="55" t="str">
        <f t="shared" si="3"/>
        <v xml:space="preserve"> </v>
      </c>
      <c r="I24" s="56" t="str">
        <f t="shared" si="4"/>
        <v xml:space="preserve"> </v>
      </c>
    </row>
    <row r="25" spans="1:11" s="83" customFormat="1">
      <c r="A25" s="114" t="s">
        <v>168</v>
      </c>
      <c r="B25" s="35"/>
      <c r="C25" s="16"/>
      <c r="D25" s="112"/>
      <c r="E25" s="16"/>
      <c r="F25" s="16"/>
      <c r="G25" s="16"/>
      <c r="H25" s="55" t="str">
        <f t="shared" si="3"/>
        <v xml:space="preserve"> </v>
      </c>
      <c r="I25" s="56" t="str">
        <f t="shared" si="4"/>
        <v xml:space="preserve"> </v>
      </c>
    </row>
    <row r="26" spans="1:11" s="83" customFormat="1">
      <c r="A26" s="38" t="s">
        <v>345</v>
      </c>
      <c r="B26" s="35"/>
      <c r="C26" s="16">
        <f t="shared" ref="C26:C35" si="6">IF(ISNA(VLOOKUP($F$5 &amp;A26, AllocSched,12,FALSE)),"-",VLOOKUP($F$5 &amp;A26, AllocSched,12,FALSE))</f>
        <v>118320</v>
      </c>
      <c r="D26" s="112"/>
      <c r="E26" s="16">
        <f t="shared" ref="E26:E36" si="7">IF(ISNA(VLOOKUP($F$5 &amp; A26, AllocSched,13,FALSE)),"-",VLOOKUP($F$5 &amp; A26, AllocSched,13,FALSE))</f>
        <v>0</v>
      </c>
      <c r="F26" s="16"/>
      <c r="G26" s="16">
        <f>IF(C26="-",E26,C26+E26)</f>
        <v>118320</v>
      </c>
      <c r="H26" s="55" t="str">
        <f t="shared" si="3"/>
        <v>001-011</v>
      </c>
      <c r="I26" s="56">
        <f t="shared" si="4"/>
        <v>101</v>
      </c>
    </row>
    <row r="27" spans="1:11" ht="12.75" customHeight="1">
      <c r="A27" s="38" t="s">
        <v>222</v>
      </c>
      <c r="B27" s="35"/>
      <c r="C27" s="16">
        <f t="shared" si="6"/>
        <v>34703</v>
      </c>
      <c r="D27" s="112"/>
      <c r="E27" s="16">
        <f t="shared" si="7"/>
        <v>-34703</v>
      </c>
      <c r="F27" s="16"/>
      <c r="G27" s="16">
        <f>IF(C27="-",E27,C27+E27)</f>
        <v>0</v>
      </c>
      <c r="H27" s="55" t="str">
        <f t="shared" si="3"/>
        <v>08A-3E0</v>
      </c>
      <c r="I27" s="56" t="str">
        <f t="shared" si="4"/>
        <v>3E0</v>
      </c>
    </row>
    <row r="28" spans="1:11" ht="12.75" customHeight="1">
      <c r="A28" s="38" t="s">
        <v>170</v>
      </c>
      <c r="B28" s="35"/>
      <c r="C28" s="16">
        <f t="shared" si="6"/>
        <v>45374</v>
      </c>
      <c r="D28" s="112"/>
      <c r="E28" s="16">
        <f t="shared" si="7"/>
        <v>-25627</v>
      </c>
      <c r="F28" s="16"/>
      <c r="G28" s="16">
        <f>IF(C28="-",E28,C28+E28)</f>
        <v>19747</v>
      </c>
      <c r="H28" s="55" t="str">
        <f t="shared" si="3"/>
        <v>001-011</v>
      </c>
      <c r="I28" s="56">
        <f t="shared" si="4"/>
        <v>101</v>
      </c>
    </row>
    <row r="29" spans="1:11" ht="12.75" customHeight="1">
      <c r="A29" s="115" t="s">
        <v>151</v>
      </c>
      <c r="B29" s="35"/>
      <c r="C29" s="16">
        <f t="shared" si="6"/>
        <v>250000</v>
      </c>
      <c r="D29" s="112"/>
      <c r="E29" s="16">
        <f t="shared" si="7"/>
        <v>0</v>
      </c>
      <c r="F29" s="16"/>
      <c r="G29" s="16">
        <f t="shared" ref="G29:G35" si="8">IF(C29="-",E29,C29+E29)</f>
        <v>250000</v>
      </c>
      <c r="H29" s="55" t="str">
        <f t="shared" si="3"/>
        <v>08A-3E0</v>
      </c>
      <c r="I29" s="56" t="str">
        <f t="shared" si="4"/>
        <v>3E0</v>
      </c>
    </row>
    <row r="30" spans="1:11" ht="12.75" customHeight="1">
      <c r="A30" s="115" t="s">
        <v>150</v>
      </c>
      <c r="B30" s="35"/>
      <c r="C30" s="16">
        <f t="shared" si="6"/>
        <v>29412</v>
      </c>
      <c r="D30" s="112"/>
      <c r="E30" s="16">
        <f t="shared" si="7"/>
        <v>0</v>
      </c>
      <c r="F30" s="16"/>
      <c r="G30" s="16">
        <f t="shared" si="8"/>
        <v>29412</v>
      </c>
      <c r="H30" s="55" t="str">
        <f t="shared" si="3"/>
        <v>001-011</v>
      </c>
      <c r="I30" s="56">
        <f t="shared" si="4"/>
        <v>101</v>
      </c>
    </row>
    <row r="31" spans="1:11" ht="12.75" customHeight="1">
      <c r="A31" s="115" t="s">
        <v>273</v>
      </c>
      <c r="B31" s="35"/>
      <c r="C31" s="16">
        <f t="shared" si="6"/>
        <v>135940</v>
      </c>
      <c r="D31" s="112"/>
      <c r="E31" s="16">
        <f t="shared" si="7"/>
        <v>-135940</v>
      </c>
      <c r="F31" s="16"/>
      <c r="G31" s="16">
        <f>IF(C31="-",E31,C31+E31)</f>
        <v>0</v>
      </c>
      <c r="H31" s="55" t="str">
        <f t="shared" si="3"/>
        <v>001-BD1</v>
      </c>
      <c r="I31" s="56" t="str">
        <f t="shared" si="4"/>
        <v>BD1</v>
      </c>
    </row>
    <row r="32" spans="1:11" ht="12.75" customHeight="1">
      <c r="A32" s="115" t="s">
        <v>6</v>
      </c>
      <c r="B32" s="35"/>
      <c r="C32" s="16">
        <f t="shared" si="6"/>
        <v>17646</v>
      </c>
      <c r="D32" s="112"/>
      <c r="E32" s="16">
        <f t="shared" si="7"/>
        <v>3324</v>
      </c>
      <c r="F32" s="16"/>
      <c r="G32" s="16">
        <f t="shared" si="8"/>
        <v>20970</v>
      </c>
      <c r="H32" s="55" t="str">
        <f t="shared" si="3"/>
        <v>001-011</v>
      </c>
      <c r="I32" s="56">
        <f t="shared" si="4"/>
        <v>101</v>
      </c>
    </row>
    <row r="33" spans="1:11" s="272" customFormat="1" ht="12.75" customHeight="1">
      <c r="A33" s="115" t="s">
        <v>64</v>
      </c>
      <c r="B33" s="35"/>
      <c r="C33" s="16" t="str">
        <f t="shared" ref="C33" si="9">IF(ISNA(VLOOKUP($F$5 &amp;A33, AllocSched,12,FALSE)),"-",VLOOKUP($F$5 &amp;A33, AllocSched,12,FALSE))</f>
        <v>-</v>
      </c>
      <c r="D33" s="112"/>
      <c r="E33" s="16" t="str">
        <f t="shared" ref="E33" si="10">IF(ISNA(VLOOKUP($F$5 &amp; A33, AllocSched,13,FALSE)),"-",VLOOKUP($F$5 &amp; A33, AllocSched,13,FALSE))</f>
        <v>-</v>
      </c>
      <c r="F33" s="16"/>
      <c r="G33" s="16" t="str">
        <f t="shared" ref="G33" si="11">IF(C33="-",E33,C33+E33)</f>
        <v>-</v>
      </c>
      <c r="H33" s="55" t="str">
        <f t="shared" ref="H33" si="12">IF(ISNA(VLOOKUP($F$5 &amp; A33, AllocSched,9,FALSE))," ",VLOOKUP($F$5 &amp; A33, AllocSched,9,FALSE))</f>
        <v xml:space="preserve"> </v>
      </c>
      <c r="I33" s="56" t="str">
        <f t="shared" ref="I33" si="13">IF(ISNA(VLOOKUP($F$5 &amp; A33, AllocSched,14,FALSE))," ",VLOOKUP($F$5 &amp; A33, AllocSched,14,FALSE))</f>
        <v xml:space="preserve"> </v>
      </c>
    </row>
    <row r="34" spans="1:11" ht="12.75" customHeight="1">
      <c r="A34" s="115" t="s">
        <v>333</v>
      </c>
      <c r="B34" s="54"/>
      <c r="C34" s="16">
        <f t="shared" si="6"/>
        <v>67114</v>
      </c>
      <c r="D34" s="112"/>
      <c r="E34" s="16">
        <f t="shared" si="7"/>
        <v>0</v>
      </c>
      <c r="F34" s="16"/>
      <c r="G34" s="16">
        <f t="shared" si="8"/>
        <v>67114</v>
      </c>
      <c r="H34" s="55" t="str">
        <f t="shared" si="3"/>
        <v>001-011</v>
      </c>
      <c r="I34" s="56">
        <f t="shared" si="4"/>
        <v>101</v>
      </c>
    </row>
    <row r="35" spans="1:11" ht="12.75" customHeight="1">
      <c r="A35" s="115" t="s">
        <v>332</v>
      </c>
      <c r="B35" s="54"/>
      <c r="C35" s="16">
        <f t="shared" si="6"/>
        <v>320584</v>
      </c>
      <c r="D35" s="112"/>
      <c r="E35" s="16">
        <f t="shared" si="7"/>
        <v>0</v>
      </c>
      <c r="F35" s="16"/>
      <c r="G35" s="16">
        <f t="shared" si="8"/>
        <v>320584</v>
      </c>
      <c r="H35" s="55" t="str">
        <f t="shared" si="3"/>
        <v>001-AC1</v>
      </c>
      <c r="I35" s="56">
        <f t="shared" si="4"/>
        <v>123</v>
      </c>
    </row>
    <row r="36" spans="1:11" ht="12.75" customHeight="1">
      <c r="A36" s="115" t="s">
        <v>767</v>
      </c>
      <c r="B36" s="54"/>
      <c r="C36" s="16" t="str">
        <f>IF(ISNA(VLOOKUP($F$5 &amp;A36, AllocSched,12,FALSE)),"-",VLOOKUP($F$5 &amp;A36, AllocSched,12,FALSE))</f>
        <v>-</v>
      </c>
      <c r="D36" s="112"/>
      <c r="E36" s="16" t="str">
        <f t="shared" si="7"/>
        <v>-</v>
      </c>
      <c r="F36" s="16"/>
      <c r="G36" s="16" t="str">
        <f>IF(C36="-",E36,C36+E36)</f>
        <v>-</v>
      </c>
      <c r="H36" s="55" t="str">
        <f t="shared" si="3"/>
        <v xml:space="preserve"> </v>
      </c>
      <c r="I36" s="56" t="str">
        <f t="shared" si="4"/>
        <v xml:space="preserve"> </v>
      </c>
    </row>
    <row r="37" spans="1:11" s="272" customFormat="1" ht="12.75" customHeight="1">
      <c r="A37" s="115" t="s">
        <v>449</v>
      </c>
      <c r="B37" s="54"/>
      <c r="C37" s="16">
        <f>IF(ISNA(VLOOKUP($F$5 &amp;A37, AllocSched,12,FALSE)),"-",VLOOKUP($F$5 &amp;A37, AllocSched,12,FALSE))</f>
        <v>0</v>
      </c>
      <c r="D37" s="112"/>
      <c r="E37" s="16">
        <f>IF(ISNA(VLOOKUP($F$5 &amp; A37, AllocSched,13,FALSE)),"-",VLOOKUP($F$5 &amp; A37, AllocSched,13,FALSE))</f>
        <v>117504</v>
      </c>
      <c r="F37" s="16"/>
      <c r="G37" s="16">
        <f>IF(C37="-",E37,C37+E37)</f>
        <v>117504</v>
      </c>
      <c r="H37" s="55" t="str">
        <f>IF(ISNA(VLOOKUP($F$5 &amp; A37, AllocSched,9,FALSE))," ",VLOOKUP($F$5 &amp; A37, AllocSched,9,FALSE))</f>
        <v>001-011</v>
      </c>
      <c r="I37" s="56">
        <f>IF(ISNA(VLOOKUP($F$5 &amp; A37, AllocSched,14,FALSE))," ",VLOOKUP($F$5 &amp; A37, AllocSched,14,FALSE))</f>
        <v>101</v>
      </c>
    </row>
    <row r="38" spans="1:11" ht="12.75" customHeight="1">
      <c r="A38" s="54"/>
      <c r="B38" s="54"/>
      <c r="C38" s="16"/>
      <c r="D38" s="112"/>
      <c r="E38" s="16"/>
      <c r="F38" s="16"/>
      <c r="G38" s="16"/>
      <c r="H38" s="55"/>
      <c r="I38" s="56"/>
    </row>
    <row r="39" spans="1:11" ht="13.5" thickBot="1">
      <c r="A39" s="89" t="s">
        <v>174</v>
      </c>
      <c r="B39" s="57" t="s">
        <v>51</v>
      </c>
      <c r="C39" s="111">
        <f>SUM(C16:C37)</f>
        <v>14265425</v>
      </c>
      <c r="D39" s="113" t="s">
        <v>51</v>
      </c>
      <c r="E39" s="111">
        <f>SUM(E16:E37)</f>
        <v>1135170</v>
      </c>
      <c r="F39" s="113" t="s">
        <v>51</v>
      </c>
      <c r="G39" s="111">
        <f>SUM(G16:G37)</f>
        <v>15400595</v>
      </c>
      <c r="J39" s="25"/>
      <c r="K39" s="30"/>
    </row>
    <row r="40" spans="1:11" ht="12.75" customHeight="1" thickTop="1">
      <c r="A40" s="84"/>
      <c r="B40" s="84"/>
      <c r="C40" s="58">
        <v>0</v>
      </c>
      <c r="D40" s="58"/>
      <c r="E40" s="90"/>
      <c r="F40" s="90"/>
      <c r="G40" s="90"/>
    </row>
    <row r="41" spans="1:11" s="65" customFormat="1" ht="25.5">
      <c r="A41" s="59" t="s">
        <v>156</v>
      </c>
      <c r="B41" s="60"/>
      <c r="C41" s="61"/>
      <c r="D41" s="62"/>
      <c r="E41" s="63" t="s">
        <v>67</v>
      </c>
      <c r="F41" s="62"/>
      <c r="G41" s="64" t="s">
        <v>163</v>
      </c>
      <c r="H41" s="64" t="s">
        <v>164</v>
      </c>
      <c r="I41" s="98" t="s">
        <v>70</v>
      </c>
    </row>
    <row r="42" spans="1:11" s="65" customFormat="1" ht="12.75" customHeight="1">
      <c r="A42" s="66" t="s">
        <v>240</v>
      </c>
      <c r="B42" s="67"/>
      <c r="C42" s="68"/>
      <c r="E42" s="66" t="s">
        <v>383</v>
      </c>
      <c r="G42" s="150">
        <f t="shared" ref="G42:G48" si="14">VLOOKUP($F$5 &amp; $A42 &amp; $E42,AddRes,7,FALSE)</f>
        <v>0</v>
      </c>
      <c r="H42" s="150">
        <f t="shared" ref="H42:H48" si="15">VLOOKUP($F$5 &amp; $A42 &amp; $E42,AddRes,8,FALSE)</f>
        <v>0</v>
      </c>
      <c r="I42" s="69">
        <f t="shared" ref="I42:I48" si="16">VLOOKUP($F$5 &amp; $A42 &amp; $E42,AddRes,10,FALSE)</f>
        <v>42277</v>
      </c>
      <c r="J42" s="198"/>
    </row>
    <row r="43" spans="1:11" s="65" customFormat="1" ht="12.75" customHeight="1">
      <c r="A43" s="66" t="s">
        <v>497</v>
      </c>
      <c r="B43" s="67"/>
      <c r="C43" s="26"/>
      <c r="E43" s="66" t="s">
        <v>697</v>
      </c>
      <c r="G43" s="150">
        <f t="shared" si="14"/>
        <v>0</v>
      </c>
      <c r="H43" s="150">
        <f t="shared" si="15"/>
        <v>0</v>
      </c>
      <c r="I43" s="69">
        <f t="shared" si="16"/>
        <v>42551</v>
      </c>
    </row>
    <row r="44" spans="1:11" s="65" customFormat="1" ht="12.75" customHeight="1">
      <c r="A44" s="66" t="s">
        <v>498</v>
      </c>
      <c r="B44" s="67"/>
      <c r="C44" s="26"/>
      <c r="E44" s="66" t="s">
        <v>698</v>
      </c>
      <c r="G44" s="150">
        <f t="shared" si="14"/>
        <v>0</v>
      </c>
      <c r="H44" s="150">
        <f t="shared" si="15"/>
        <v>0</v>
      </c>
      <c r="I44" s="69">
        <f t="shared" si="16"/>
        <v>42551</v>
      </c>
    </row>
    <row r="45" spans="1:11" s="65" customFormat="1" ht="12.75" customHeight="1">
      <c r="A45" s="66" t="s">
        <v>241</v>
      </c>
      <c r="B45" s="67"/>
      <c r="C45" s="68"/>
      <c r="E45" s="66" t="s">
        <v>699</v>
      </c>
      <c r="G45" s="150">
        <f t="shared" si="14"/>
        <v>0</v>
      </c>
      <c r="H45" s="150">
        <f t="shared" si="15"/>
        <v>0</v>
      </c>
      <c r="I45" s="69">
        <f t="shared" si="16"/>
        <v>42551</v>
      </c>
    </row>
    <row r="46" spans="1:11" s="65" customFormat="1" ht="12.75" customHeight="1">
      <c r="A46" s="66" t="s">
        <v>231</v>
      </c>
      <c r="B46" s="67"/>
      <c r="C46" s="68"/>
      <c r="E46" s="66" t="s">
        <v>700</v>
      </c>
      <c r="G46" s="150">
        <f t="shared" si="14"/>
        <v>0</v>
      </c>
      <c r="H46" s="150">
        <f t="shared" si="15"/>
        <v>0</v>
      </c>
      <c r="I46" s="69">
        <f t="shared" si="16"/>
        <v>42551</v>
      </c>
    </row>
    <row r="47" spans="1:11" s="65" customFormat="1" ht="12.75" customHeight="1">
      <c r="A47" s="66" t="s">
        <v>506</v>
      </c>
      <c r="B47" s="67"/>
      <c r="C47" s="68"/>
      <c r="E47" s="66" t="s">
        <v>701</v>
      </c>
      <c r="G47" s="150">
        <f t="shared" si="14"/>
        <v>0</v>
      </c>
      <c r="H47" s="150">
        <f t="shared" si="15"/>
        <v>0</v>
      </c>
      <c r="I47" s="69">
        <f t="shared" si="16"/>
        <v>42551</v>
      </c>
    </row>
    <row r="48" spans="1:11" s="65" customFormat="1" ht="12.75" customHeight="1">
      <c r="A48" s="66" t="s">
        <v>232</v>
      </c>
      <c r="B48" s="67"/>
      <c r="C48" s="68"/>
      <c r="E48" s="66" t="s">
        <v>702</v>
      </c>
      <c r="G48" s="150">
        <f t="shared" si="14"/>
        <v>0</v>
      </c>
      <c r="H48" s="150">
        <f t="shared" si="15"/>
        <v>0</v>
      </c>
      <c r="I48" s="69">
        <f t="shared" si="16"/>
        <v>42551</v>
      </c>
    </row>
    <row r="49" spans="1:12" s="65" customFormat="1" ht="12.75" customHeight="1">
      <c r="A49" s="66"/>
      <c r="C49" s="70"/>
      <c r="D49" s="70"/>
      <c r="E49" s="70"/>
      <c r="F49" s="70"/>
      <c r="G49" s="71"/>
      <c r="H49" s="72"/>
      <c r="I49" s="73"/>
    </row>
    <row r="50" spans="1:12" s="65" customFormat="1" ht="12.75" customHeight="1">
      <c r="A50" s="66"/>
      <c r="C50" s="74" t="s">
        <v>71</v>
      </c>
      <c r="D50" s="70"/>
      <c r="E50" s="70"/>
      <c r="F50" s="70"/>
      <c r="G50" s="75">
        <f>SUM(G42:G48)</f>
        <v>0</v>
      </c>
      <c r="H50" s="75">
        <f>SUM(H42:H48)</f>
        <v>0</v>
      </c>
      <c r="I50" s="73"/>
    </row>
    <row r="51" spans="1:12" s="65" customFormat="1" ht="12.75" customHeight="1">
      <c r="A51" s="66"/>
      <c r="C51" s="70"/>
      <c r="D51" s="70"/>
      <c r="E51" s="70" t="s">
        <v>403</v>
      </c>
      <c r="F51" s="70"/>
      <c r="G51" s="70"/>
      <c r="I51" s="73"/>
    </row>
    <row r="52" spans="1:12" s="65" customFormat="1" ht="12.75" customHeight="1">
      <c r="A52" s="66"/>
      <c r="C52" s="70"/>
      <c r="D52" s="70"/>
      <c r="E52" s="70"/>
      <c r="F52" s="70"/>
      <c r="G52" s="70"/>
      <c r="I52" s="73"/>
      <c r="K52" s="75"/>
      <c r="L52" s="75"/>
    </row>
    <row r="53" spans="1:12" s="65" customFormat="1" ht="12.75" customHeight="1">
      <c r="A53" s="66"/>
      <c r="C53" s="70"/>
      <c r="D53" s="70"/>
      <c r="E53" s="70"/>
      <c r="F53" s="70"/>
      <c r="G53" s="70"/>
      <c r="I53" s="73"/>
    </row>
    <row r="54" spans="1:12" s="65" customFormat="1" ht="12.75" customHeight="1">
      <c r="A54" s="66"/>
      <c r="C54" s="70"/>
      <c r="D54" s="70"/>
      <c r="E54" s="70"/>
      <c r="F54" s="70"/>
      <c r="G54" s="70"/>
      <c r="I54" s="73"/>
    </row>
    <row r="55" spans="1:12" s="65" customFormat="1" ht="12.75" customHeight="1">
      <c r="C55" s="70"/>
      <c r="D55" s="70"/>
      <c r="E55" s="70"/>
      <c r="F55" s="70"/>
      <c r="G55" s="70"/>
      <c r="I55" s="73"/>
    </row>
    <row r="56" spans="1:12" s="65" customFormat="1" ht="12.75" customHeight="1">
      <c r="C56" s="70"/>
      <c r="D56" s="70"/>
      <c r="E56" s="70"/>
      <c r="F56" s="70"/>
      <c r="G56" s="70"/>
      <c r="I56" s="73"/>
    </row>
    <row r="57" spans="1:12" s="65" customFormat="1" ht="12.75" customHeight="1">
      <c r="C57" s="70"/>
      <c r="D57" s="70"/>
      <c r="E57" s="70"/>
      <c r="F57" s="70"/>
      <c r="G57" s="70"/>
      <c r="I57" s="73"/>
    </row>
    <row r="58" spans="1:12" s="65" customFormat="1" ht="12.75" customHeight="1">
      <c r="C58" s="70"/>
      <c r="D58" s="70"/>
      <c r="E58" s="70"/>
      <c r="F58" s="70"/>
      <c r="G58" s="70"/>
      <c r="I58" s="73"/>
    </row>
    <row r="59" spans="1:12" s="65" customFormat="1" ht="12.75" customHeight="1">
      <c r="C59" s="70"/>
      <c r="D59" s="70"/>
      <c r="E59" s="70"/>
      <c r="F59" s="70"/>
      <c r="G59" s="70"/>
      <c r="I59" s="73"/>
    </row>
    <row r="60" spans="1:12" s="65" customFormat="1" ht="12.75" customHeight="1">
      <c r="C60" s="70"/>
      <c r="D60" s="70"/>
      <c r="E60" s="70"/>
      <c r="F60" s="70"/>
      <c r="G60" s="70"/>
      <c r="I60" s="73"/>
    </row>
    <row r="61" spans="1:12" s="65" customFormat="1" ht="12.75" customHeight="1">
      <c r="C61" s="70"/>
      <c r="D61" s="70"/>
      <c r="E61" s="70"/>
      <c r="F61" s="70"/>
      <c r="G61" s="70"/>
      <c r="I61" s="73"/>
    </row>
    <row r="62" spans="1:12" s="65" customFormat="1" ht="12.75" customHeight="1">
      <c r="C62" s="70"/>
      <c r="D62" s="70"/>
      <c r="E62" s="70"/>
      <c r="F62" s="70"/>
      <c r="G62" s="70"/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</sheetData>
  <mergeCells count="2">
    <mergeCell ref="A8:I8"/>
    <mergeCell ref="G5:I5"/>
  </mergeCells>
  <phoneticPr fontId="0" type="noConversion"/>
  <conditionalFormatting sqref="G39">
    <cfRule type="cellIs" dxfId="8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51"/>
  <sheetViews>
    <sheetView zoomScale="110" zoomScaleNormal="110" workbookViewId="0">
      <selection activeCell="A2" sqref="A2"/>
    </sheetView>
  </sheetViews>
  <sheetFormatPr defaultColWidth="9.140625" defaultRowHeight="12.75"/>
  <cols>
    <col min="1" max="1" width="20.42578125" style="6" bestFit="1" customWidth="1"/>
    <col min="2" max="4" width="21.42578125" style="15" customWidth="1"/>
    <col min="5" max="5" width="5" style="6" bestFit="1" customWidth="1"/>
    <col min="6" max="6" width="14.140625" style="6" customWidth="1"/>
    <col min="7" max="7" width="9.140625" style="6" customWidth="1"/>
    <col min="8" max="16384" width="9.140625" style="6"/>
  </cols>
  <sheetData>
    <row r="1" spans="1:8" s="2" customFormat="1" ht="15.75">
      <c r="A1" s="17" t="s">
        <v>787</v>
      </c>
      <c r="B1" s="18"/>
      <c r="C1" s="18"/>
      <c r="D1" s="18"/>
    </row>
    <row r="2" spans="1:8" s="1" customFormat="1" ht="15.75">
      <c r="A2" s="19" t="s">
        <v>166</v>
      </c>
      <c r="B2" s="20"/>
      <c r="C2" s="17"/>
      <c r="D2" s="17"/>
    </row>
    <row r="3" spans="1:8" s="1" customFormat="1" ht="15.75">
      <c r="A3" s="19" t="str">
        <f>"FY 2016 Allocation #"&amp;'Alloc Sched Data'!B2</f>
        <v>FY 2016 Allocation #1</v>
      </c>
      <c r="B3" s="20"/>
      <c r="C3" s="17"/>
      <c r="D3" s="17"/>
    </row>
    <row r="5" spans="1:8">
      <c r="A5" s="480" t="s">
        <v>1</v>
      </c>
      <c r="B5" s="481"/>
      <c r="C5" s="481"/>
      <c r="D5" s="482"/>
    </row>
    <row r="7" spans="1:8" s="3" customFormat="1" ht="25.5">
      <c r="A7" s="3" t="s">
        <v>2</v>
      </c>
      <c r="B7" s="4" t="s">
        <v>55</v>
      </c>
      <c r="C7" s="200" t="s">
        <v>318</v>
      </c>
      <c r="D7" s="5" t="s">
        <v>206</v>
      </c>
    </row>
    <row r="8" spans="1:8">
      <c r="B8" s="7"/>
      <c r="C8" s="201"/>
      <c r="D8" s="9"/>
    </row>
    <row r="9" spans="1:8">
      <c r="A9" s="6" t="s">
        <v>41</v>
      </c>
      <c r="B9" s="344">
        <f>'Attachment One'!B9</f>
        <v>18550895</v>
      </c>
      <c r="C9" s="345">
        <f>Bates!G41</f>
        <v>18550895</v>
      </c>
      <c r="D9" s="225">
        <v>0</v>
      </c>
      <c r="F9" s="346">
        <f>B9-C9</f>
        <v>0</v>
      </c>
      <c r="G9" s="203"/>
      <c r="H9" s="14"/>
    </row>
    <row r="10" spans="1:8">
      <c r="A10" s="6" t="s">
        <v>21</v>
      </c>
      <c r="B10" s="7">
        <f>'Attachment One'!B10</f>
        <v>29651191</v>
      </c>
      <c r="C10" s="145">
        <f>Bellevue!G41</f>
        <v>29651191</v>
      </c>
      <c r="D10" s="225">
        <v>0</v>
      </c>
      <c r="F10" s="346"/>
      <c r="G10" s="203"/>
      <c r="H10" s="14"/>
    </row>
    <row r="11" spans="1:8">
      <c r="A11" s="6" t="s">
        <v>38</v>
      </c>
      <c r="B11" s="7">
        <f>'Attachment One'!B11</f>
        <v>12229755</v>
      </c>
      <c r="C11" s="145">
        <f>Bellingham!G43</f>
        <v>12229755</v>
      </c>
      <c r="D11" s="225">
        <v>1996296</v>
      </c>
      <c r="F11" s="346"/>
      <c r="G11" s="203"/>
      <c r="H11" s="14"/>
    </row>
    <row r="12" spans="1:8">
      <c r="A12" s="6" t="s">
        <v>31</v>
      </c>
      <c r="B12" s="7">
        <f>'Attachment One'!B12</f>
        <v>9393873</v>
      </c>
      <c r="C12" s="145">
        <f>'Big Bend'!G37</f>
        <v>9393873</v>
      </c>
      <c r="D12" s="225">
        <v>0</v>
      </c>
      <c r="G12" s="203"/>
      <c r="H12" s="14"/>
    </row>
    <row r="13" spans="1:8">
      <c r="A13" s="6" t="s">
        <v>43</v>
      </c>
      <c r="B13" s="7">
        <f>'Attachment One'!B13</f>
        <v>9145854</v>
      </c>
      <c r="C13" s="145">
        <f>Cascadia!G38</f>
        <v>9145854</v>
      </c>
      <c r="D13" s="225">
        <v>0</v>
      </c>
      <c r="G13" s="203"/>
      <c r="H13" s="14"/>
    </row>
    <row r="14" spans="1:8">
      <c r="A14" s="6" t="s">
        <v>25</v>
      </c>
      <c r="B14" s="7">
        <f>'Attachment One'!B14</f>
        <v>10972491</v>
      </c>
      <c r="C14" s="145">
        <f>Centralia!G40</f>
        <v>10972491</v>
      </c>
      <c r="D14" s="225">
        <v>0</v>
      </c>
      <c r="F14" s="346"/>
      <c r="G14" s="203"/>
      <c r="H14" s="14"/>
    </row>
    <row r="15" spans="1:8">
      <c r="A15" s="6" t="s">
        <v>27</v>
      </c>
      <c r="B15" s="7">
        <f>'Attachment One'!B15</f>
        <v>27988172</v>
      </c>
      <c r="C15" s="145">
        <f>Clark!G43</f>
        <v>27988172</v>
      </c>
      <c r="D15" s="225">
        <v>0</v>
      </c>
      <c r="F15" s="14"/>
      <c r="G15" s="203"/>
      <c r="H15" s="14"/>
    </row>
    <row r="16" spans="1:8">
      <c r="A16" s="6" t="s">
        <v>42</v>
      </c>
      <c r="B16" s="7">
        <f>'Attachment One'!B16</f>
        <v>18131165</v>
      </c>
      <c r="C16" s="145">
        <f>'Clover Park'!G41</f>
        <v>18131165</v>
      </c>
      <c r="D16" s="225">
        <v>0</v>
      </c>
      <c r="G16" s="203"/>
      <c r="H16" s="14"/>
    </row>
    <row r="17" spans="1:8">
      <c r="A17" s="6" t="s">
        <v>32</v>
      </c>
      <c r="B17" s="7">
        <f>'Attachment One'!B17</f>
        <v>19300206</v>
      </c>
      <c r="C17" s="145">
        <f>'Columbia Basin'!G40</f>
        <v>19300206</v>
      </c>
      <c r="D17" s="225">
        <v>0</v>
      </c>
      <c r="G17" s="203"/>
      <c r="H17" s="14"/>
    </row>
    <row r="18" spans="1:8">
      <c r="A18" s="6" t="s">
        <v>36</v>
      </c>
      <c r="B18" s="7">
        <f>'Attachment One'!B18</f>
        <v>25530724</v>
      </c>
      <c r="C18" s="145">
        <f>Edmonds!G45</f>
        <v>25530724</v>
      </c>
      <c r="D18" s="225">
        <v>0</v>
      </c>
      <c r="G18" s="203"/>
      <c r="H18" s="14"/>
    </row>
    <row r="19" spans="1:8">
      <c r="A19" s="6" t="s">
        <v>18</v>
      </c>
      <c r="B19" s="7">
        <f>'Attachment One'!B19</f>
        <v>22518258</v>
      </c>
      <c r="C19" s="145">
        <f>Everett!G46</f>
        <v>22518258</v>
      </c>
      <c r="D19" s="225">
        <v>0</v>
      </c>
      <c r="F19" s="14"/>
      <c r="G19" s="203"/>
      <c r="H19" s="14"/>
    </row>
    <row r="20" spans="1:8">
      <c r="A20" s="6" t="s">
        <v>15</v>
      </c>
      <c r="B20" s="7">
        <f>'Attachment One'!B20</f>
        <v>8903642</v>
      </c>
      <c r="C20" s="145">
        <f>'Grays Harbor'!G37</f>
        <v>8903642</v>
      </c>
      <c r="D20" s="225">
        <v>0</v>
      </c>
      <c r="G20" s="203"/>
      <c r="H20" s="14"/>
    </row>
    <row r="21" spans="1:8">
      <c r="A21" s="6" t="s">
        <v>23</v>
      </c>
      <c r="B21" s="7">
        <f>'Attachment One'!B21</f>
        <v>25731942</v>
      </c>
      <c r="C21" s="145">
        <f>'Green River'!G43</f>
        <v>25731942</v>
      </c>
      <c r="D21" s="225">
        <v>2025080</v>
      </c>
      <c r="G21" s="203"/>
      <c r="H21" s="14"/>
    </row>
    <row r="22" spans="1:8">
      <c r="A22" s="6" t="s">
        <v>22</v>
      </c>
      <c r="B22" s="7">
        <f>'Attachment One'!B22</f>
        <v>22614570</v>
      </c>
      <c r="C22" s="145">
        <f>Highline!G43</f>
        <v>22614570</v>
      </c>
      <c r="D22" s="225">
        <v>0</v>
      </c>
      <c r="F22" s="14"/>
      <c r="G22" s="203"/>
      <c r="H22" s="14"/>
    </row>
    <row r="23" spans="1:8">
      <c r="A23" s="6" t="s">
        <v>39</v>
      </c>
      <c r="B23" s="7">
        <f>'Attachment One'!B23</f>
        <v>13475089</v>
      </c>
      <c r="C23" s="145">
        <f>'Lake WA'!G41</f>
        <v>13475089</v>
      </c>
      <c r="D23" s="225">
        <v>0</v>
      </c>
      <c r="G23" s="203"/>
      <c r="H23" s="14"/>
    </row>
    <row r="24" spans="1:8">
      <c r="A24" s="6" t="s">
        <v>26</v>
      </c>
      <c r="B24" s="7">
        <f>'Attachment One'!B24</f>
        <v>14362459</v>
      </c>
      <c r="C24" s="145">
        <f>'Lower Columbia'!G40</f>
        <v>14362459</v>
      </c>
      <c r="D24" s="225">
        <v>2400025</v>
      </c>
      <c r="G24" s="203"/>
      <c r="H24" s="14"/>
    </row>
    <row r="25" spans="1:8">
      <c r="A25" s="6" t="s">
        <v>16</v>
      </c>
      <c r="B25" s="7">
        <f>'Attachment One'!B25</f>
        <v>19768158</v>
      </c>
      <c r="C25" s="145">
        <f>Olympic!G42</f>
        <v>19768158</v>
      </c>
      <c r="D25" s="225">
        <v>0</v>
      </c>
      <c r="F25" s="14"/>
      <c r="G25" s="203"/>
      <c r="H25" s="14"/>
    </row>
    <row r="26" spans="1:8">
      <c r="A26" s="6" t="s">
        <v>14</v>
      </c>
      <c r="B26" s="7">
        <f>'Attachment One'!B26</f>
        <v>10364946</v>
      </c>
      <c r="C26" s="145">
        <f>Peninsula!G42</f>
        <v>10364946</v>
      </c>
      <c r="D26" s="225">
        <v>0</v>
      </c>
      <c r="F26" s="14"/>
      <c r="G26" s="203"/>
      <c r="H26" s="14"/>
    </row>
    <row r="27" spans="1:8">
      <c r="A27" s="6" t="s">
        <v>24</v>
      </c>
      <c r="B27" s="7">
        <f>'Attachment One'!B27</f>
        <v>24347248</v>
      </c>
      <c r="C27" s="145">
        <f>Pierce!G43</f>
        <v>24347248</v>
      </c>
      <c r="D27" s="225">
        <v>0</v>
      </c>
      <c r="G27" s="203"/>
      <c r="H27" s="14"/>
    </row>
    <row r="28" spans="1:8">
      <c r="A28" s="6" t="s">
        <v>40</v>
      </c>
      <c r="B28" s="7">
        <f>'Attachment One'!B28</f>
        <v>15780579</v>
      </c>
      <c r="C28" s="145">
        <f>Renton!G41</f>
        <v>15780579</v>
      </c>
      <c r="D28" s="225">
        <v>0</v>
      </c>
      <c r="G28" s="203"/>
      <c r="H28" s="14"/>
    </row>
    <row r="29" spans="1:8">
      <c r="A29" s="6" t="s">
        <v>19</v>
      </c>
      <c r="B29" s="7">
        <f>'Attachment One'!B29</f>
        <v>63728214</v>
      </c>
      <c r="C29" s="145">
        <f>Seattle!G51</f>
        <v>63728214</v>
      </c>
      <c r="D29" s="225">
        <v>0</v>
      </c>
      <c r="F29" s="14"/>
      <c r="G29" s="203"/>
      <c r="H29" s="14"/>
    </row>
    <row r="30" spans="1:8">
      <c r="A30" s="6" t="s">
        <v>20</v>
      </c>
      <c r="B30" s="7">
        <f>'Attachment One'!B30</f>
        <v>20036449</v>
      </c>
      <c r="C30" s="145">
        <f>Shoreline!G39</f>
        <v>20036449</v>
      </c>
      <c r="D30" s="225">
        <v>0</v>
      </c>
      <c r="G30" s="203"/>
      <c r="H30" s="14"/>
    </row>
    <row r="31" spans="1:8">
      <c r="A31" s="6" t="s">
        <v>17</v>
      </c>
      <c r="B31" s="7">
        <f>'Attachment One'!B31</f>
        <v>19157909</v>
      </c>
      <c r="C31" s="145">
        <f>Skagit!G44</f>
        <v>19157909</v>
      </c>
      <c r="D31" s="225">
        <v>1958675</v>
      </c>
      <c r="G31" s="203"/>
      <c r="H31" s="14"/>
    </row>
    <row r="32" spans="1:8">
      <c r="A32" s="6" t="s">
        <v>37</v>
      </c>
      <c r="B32" s="7">
        <f>'Attachment One'!B32</f>
        <v>15400595</v>
      </c>
      <c r="C32" s="145">
        <f>'So Puget Sound'!G39</f>
        <v>15400595</v>
      </c>
      <c r="D32" s="225">
        <v>0</v>
      </c>
      <c r="G32" s="203"/>
      <c r="H32" s="14"/>
    </row>
    <row r="33" spans="1:8">
      <c r="A33" s="6" t="s">
        <v>30</v>
      </c>
      <c r="B33" s="7">
        <f>'Attachment One'!B33</f>
        <v>53366699</v>
      </c>
      <c r="C33" s="145">
        <f>Spokane!G44</f>
        <v>53366699</v>
      </c>
      <c r="D33" s="225">
        <v>0</v>
      </c>
      <c r="G33" s="203"/>
      <c r="H33" s="14"/>
    </row>
    <row r="34" spans="1:8">
      <c r="A34" s="6" t="s">
        <v>35</v>
      </c>
      <c r="B34" s="7">
        <f>'Attachment One'!B34</f>
        <v>19707238</v>
      </c>
      <c r="C34" s="145">
        <f>Tacoma!G39</f>
        <v>19707238</v>
      </c>
      <c r="D34" s="225">
        <v>0</v>
      </c>
      <c r="G34" s="203"/>
      <c r="H34" s="14"/>
    </row>
    <row r="35" spans="1:8">
      <c r="A35" s="6" t="s">
        <v>33</v>
      </c>
      <c r="B35" s="7">
        <f>'Attachment One'!B35</f>
        <v>15201801</v>
      </c>
      <c r="C35" s="145">
        <f>'Walla Walla'!G39</f>
        <v>15201801</v>
      </c>
      <c r="D35" s="225">
        <v>0</v>
      </c>
      <c r="F35" s="14"/>
      <c r="G35" s="203"/>
      <c r="H35" s="14"/>
    </row>
    <row r="36" spans="1:8">
      <c r="A36" s="6" t="s">
        <v>3</v>
      </c>
      <c r="B36" s="7">
        <f>'Attachment One'!B36</f>
        <v>11998193</v>
      </c>
      <c r="C36" s="145">
        <f>Wenatchee!G40</f>
        <v>11998193</v>
      </c>
      <c r="D36" s="225">
        <v>0</v>
      </c>
      <c r="F36" s="14"/>
      <c r="G36" s="203"/>
      <c r="H36" s="14"/>
    </row>
    <row r="37" spans="1:8">
      <c r="A37" s="6" t="s">
        <v>34</v>
      </c>
      <c r="B37" s="7">
        <f>'Attachment One'!B37</f>
        <v>11199445</v>
      </c>
      <c r="C37" s="145">
        <f>Whatcom!G39</f>
        <v>11199445</v>
      </c>
      <c r="D37" s="225">
        <v>0</v>
      </c>
      <c r="F37" s="14"/>
      <c r="G37" s="203"/>
      <c r="H37" s="14"/>
    </row>
    <row r="38" spans="1:8">
      <c r="A38" s="6" t="s">
        <v>29</v>
      </c>
      <c r="B38" s="7">
        <f>'Attachment One'!B38</f>
        <v>17654300</v>
      </c>
      <c r="C38" s="145">
        <f>Yakima!G43</f>
        <v>17654300</v>
      </c>
      <c r="D38" s="225">
        <v>0</v>
      </c>
      <c r="G38" s="203"/>
      <c r="H38" s="14"/>
    </row>
    <row r="39" spans="1:8">
      <c r="B39" s="7"/>
      <c r="C39" s="7"/>
      <c r="D39" s="10"/>
    </row>
    <row r="40" spans="1:8">
      <c r="A40" s="11" t="s">
        <v>63</v>
      </c>
      <c r="B40" s="12">
        <f>SUM(B9:B38)</f>
        <v>606212060</v>
      </c>
      <c r="C40" s="202">
        <f>SUM(C9:C38)</f>
        <v>606212060</v>
      </c>
      <c r="D40" s="13">
        <f>SUM(D9:D38)</f>
        <v>8380076</v>
      </c>
    </row>
    <row r="41" spans="1:8">
      <c r="B41" s="7"/>
      <c r="C41" s="7"/>
      <c r="D41" s="10"/>
    </row>
    <row r="42" spans="1:8">
      <c r="A42" s="6" t="s">
        <v>204</v>
      </c>
      <c r="B42" s="7">
        <f>'Attachment One'!B42</f>
        <v>16634796</v>
      </c>
      <c r="C42" s="145">
        <f>'SBCTC Admin'!G33</f>
        <v>16634796</v>
      </c>
      <c r="D42" s="225">
        <v>0</v>
      </c>
      <c r="G42" s="346" t="s">
        <v>403</v>
      </c>
    </row>
    <row r="43" spans="1:8">
      <c r="A43" s="6" t="s">
        <v>205</v>
      </c>
      <c r="B43" s="7">
        <f>'Attachment One'!B43</f>
        <v>5820540</v>
      </c>
      <c r="C43" s="145">
        <f>'SBCTC Program'!G28</f>
        <v>5820540</v>
      </c>
      <c r="D43" s="225">
        <v>0</v>
      </c>
      <c r="F43" s="14"/>
      <c r="G43" s="346" t="s">
        <v>403</v>
      </c>
    </row>
    <row r="44" spans="1:8">
      <c r="B44" s="7"/>
      <c r="C44" s="7"/>
      <c r="D44" s="10"/>
    </row>
    <row r="45" spans="1:8">
      <c r="A45" s="11" t="s">
        <v>199</v>
      </c>
      <c r="B45" s="12">
        <f>SUM(B40:B44)</f>
        <v>628667396</v>
      </c>
      <c r="C45" s="202">
        <f>SUM(C40:C44)</f>
        <v>628667396</v>
      </c>
      <c r="D45" s="13">
        <f>SUM(D40:D44)</f>
        <v>8380076</v>
      </c>
    </row>
    <row r="46" spans="1:8">
      <c r="B46" s="7"/>
      <c r="C46" s="7"/>
      <c r="D46" s="10"/>
    </row>
    <row r="47" spans="1:8">
      <c r="A47" s="6" t="s">
        <v>152</v>
      </c>
      <c r="B47" s="7">
        <f>'Attachment One'!B47</f>
        <v>54365604</v>
      </c>
      <c r="C47" s="145" t="e">
        <f>#REF!</f>
        <v>#REF!</v>
      </c>
      <c r="D47" s="225">
        <v>393924</v>
      </c>
      <c r="F47" s="14"/>
      <c r="G47" s="14" t="s">
        <v>403</v>
      </c>
    </row>
    <row r="48" spans="1:8">
      <c r="B48" s="7"/>
      <c r="C48" s="7"/>
      <c r="D48" s="10"/>
    </row>
    <row r="49" spans="1:4">
      <c r="A49" s="11" t="s">
        <v>4</v>
      </c>
      <c r="B49" s="12">
        <f>SUM(B45:B48)</f>
        <v>683033000</v>
      </c>
      <c r="C49" s="202" t="e">
        <f>SUM(C45:C48)</f>
        <v>#REF!</v>
      </c>
      <c r="D49" s="13">
        <f>SUM(D45:D48)</f>
        <v>8774000</v>
      </c>
    </row>
    <row r="50" spans="1:4">
      <c r="B50" s="142"/>
    </row>
    <row r="51" spans="1:4">
      <c r="B51" s="142"/>
    </row>
  </sheetData>
  <mergeCells count="1">
    <mergeCell ref="A5:D5"/>
  </mergeCells>
  <conditionalFormatting sqref="C9 B9:B38 B42:B43 B47">
    <cfRule type="cellIs" dxfId="200" priority="8" stopIfTrue="1" operator="notEqual">
      <formula>#REF!</formula>
    </cfRule>
  </conditionalFormatting>
  <conditionalFormatting sqref="C10">
    <cfRule type="cellIs" dxfId="199" priority="7" stopIfTrue="1" operator="notEqual">
      <formula>#REF!</formula>
    </cfRule>
  </conditionalFormatting>
  <conditionalFormatting sqref="C11:C38">
    <cfRule type="cellIs" dxfId="198" priority="6" stopIfTrue="1" operator="notEqual">
      <formula>#REF!</formula>
    </cfRule>
  </conditionalFormatting>
  <conditionalFormatting sqref="C42">
    <cfRule type="cellIs" dxfId="197" priority="5" stopIfTrue="1" operator="notEqual">
      <formula>#REF!</formula>
    </cfRule>
  </conditionalFormatting>
  <conditionalFormatting sqref="C43">
    <cfRule type="cellIs" dxfId="196" priority="4" stopIfTrue="1" operator="notEqual">
      <formula>#REF!</formula>
    </cfRule>
  </conditionalFormatting>
  <conditionalFormatting sqref="E44:F1048576 E43 E1:F42">
    <cfRule type="containsText" dxfId="195" priority="2" operator="containsText" text="FALSE">
      <formula>NOT(ISERROR(SEARCH("FALSE",E1)))</formula>
    </cfRule>
  </conditionalFormatting>
  <printOptions horizontalCentered="1"/>
  <pageMargins left="0.25" right="0.25" top="0.25" bottom="0.5" header="0.35" footer="0.25"/>
  <pageSetup scale="86" orientation="landscape" r:id="rId1"/>
  <headerFooter alignWithMargins="0">
    <oddFooter>&amp;L&amp;"Calibri,Regular"Prepared by the SBCTC&amp;R&amp;"Calibri,Regular"5/20/2014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L149"/>
  <sheetViews>
    <sheetView topLeftCell="A8"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3.5703125" style="23" bestFit="1" customWidth="1"/>
    <col min="11" max="11" width="12.42578125" style="23" bestFit="1" customWidth="1"/>
    <col min="12" max="12" width="11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131</v>
      </c>
      <c r="G5" s="505" t="str">
        <f>VLOOKUP($F5,District,2,FALSE)</f>
        <v>Community Colleges of Spokane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13601</v>
      </c>
      <c r="D10" s="48"/>
      <c r="E10" s="48">
        <f>IF(ISNA(VLOOKUP($F$5,Student,14,FALSE)),0,VLOOKUP($F$5,Student,14,FALSE))</f>
        <v>40</v>
      </c>
      <c r="F10" s="48"/>
      <c r="G10" s="48">
        <f>$E$10+$C$10+$A$10</f>
        <v>13641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21" si="0">IF(ISNA(VLOOKUP($F$5 &amp;A16, AllocSched,12,FALSE)),"-",VLOOKUP($F$5 &amp;A16, AllocSched,12,FALSE))</f>
        <v>43877804</v>
      </c>
      <c r="D16" s="112" t="s">
        <v>51</v>
      </c>
      <c r="E16" s="16">
        <f t="shared" ref="E16:E25" si="1">IF(ISNA(VLOOKUP($F$5 &amp; A16, AllocSched,13,FALSE)),"-",VLOOKUP($F$5 &amp; A16, AllocSched,13,FALSE))</f>
        <v>-43975</v>
      </c>
      <c r="F16" s="16" t="s">
        <v>51</v>
      </c>
      <c r="G16" s="16">
        <f t="shared" ref="G16:G25" si="2">IF(C16="-",E16,C16+E16)</f>
        <v>43833829</v>
      </c>
      <c r="H16" s="55" t="str">
        <f t="shared" ref="H16:H25" si="3">IF(ISNA(VLOOKUP($F$5 &amp; A16, AllocSched,9,FALSE))," ",VLOOKUP($F$5 &amp; A16, AllocSched,9,FALSE))</f>
        <v>001-011</v>
      </c>
      <c r="I16" s="56">
        <f t="shared" ref="I16:I42" si="4">IF(ISNA(VLOOKUP($F$5 &amp; A16, AllocSched,14,FALSE))," ",VLOOKUP($F$5 &amp; A16, AllocSched,14,FALSE))</f>
        <v>101</v>
      </c>
    </row>
    <row r="17" spans="1:11" ht="12.75" customHeight="1">
      <c r="A17" s="115" t="s">
        <v>171</v>
      </c>
      <c r="B17" s="54"/>
      <c r="C17" s="16">
        <f t="shared" si="0"/>
        <v>2658895</v>
      </c>
      <c r="D17" s="112"/>
      <c r="E17" s="16">
        <f t="shared" si="1"/>
        <v>43975</v>
      </c>
      <c r="F17" s="16"/>
      <c r="G17" s="16">
        <f t="shared" si="2"/>
        <v>2702870</v>
      </c>
      <c r="H17" s="55" t="str">
        <f t="shared" si="3"/>
        <v>08A-3E0</v>
      </c>
      <c r="I17" s="56" t="str">
        <f t="shared" si="4"/>
        <v>3E0</v>
      </c>
      <c r="J17" s="25"/>
      <c r="K17" s="25"/>
    </row>
    <row r="18" spans="1:11" s="272" customFormat="1" ht="12.75" customHeight="1">
      <c r="A18" s="38" t="s">
        <v>781</v>
      </c>
      <c r="B18" s="54"/>
      <c r="C18" s="16">
        <f t="shared" si="0"/>
        <v>0</v>
      </c>
      <c r="D18" s="112"/>
      <c r="E18" s="16">
        <f t="shared" si="1"/>
        <v>274945</v>
      </c>
      <c r="F18" s="16"/>
      <c r="G18" s="16">
        <f t="shared" si="2"/>
        <v>274945</v>
      </c>
      <c r="H18" s="55" t="str">
        <f t="shared" si="3"/>
        <v>001-011</v>
      </c>
      <c r="I18" s="56">
        <f t="shared" si="4"/>
        <v>101</v>
      </c>
      <c r="J18" s="25"/>
      <c r="K18" s="25"/>
    </row>
    <row r="19" spans="1:11" s="272" customFormat="1" ht="12.75" customHeight="1">
      <c r="A19" s="115" t="s">
        <v>448</v>
      </c>
      <c r="B19" s="54"/>
      <c r="C19" s="16">
        <f t="shared" si="0"/>
        <v>0</v>
      </c>
      <c r="D19" s="112"/>
      <c r="E19" s="16">
        <f t="shared" si="1"/>
        <v>900244</v>
      </c>
      <c r="F19" s="16"/>
      <c r="G19" s="16">
        <f t="shared" si="2"/>
        <v>900244</v>
      </c>
      <c r="H19" s="55" t="str">
        <f t="shared" si="3"/>
        <v>001-011</v>
      </c>
      <c r="I19" s="56">
        <f t="shared" si="4"/>
        <v>101</v>
      </c>
      <c r="J19" s="25"/>
      <c r="K19" s="25"/>
    </row>
    <row r="20" spans="1:11" s="272" customFormat="1" ht="12.75" customHeight="1">
      <c r="A20" s="115" t="s">
        <v>342</v>
      </c>
      <c r="B20" s="54"/>
      <c r="C20" s="16">
        <f t="shared" si="0"/>
        <v>0</v>
      </c>
      <c r="D20" s="112"/>
      <c r="E20" s="16">
        <f>IF(ISNA(VLOOKUP($F$5 &amp; A20, AllocSched,13,FALSE)),"-",VLOOKUP($F$5 &amp; A20, AllocSched,13,FALSE))</f>
        <v>22400</v>
      </c>
      <c r="F20" s="16"/>
      <c r="G20" s="16">
        <f t="shared" si="2"/>
        <v>22400</v>
      </c>
      <c r="H20" s="55" t="str">
        <f t="shared" si="3"/>
        <v>001-011</v>
      </c>
      <c r="I20" s="56">
        <f t="shared" si="4"/>
        <v>101</v>
      </c>
      <c r="J20" s="25"/>
      <c r="K20" s="25"/>
    </row>
    <row r="21" spans="1:11" s="269" customFormat="1" ht="12.75" customHeight="1">
      <c r="A21" s="115" t="s">
        <v>340</v>
      </c>
      <c r="B21" s="54"/>
      <c r="C21" s="16">
        <f t="shared" si="0"/>
        <v>0</v>
      </c>
      <c r="D21" s="112"/>
      <c r="E21" s="16">
        <f t="shared" si="1"/>
        <v>2377276</v>
      </c>
      <c r="F21" s="16"/>
      <c r="G21" s="16">
        <f t="shared" si="2"/>
        <v>2377276</v>
      </c>
      <c r="H21" s="55" t="str">
        <f t="shared" si="3"/>
        <v>001-011</v>
      </c>
      <c r="I21" s="56">
        <f t="shared" si="4"/>
        <v>101</v>
      </c>
    </row>
    <row r="22" spans="1:11" ht="12.75" customHeight="1">
      <c r="A22" s="115" t="s">
        <v>253</v>
      </c>
      <c r="B22" s="54"/>
      <c r="C22" s="16">
        <f t="shared" ref="C22" si="5">IF(ISNA(VLOOKUP($F$5 &amp;A22, AllocSched,12,FALSE)),"-",VLOOKUP($F$5 &amp;A22, AllocSched,12,FALSE))</f>
        <v>0</v>
      </c>
      <c r="D22" s="112"/>
      <c r="E22" s="16">
        <f t="shared" si="1"/>
        <v>120700</v>
      </c>
      <c r="F22" s="16"/>
      <c r="G22" s="16">
        <f t="shared" si="2"/>
        <v>120700</v>
      </c>
      <c r="H22" s="55" t="str">
        <f t="shared" si="3"/>
        <v>001-011</v>
      </c>
      <c r="I22" s="56">
        <f t="shared" si="4"/>
        <v>101</v>
      </c>
    </row>
    <row r="23" spans="1:11" ht="12.75" customHeight="1">
      <c r="A23" s="115" t="s">
        <v>207</v>
      </c>
      <c r="B23" s="54"/>
      <c r="C23" s="16">
        <f>IF(ISNA(VLOOKUP($F$5 &amp;A23, AllocSched,12,FALSE)),"-",VLOOKUP($F$5 &amp;A23, AllocSched,12,FALSE))</f>
        <v>0</v>
      </c>
      <c r="D23" s="112"/>
      <c r="E23" s="16">
        <f t="shared" si="1"/>
        <v>223773</v>
      </c>
      <c r="F23" s="16"/>
      <c r="G23" s="16">
        <f t="shared" si="2"/>
        <v>223773</v>
      </c>
      <c r="H23" s="55" t="str">
        <f t="shared" si="3"/>
        <v>001-011</v>
      </c>
      <c r="I23" s="56">
        <f t="shared" si="4"/>
        <v>101</v>
      </c>
    </row>
    <row r="24" spans="1:11" ht="12.75" customHeight="1">
      <c r="A24" s="115" t="s">
        <v>203</v>
      </c>
      <c r="B24" s="54"/>
      <c r="C24" s="16">
        <f>IF(ISNA(VLOOKUP($F$5 &amp;A24, AllocSched,12,FALSE)),"-",VLOOKUP($F$5 &amp;A24, AllocSched,12,FALSE))</f>
        <v>0</v>
      </c>
      <c r="D24" s="112"/>
      <c r="E24" s="16">
        <f t="shared" si="1"/>
        <v>-12781</v>
      </c>
      <c r="F24" s="16"/>
      <c r="G24" s="16">
        <f t="shared" si="2"/>
        <v>-12781</v>
      </c>
      <c r="H24" s="55" t="str">
        <f t="shared" si="3"/>
        <v>001-011</v>
      </c>
      <c r="I24" s="56">
        <f t="shared" si="4"/>
        <v>101</v>
      </c>
    </row>
    <row r="25" spans="1:11" s="272" customFormat="1" ht="12.75" customHeight="1">
      <c r="A25" s="115" t="s">
        <v>454</v>
      </c>
      <c r="B25" s="54"/>
      <c r="C25" s="16">
        <f>IF(ISNA(VLOOKUP($F$5 &amp;A25, AllocSched,12,FALSE)),"-",VLOOKUP($F$5 &amp;A25, AllocSched,12,FALSE))</f>
        <v>0</v>
      </c>
      <c r="D25" s="112"/>
      <c r="E25" s="16">
        <f t="shared" si="1"/>
        <v>24054</v>
      </c>
      <c r="F25" s="16"/>
      <c r="G25" s="16">
        <f t="shared" si="2"/>
        <v>24054</v>
      </c>
      <c r="H25" s="55" t="str">
        <f t="shared" si="3"/>
        <v>001-011</v>
      </c>
      <c r="I25" s="56">
        <f t="shared" si="4"/>
        <v>101</v>
      </c>
    </row>
    <row r="26" spans="1:11" ht="12.75" customHeight="1">
      <c r="A26" s="115"/>
      <c r="B26" s="54"/>
      <c r="C26" s="16"/>
      <c r="D26" s="112"/>
      <c r="E26" s="16"/>
      <c r="F26" s="16"/>
      <c r="G26" s="16"/>
      <c r="H26" s="55" t="str">
        <f t="shared" ref="H26:H38" si="6">IF(ISNA(VLOOKUP($F$5 &amp; A26, AllocSched,9,FALSE))," ",VLOOKUP($F$5 &amp; A26, AllocSched,9,FALSE))</f>
        <v xml:space="preserve"> </v>
      </c>
      <c r="I26" s="56" t="str">
        <f t="shared" si="4"/>
        <v xml:space="preserve"> </v>
      </c>
    </row>
    <row r="27" spans="1:11" s="83" customFormat="1">
      <c r="A27" s="114" t="s">
        <v>168</v>
      </c>
      <c r="B27" s="84"/>
      <c r="C27" s="16"/>
      <c r="D27" s="112"/>
      <c r="E27" s="16"/>
      <c r="F27" s="16"/>
      <c r="G27" s="16"/>
      <c r="H27" s="55" t="str">
        <f t="shared" si="6"/>
        <v xml:space="preserve"> </v>
      </c>
      <c r="I27" s="56" t="str">
        <f t="shared" si="4"/>
        <v xml:space="preserve"> </v>
      </c>
    </row>
    <row r="28" spans="1:11" ht="12.75" customHeight="1">
      <c r="A28" s="38" t="s">
        <v>160</v>
      </c>
      <c r="C28" s="16">
        <f t="shared" ref="C28:C38" si="7">IF(ISNA(VLOOKUP($F$5 &amp;A28, AllocSched,12,FALSE)),"-",VLOOKUP($F$5 &amp;A28, AllocSched,12,FALSE))</f>
        <v>29236</v>
      </c>
      <c r="D28" s="112"/>
      <c r="E28" s="16">
        <f t="shared" ref="E28:E38" si="8">IF(ISNA(VLOOKUP($F$5 &amp; A28, AllocSched,13,FALSE)),"-",VLOOKUP($F$5 &amp; A28, AllocSched,13,FALSE))</f>
        <v>0</v>
      </c>
      <c r="F28" s="16"/>
      <c r="G28" s="16">
        <f t="shared" ref="G28:G38" si="9">IF(C28="-",E28,C28+E28)</f>
        <v>29236</v>
      </c>
      <c r="H28" s="55" t="str">
        <f t="shared" si="6"/>
        <v>001-011</v>
      </c>
      <c r="I28" s="56">
        <f t="shared" si="4"/>
        <v>101</v>
      </c>
    </row>
    <row r="29" spans="1:11" s="272" customFormat="1" ht="12.75" customHeight="1">
      <c r="A29" s="38" t="s">
        <v>345</v>
      </c>
      <c r="C29" s="16">
        <f>IF(ISNA(VLOOKUP($F$5 &amp;A29, AllocSched,12,FALSE)),"-",VLOOKUP($F$5 &amp;A29, AllocSched,12,FALSE))</f>
        <v>314568</v>
      </c>
      <c r="D29" s="112"/>
      <c r="E29" s="16">
        <f>IF(ISNA(VLOOKUP($F$5 &amp; A29, AllocSched,13,FALSE)),"-",VLOOKUP($F$5 &amp; A29, AllocSched,13,FALSE))</f>
        <v>0</v>
      </c>
      <c r="F29" s="16"/>
      <c r="G29" s="16">
        <f>IF(C29="-",E29,C29+E29)</f>
        <v>314568</v>
      </c>
      <c r="H29" s="55" t="str">
        <f>IF(ISNA(VLOOKUP($F$5 &amp; A29, AllocSched,9,FALSE))," ",VLOOKUP($F$5 &amp; A29, AllocSched,9,FALSE))</f>
        <v>001-011</v>
      </c>
      <c r="I29" s="56">
        <f t="shared" si="4"/>
        <v>101</v>
      </c>
    </row>
    <row r="30" spans="1:11" ht="12.75" customHeight="1">
      <c r="A30" s="38" t="s">
        <v>211</v>
      </c>
      <c r="C30" s="16" t="str">
        <f>IF(ISNA(VLOOKUP($F$5 &amp;A30, AllocSched,12,FALSE)),"-",VLOOKUP($F$5 &amp;A30, AllocSched,12,FALSE))</f>
        <v>-</v>
      </c>
      <c r="D30" s="112"/>
      <c r="E30" s="16" t="str">
        <f>IF(ISNA(VLOOKUP($F$5 &amp; A30, AllocSched,13,FALSE)),"-",VLOOKUP($F$5 &amp; A30, AllocSched,13,FALSE))</f>
        <v>-</v>
      </c>
      <c r="F30" s="16"/>
      <c r="G30" s="16" t="str">
        <f>IF(C30="-",E30,C30+E30)</f>
        <v>-</v>
      </c>
      <c r="H30" s="55" t="str">
        <f>IF(ISNA(VLOOKUP($F$5 &amp; A30, AllocSched,9,FALSE))," ",VLOOKUP($F$5 &amp; A30, AllocSched,9,FALSE))</f>
        <v xml:space="preserve"> </v>
      </c>
      <c r="I30" s="56" t="str">
        <f t="shared" si="4"/>
        <v xml:space="preserve"> </v>
      </c>
    </row>
    <row r="31" spans="1:11" ht="12.75" customHeight="1">
      <c r="A31" s="38" t="s">
        <v>409</v>
      </c>
      <c r="C31" s="16">
        <f>IF(ISNA(VLOOKUP($F$5 &amp;A31, AllocSched,12,FALSE)),"-",VLOOKUP($F$5 &amp;A31, AllocSched,12,FALSE))</f>
        <v>290700</v>
      </c>
      <c r="D31" s="112"/>
      <c r="E31" s="16">
        <f>IF(ISNA(VLOOKUP($F$5 &amp; A31, AllocSched,13,FALSE)),"-",VLOOKUP($F$5 &amp; A31, AllocSched,13,FALSE))</f>
        <v>-290700</v>
      </c>
      <c r="F31" s="16"/>
      <c r="G31" s="16">
        <f>IF(C31="-",E31,C31+E31)</f>
        <v>0</v>
      </c>
      <c r="H31" s="55" t="str">
        <f>IF(ISNA(VLOOKUP($F$5 &amp; A31, AllocSched,9,FALSE))," ",VLOOKUP($F$5 &amp; A31, AllocSched,9,FALSE))</f>
        <v>001-011</v>
      </c>
      <c r="I31" s="56">
        <f t="shared" si="4"/>
        <v>101</v>
      </c>
    </row>
    <row r="32" spans="1:11" ht="12.75" customHeight="1">
      <c r="A32" s="38" t="s">
        <v>170</v>
      </c>
      <c r="C32" s="16">
        <f t="shared" si="7"/>
        <v>164252</v>
      </c>
      <c r="D32" s="112"/>
      <c r="E32" s="16">
        <f t="shared" si="8"/>
        <v>55562</v>
      </c>
      <c r="F32" s="16"/>
      <c r="G32" s="16">
        <f t="shared" si="9"/>
        <v>219814</v>
      </c>
      <c r="H32" s="55" t="str">
        <f t="shared" si="6"/>
        <v>001-011</v>
      </c>
      <c r="I32" s="56">
        <f t="shared" si="4"/>
        <v>101</v>
      </c>
    </row>
    <row r="33" spans="1:11" s="272" customFormat="1" ht="12.75" customHeight="1">
      <c r="A33" s="115" t="s">
        <v>162</v>
      </c>
      <c r="C33" s="16">
        <f>IF(ISNA(VLOOKUP($F$5 &amp;A33, AllocSched,12,FALSE)),"-",VLOOKUP($F$5 &amp;A33, AllocSched,12,FALSE))</f>
        <v>0</v>
      </c>
      <c r="D33" s="112"/>
      <c r="E33" s="16">
        <f>IF(ISNA(VLOOKUP($F$5 &amp; A33, AllocSched,13,FALSE)),"-",VLOOKUP($F$5 &amp; A33, AllocSched,13,FALSE))</f>
        <v>0</v>
      </c>
      <c r="F33" s="16"/>
      <c r="G33" s="16">
        <f>IF(C33="-",E33,C33+E33)</f>
        <v>0</v>
      </c>
      <c r="H33" s="55" t="str">
        <f>IF(ISNA(VLOOKUP($F$5 &amp; A33, AllocSched,9,FALSE))," ",VLOOKUP($F$5 &amp; A33, AllocSched,9,FALSE))</f>
        <v>001-011</v>
      </c>
      <c r="I33" s="56">
        <f>IF(ISNA(VLOOKUP($F$5 &amp; A33, AllocSched,14,FALSE))," ",VLOOKUP($F$5 &amp; A33, AllocSched,14,FALSE))</f>
        <v>101</v>
      </c>
    </row>
    <row r="34" spans="1:11" ht="12.75" customHeight="1">
      <c r="A34" s="115" t="s">
        <v>151</v>
      </c>
      <c r="B34" s="54"/>
      <c r="C34" s="16">
        <f t="shared" si="7"/>
        <v>567500</v>
      </c>
      <c r="D34" s="112"/>
      <c r="E34" s="16">
        <f t="shared" si="8"/>
        <v>-27500</v>
      </c>
      <c r="F34" s="16"/>
      <c r="G34" s="16">
        <f t="shared" si="9"/>
        <v>540000</v>
      </c>
      <c r="H34" s="55" t="str">
        <f t="shared" si="6"/>
        <v>08A-3E0</v>
      </c>
      <c r="I34" s="56" t="str">
        <f t="shared" si="4"/>
        <v>3E0</v>
      </c>
    </row>
    <row r="35" spans="1:11" ht="12.75" customHeight="1">
      <c r="A35" s="115" t="s">
        <v>150</v>
      </c>
      <c r="B35" s="54"/>
      <c r="C35" s="16">
        <f t="shared" si="7"/>
        <v>58822</v>
      </c>
      <c r="D35" s="112"/>
      <c r="E35" s="16">
        <f t="shared" si="8"/>
        <v>0</v>
      </c>
      <c r="F35" s="16"/>
      <c r="G35" s="16">
        <f t="shared" si="9"/>
        <v>58822</v>
      </c>
      <c r="H35" s="55" t="str">
        <f t="shared" si="6"/>
        <v>001-011</v>
      </c>
      <c r="I35" s="56">
        <f t="shared" si="4"/>
        <v>101</v>
      </c>
    </row>
    <row r="36" spans="1:11" ht="12.75" customHeight="1">
      <c r="A36" s="115" t="s">
        <v>272</v>
      </c>
      <c r="B36" s="54"/>
      <c r="C36" s="16">
        <f t="shared" si="7"/>
        <v>132698</v>
      </c>
      <c r="D36" s="112"/>
      <c r="E36" s="16">
        <f t="shared" si="8"/>
        <v>0</v>
      </c>
      <c r="F36" s="16"/>
      <c r="G36" s="16">
        <f t="shared" si="9"/>
        <v>132698</v>
      </c>
      <c r="H36" s="55" t="str">
        <f t="shared" si="6"/>
        <v>001-BD1</v>
      </c>
      <c r="I36" s="56" t="str">
        <f t="shared" si="4"/>
        <v>BD1</v>
      </c>
    </row>
    <row r="37" spans="1:11" ht="12.75" customHeight="1">
      <c r="A37" s="115" t="s">
        <v>273</v>
      </c>
      <c r="B37" s="54"/>
      <c r="C37" s="16">
        <f>IF(ISNA(VLOOKUP($F$5 &amp;A37, AllocSched,12,FALSE)),"-",VLOOKUP($F$5 &amp;A37, AllocSched,12,FALSE))</f>
        <v>307027</v>
      </c>
      <c r="D37" s="112"/>
      <c r="E37" s="16">
        <f>IF(ISNA(VLOOKUP($F$5 &amp; A37, AllocSched,13,FALSE)),"-",VLOOKUP($F$5 &amp; A37, AllocSched,13,FALSE))</f>
        <v>-307027</v>
      </c>
      <c r="F37" s="16"/>
      <c r="G37" s="16">
        <f>IF(C37="-",E37,C37+E37)</f>
        <v>0</v>
      </c>
      <c r="H37" s="55" t="str">
        <f>IF(ISNA(VLOOKUP($F$5 &amp; A37, AllocSched,9,FALSE))," ",VLOOKUP($F$5 &amp; A37, AllocSched,9,FALSE))</f>
        <v>001-BD1</v>
      </c>
      <c r="I37" s="56" t="str">
        <f t="shared" si="4"/>
        <v>BD1</v>
      </c>
    </row>
    <row r="38" spans="1:11" ht="12.75" customHeight="1">
      <c r="A38" s="115" t="s">
        <v>6</v>
      </c>
      <c r="B38" s="54"/>
      <c r="C38" s="16">
        <f t="shared" si="7"/>
        <v>44569</v>
      </c>
      <c r="D38" s="112"/>
      <c r="E38" s="16">
        <f t="shared" si="8"/>
        <v>1911</v>
      </c>
      <c r="F38" s="16"/>
      <c r="G38" s="16">
        <f t="shared" si="9"/>
        <v>46480</v>
      </c>
      <c r="H38" s="55" t="str">
        <f t="shared" si="6"/>
        <v>001-011</v>
      </c>
      <c r="I38" s="56">
        <f t="shared" si="4"/>
        <v>101</v>
      </c>
    </row>
    <row r="39" spans="1:11" ht="12.75" customHeight="1">
      <c r="A39" s="115" t="s">
        <v>333</v>
      </c>
      <c r="B39" s="54"/>
      <c r="C39" s="16">
        <f>IF(ISNA(VLOOKUP($F$5 &amp;A39, AllocSched,12,FALSE)),"-",VLOOKUP($F$5 &amp;A39, AllocSched,12,FALSE))</f>
        <v>205203</v>
      </c>
      <c r="D39" s="112"/>
      <c r="E39" s="16">
        <f>IF(ISNA(VLOOKUP($F$5 &amp; A39, AllocSched,13,FALSE)),"-",VLOOKUP($F$5 &amp; A39, AllocSched,13,FALSE))</f>
        <v>0</v>
      </c>
      <c r="F39" s="16"/>
      <c r="G39" s="16">
        <f>IF(C39="-",E39,C39+E39)</f>
        <v>205203</v>
      </c>
      <c r="H39" s="55" t="str">
        <f>IF(ISNA(VLOOKUP($F$5 &amp; A39, AllocSched,9,FALSE))," ",VLOOKUP($F$5 &amp; A39, AllocSched,9,FALSE))</f>
        <v>001-011</v>
      </c>
      <c r="I39" s="56">
        <f t="shared" si="4"/>
        <v>101</v>
      </c>
    </row>
    <row r="40" spans="1:11" ht="12.75" customHeight="1">
      <c r="A40" s="115" t="s">
        <v>332</v>
      </c>
      <c r="B40" s="54"/>
      <c r="C40" s="16">
        <f>IF(ISNA(VLOOKUP($F$5 &amp;A40, AllocSched,12,FALSE)),"-",VLOOKUP($F$5 &amp;A40, AllocSched,12,FALSE))</f>
        <v>980193</v>
      </c>
      <c r="D40" s="112"/>
      <c r="E40" s="16">
        <f>IF(ISNA(VLOOKUP($F$5 &amp; A40, AllocSched,13,FALSE)),"-",VLOOKUP($F$5 &amp; A40, AllocSched,13,FALSE))</f>
        <v>0</v>
      </c>
      <c r="F40" s="16"/>
      <c r="G40" s="16">
        <f>IF(C40="-",E40,C40+E40)</f>
        <v>980193</v>
      </c>
      <c r="H40" s="55" t="str">
        <f>IF(ISNA(VLOOKUP($F$5 &amp; A40, AllocSched,9,FALSE))," ",VLOOKUP($F$5 &amp; A40, AllocSched,9,FALSE))</f>
        <v>001-AC1</v>
      </c>
      <c r="I40" s="56">
        <f t="shared" si="4"/>
        <v>123</v>
      </c>
    </row>
    <row r="41" spans="1:11" ht="12.75" customHeight="1">
      <c r="A41" s="115" t="s">
        <v>767</v>
      </c>
      <c r="B41" s="54"/>
      <c r="C41" s="16" t="str">
        <f>IF(ISNA(VLOOKUP($F$5 &amp;A41, AllocSched,12,FALSE)),"-",VLOOKUP($F$5 &amp;A41, AllocSched,12,FALSE))</f>
        <v>-</v>
      </c>
      <c r="D41" s="112"/>
      <c r="E41" s="16" t="str">
        <f>IF(ISNA(VLOOKUP($F$5 &amp; A41, AllocSched,13,FALSE)),"-",VLOOKUP($F$5 &amp; A41, AllocSched,13,FALSE))</f>
        <v>-</v>
      </c>
      <c r="F41" s="16"/>
      <c r="G41" s="16" t="str">
        <f>IF(C41="-",E41,C41+E41)</f>
        <v>-</v>
      </c>
      <c r="H41" s="55" t="str">
        <f>IF(ISNA(VLOOKUP($F$5 &amp; A41, AllocSched,9,FALSE))," ",VLOOKUP($F$5 &amp; A41, AllocSched,9,FALSE))</f>
        <v xml:space="preserve"> </v>
      </c>
      <c r="I41" s="56" t="str">
        <f t="shared" si="4"/>
        <v xml:space="preserve"> </v>
      </c>
    </row>
    <row r="42" spans="1:11" s="272" customFormat="1" ht="12.75" customHeight="1">
      <c r="A42" s="115" t="s">
        <v>449</v>
      </c>
      <c r="B42" s="54"/>
      <c r="C42" s="16">
        <f>IF(ISNA(VLOOKUP($F$5 &amp;A42, AllocSched,12,FALSE)),"-",VLOOKUP($F$5 &amp;A42, AllocSched,12,FALSE))</f>
        <v>0</v>
      </c>
      <c r="D42" s="112"/>
      <c r="E42" s="16">
        <f>IF(ISNA(VLOOKUP($F$5 &amp; A42, AllocSched,13,FALSE)),"-",VLOOKUP($F$5 &amp; A42, AllocSched,13,FALSE))</f>
        <v>372375</v>
      </c>
      <c r="F42" s="16"/>
      <c r="G42" s="16">
        <f>IF(C42="-",E42,C42+E42)</f>
        <v>372375</v>
      </c>
      <c r="H42" s="55" t="str">
        <f>IF(ISNA(VLOOKUP($F$5 &amp; A42, AllocSched,9,FALSE))," ",VLOOKUP($F$5 &amp; A42, AllocSched,9,FALSE))</f>
        <v>001-011</v>
      </c>
      <c r="I42" s="56">
        <f t="shared" si="4"/>
        <v>101</v>
      </c>
    </row>
    <row r="43" spans="1:11" ht="12.75" customHeight="1">
      <c r="A43" s="54"/>
      <c r="B43" s="54"/>
      <c r="C43" s="16"/>
      <c r="D43" s="112"/>
      <c r="E43" s="16"/>
      <c r="F43" s="16"/>
      <c r="G43" s="16"/>
      <c r="H43" s="55"/>
      <c r="I43" s="56"/>
    </row>
    <row r="44" spans="1:11" ht="13.5" thickBot="1">
      <c r="A44" s="89" t="s">
        <v>174</v>
      </c>
      <c r="B44" s="57" t="s">
        <v>51</v>
      </c>
      <c r="C44" s="111">
        <f>SUM(C16:C42)</f>
        <v>49631467</v>
      </c>
      <c r="D44" s="113" t="s">
        <v>51</v>
      </c>
      <c r="E44" s="111">
        <f>SUM(E16:E42)</f>
        <v>3735232</v>
      </c>
      <c r="F44" s="113" t="s">
        <v>51</v>
      </c>
      <c r="G44" s="111">
        <f>SUM(G16:G42)</f>
        <v>53366699</v>
      </c>
      <c r="J44" s="25"/>
      <c r="K44" s="30"/>
    </row>
    <row r="45" spans="1:11" ht="12.75" customHeight="1" thickTop="1">
      <c r="A45" s="84"/>
      <c r="B45" s="84"/>
      <c r="C45" s="58">
        <v>0</v>
      </c>
      <c r="D45" s="58"/>
      <c r="E45" s="90"/>
      <c r="F45" s="90"/>
      <c r="G45" s="90"/>
    </row>
    <row r="46" spans="1:11" s="65" customFormat="1" ht="25.5">
      <c r="A46" s="59" t="s">
        <v>156</v>
      </c>
      <c r="B46" s="60"/>
      <c r="C46" s="61"/>
      <c r="D46" s="62"/>
      <c r="E46" s="63" t="s">
        <v>67</v>
      </c>
      <c r="F46" s="62"/>
      <c r="G46" s="64" t="s">
        <v>163</v>
      </c>
      <c r="H46" s="64" t="s">
        <v>164</v>
      </c>
      <c r="I46" s="98" t="s">
        <v>70</v>
      </c>
    </row>
    <row r="47" spans="1:11" s="65" customFormat="1" ht="12.75" customHeight="1">
      <c r="A47" s="66" t="s">
        <v>240</v>
      </c>
      <c r="B47" s="67"/>
      <c r="C47" s="26" t="s">
        <v>5</v>
      </c>
      <c r="E47" s="66" t="s">
        <v>385</v>
      </c>
      <c r="G47" s="30">
        <f t="shared" ref="G47:G54" si="10">VLOOKUP($F$5 &amp; $A47 &amp; $E47,AddRes,7,FALSE)</f>
        <v>0</v>
      </c>
      <c r="H47" s="150">
        <f t="shared" ref="H47:H54" si="11">VLOOKUP($F$5 &amp; $A47 &amp; $E47,AddRes,8,FALSE)</f>
        <v>0</v>
      </c>
      <c r="I47" s="69">
        <f>VLOOKUP($F$5 &amp; $A47 &amp; $E47,AddRes,10,FALSE)</f>
        <v>42277</v>
      </c>
    </row>
    <row r="48" spans="1:11" s="65" customFormat="1" ht="12.75" customHeight="1">
      <c r="A48" s="66" t="s">
        <v>497</v>
      </c>
      <c r="B48" s="67"/>
      <c r="C48" s="26" t="s">
        <v>5</v>
      </c>
      <c r="E48" s="66" t="s">
        <v>711</v>
      </c>
      <c r="G48" s="30">
        <f t="shared" si="10"/>
        <v>0</v>
      </c>
      <c r="H48" s="150">
        <f t="shared" si="11"/>
        <v>0</v>
      </c>
      <c r="I48" s="69">
        <f>VLOOKUP($F$5 &amp; $A48 &amp; $E48,AddRes,10,FALSE)</f>
        <v>42551</v>
      </c>
    </row>
    <row r="49" spans="1:12" s="65" customFormat="1" ht="12.75" customHeight="1">
      <c r="A49" s="66" t="s">
        <v>498</v>
      </c>
      <c r="B49" s="67"/>
      <c r="C49" s="26" t="s">
        <v>5</v>
      </c>
      <c r="E49" s="66" t="s">
        <v>712</v>
      </c>
      <c r="G49" s="30">
        <f t="shared" si="10"/>
        <v>0</v>
      </c>
      <c r="H49" s="150">
        <f t="shared" si="11"/>
        <v>0</v>
      </c>
      <c r="I49" s="69">
        <f>VLOOKUP($F$5 &amp; $A49 &amp; $E49,AddRes,10,FALSE)</f>
        <v>42551</v>
      </c>
    </row>
    <row r="50" spans="1:12" s="65" customFormat="1" ht="12.75" customHeight="1">
      <c r="A50" s="66" t="s">
        <v>505</v>
      </c>
      <c r="B50" s="67"/>
      <c r="C50" s="26" t="s">
        <v>5</v>
      </c>
      <c r="E50" s="66" t="s">
        <v>713</v>
      </c>
      <c r="G50" s="30">
        <f t="shared" si="10"/>
        <v>0</v>
      </c>
      <c r="H50" s="150">
        <f t="shared" si="11"/>
        <v>0</v>
      </c>
      <c r="I50" s="69">
        <f>VLOOKUP($F$5 &amp; $A50 &amp; $E50,AddRes,10,FALSE)</f>
        <v>42551</v>
      </c>
    </row>
    <row r="51" spans="1:12" s="65" customFormat="1" ht="12.75" customHeight="1">
      <c r="A51" s="66" t="s">
        <v>267</v>
      </c>
      <c r="B51" s="67"/>
      <c r="C51" s="26" t="s">
        <v>5</v>
      </c>
      <c r="E51" s="66" t="s">
        <v>714</v>
      </c>
      <c r="G51" s="30">
        <f t="shared" si="10"/>
        <v>0</v>
      </c>
      <c r="H51" s="150">
        <f t="shared" si="11"/>
        <v>0</v>
      </c>
      <c r="I51" s="69">
        <f>VLOOKUP($F$5 &amp; $A51 &amp; $E51,AddRes,10,FALSE)</f>
        <v>42551</v>
      </c>
    </row>
    <row r="52" spans="1:12" s="65" customFormat="1" ht="12.75" customHeight="1">
      <c r="A52" s="66" t="s">
        <v>242</v>
      </c>
      <c r="B52" s="67"/>
      <c r="C52" s="26" t="s">
        <v>5</v>
      </c>
      <c r="E52" s="66" t="s">
        <v>249</v>
      </c>
      <c r="G52" s="30">
        <f t="shared" si="10"/>
        <v>0</v>
      </c>
      <c r="H52" s="150">
        <f t="shared" si="11"/>
        <v>0</v>
      </c>
      <c r="I52" s="69">
        <f t="shared" ref="I52" si="12">VLOOKUP($F$5 &amp; $A52 &amp; $E52,AddRes,10,FALSE)</f>
        <v>42551</v>
      </c>
    </row>
    <row r="53" spans="1:12" s="65" customFormat="1" ht="12.75" customHeight="1">
      <c r="A53" s="66" t="s">
        <v>235</v>
      </c>
      <c r="B53" s="67"/>
      <c r="C53" s="26" t="s">
        <v>5</v>
      </c>
      <c r="E53" s="65" t="s">
        <v>715</v>
      </c>
      <c r="G53" s="270">
        <f t="shared" si="10"/>
        <v>0</v>
      </c>
      <c r="H53" s="150">
        <f t="shared" si="11"/>
        <v>0</v>
      </c>
      <c r="I53" s="69">
        <f>VLOOKUP($F$5 &amp; $A53 &amp; $E53,AddRes,10,FALSE)</f>
        <v>42735</v>
      </c>
      <c r="K53" s="75"/>
      <c r="L53" s="75"/>
    </row>
    <row r="54" spans="1:12" s="65" customFormat="1" ht="12.75" customHeight="1">
      <c r="A54" s="66" t="s">
        <v>235</v>
      </c>
      <c r="B54" s="67"/>
      <c r="C54" s="26" t="s">
        <v>5</v>
      </c>
      <c r="E54" s="66" t="s">
        <v>716</v>
      </c>
      <c r="G54" s="270">
        <f t="shared" si="10"/>
        <v>0</v>
      </c>
      <c r="H54" s="150">
        <f t="shared" si="11"/>
        <v>0</v>
      </c>
      <c r="I54" s="69">
        <f>VLOOKUP($F$5 &amp; $A54 &amp; $E54,AddRes,10,FALSE)</f>
        <v>42551</v>
      </c>
      <c r="K54" s="75"/>
      <c r="L54" s="75"/>
    </row>
    <row r="55" spans="1:12" s="65" customFormat="1" ht="12.75" customHeight="1">
      <c r="A55" s="66" t="s">
        <v>235</v>
      </c>
      <c r="B55" s="67"/>
      <c r="C55" s="26" t="s">
        <v>5</v>
      </c>
      <c r="E55" s="66" t="s">
        <v>717</v>
      </c>
      <c r="G55" s="30">
        <f>VLOOKUP($F$5 &amp; $A53 &amp; $E55,AddRes,7,FALSE)</f>
        <v>0</v>
      </c>
      <c r="H55" s="150">
        <f>VLOOKUP($F$5 &amp; $A53 &amp; $E55,AddRes,8,FALSE)</f>
        <v>0</v>
      </c>
      <c r="I55" s="69">
        <f>VLOOKUP($F$5 &amp; $A53 &amp; $E55,AddRes,10,FALSE)</f>
        <v>42551</v>
      </c>
      <c r="K55" s="75"/>
      <c r="L55" s="75"/>
    </row>
    <row r="56" spans="1:12" s="65" customFormat="1" ht="12.75" customHeight="1">
      <c r="A56" s="66" t="s">
        <v>359</v>
      </c>
      <c r="B56" s="67"/>
      <c r="C56" s="26" t="s">
        <v>5</v>
      </c>
      <c r="E56" s="66" t="s">
        <v>718</v>
      </c>
      <c r="G56" s="270">
        <f>VLOOKUP($F$5 &amp; $A56 &amp; $E56,AddRes,7,FALSE)</f>
        <v>0</v>
      </c>
      <c r="H56" s="150">
        <f>VLOOKUP($F$5 &amp; $A56 &amp; $E56,AddRes,8,FALSE)</f>
        <v>0</v>
      </c>
      <c r="I56" s="69">
        <f>VLOOKUP($F$5 &amp; $A56 &amp; $E56,AddRes,10,FALSE)</f>
        <v>42551</v>
      </c>
      <c r="K56" s="75"/>
      <c r="L56" s="75"/>
    </row>
    <row r="57" spans="1:12" s="65" customFormat="1" ht="12.75" customHeight="1">
      <c r="A57" s="66" t="s">
        <v>231</v>
      </c>
      <c r="B57" s="67"/>
      <c r="C57" s="26" t="s">
        <v>5</v>
      </c>
      <c r="E57" s="66" t="s">
        <v>719</v>
      </c>
      <c r="G57" s="30">
        <f>VLOOKUP($F$5 &amp; $A57 &amp; $E57,AddRes,7,FALSE)</f>
        <v>0</v>
      </c>
      <c r="H57" s="150">
        <f>VLOOKUP($F$5 &amp; $A57 &amp; $E57,AddRes,8,FALSE)</f>
        <v>0</v>
      </c>
      <c r="I57" s="69">
        <f>VLOOKUP($F$5 &amp; $A57 &amp; $E57,AddRes,10,FALSE)</f>
        <v>42551</v>
      </c>
    </row>
    <row r="58" spans="1:12" s="65" customFormat="1" ht="12.75" customHeight="1">
      <c r="A58" s="66" t="s">
        <v>232</v>
      </c>
      <c r="B58" s="67"/>
      <c r="C58" s="26" t="s">
        <v>5</v>
      </c>
      <c r="E58" s="66" t="s">
        <v>720</v>
      </c>
      <c r="G58" s="30">
        <f>VLOOKUP($F$5 &amp; $A58 &amp; $E58,AddRes,7,FALSE)</f>
        <v>0</v>
      </c>
      <c r="H58" s="150">
        <f>VLOOKUP($F$5 &amp; $A58 &amp; $E58,AddRes,8,FALSE)</f>
        <v>0</v>
      </c>
      <c r="I58" s="69">
        <f>VLOOKUP($F$5 &amp; $A58 &amp; $E58,AddRes,10,FALSE)</f>
        <v>42551</v>
      </c>
    </row>
    <row r="59" spans="1:12" s="65" customFormat="1" ht="12.75" customHeight="1">
      <c r="A59" s="66" t="s">
        <v>403</v>
      </c>
      <c r="B59" s="67"/>
      <c r="C59" s="26" t="s">
        <v>218</v>
      </c>
      <c r="E59" s="66" t="s">
        <v>403</v>
      </c>
      <c r="G59" s="30" t="s">
        <v>403</v>
      </c>
      <c r="H59" s="150" t="s">
        <v>403</v>
      </c>
      <c r="I59" s="69" t="s">
        <v>403</v>
      </c>
    </row>
    <row r="60" spans="1:12" s="65" customFormat="1" ht="12.75" customHeight="1">
      <c r="A60" s="66" t="s">
        <v>403</v>
      </c>
      <c r="B60" s="67"/>
      <c r="C60" s="26" t="s">
        <v>218</v>
      </c>
      <c r="E60" s="66" t="s">
        <v>403</v>
      </c>
      <c r="G60" s="30" t="s">
        <v>403</v>
      </c>
      <c r="H60" s="150" t="s">
        <v>403</v>
      </c>
      <c r="I60" s="69" t="s">
        <v>403</v>
      </c>
    </row>
    <row r="61" spans="1:12" s="65" customFormat="1" ht="12.75" customHeight="1">
      <c r="A61" s="66" t="s">
        <v>233</v>
      </c>
      <c r="B61" s="67"/>
      <c r="C61" s="26" t="s">
        <v>219</v>
      </c>
      <c r="E61" s="66" t="s">
        <v>721</v>
      </c>
      <c r="G61" s="30">
        <f>VLOOKUP($F$5 &amp; $A61 &amp; $E61,AddRes,7,FALSE)</f>
        <v>0</v>
      </c>
      <c r="H61" s="150">
        <f>VLOOKUP($F$5 &amp; $A61 &amp; $E61,AddRes,8,FALSE)</f>
        <v>0</v>
      </c>
      <c r="I61" s="69">
        <f>VLOOKUP($F$5 &amp; $A61 &amp; $E61,AddRes,10,FALSE)</f>
        <v>42551</v>
      </c>
    </row>
    <row r="62" spans="1:12" s="65" customFormat="1" ht="12.75" customHeight="1">
      <c r="C62" s="70"/>
      <c r="D62" s="70"/>
      <c r="E62" s="70"/>
      <c r="F62" s="70"/>
      <c r="G62" s="71"/>
      <c r="H62" s="197"/>
      <c r="I62" s="73"/>
    </row>
    <row r="63" spans="1:12" s="65" customFormat="1" ht="12.75" customHeight="1">
      <c r="C63" s="74" t="s">
        <v>71</v>
      </c>
      <c r="D63" s="70"/>
      <c r="E63" s="70"/>
      <c r="F63" s="70"/>
      <c r="G63" s="75">
        <f>SUM(G47:G61)</f>
        <v>0</v>
      </c>
      <c r="H63" s="75">
        <f>SUM(H47:H61)</f>
        <v>0</v>
      </c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  <row r="139" spans="3:9" s="65" customFormat="1" ht="12.75" customHeight="1">
      <c r="C139" s="70"/>
      <c r="D139" s="70"/>
      <c r="E139" s="70"/>
      <c r="F139" s="70"/>
      <c r="G139" s="70"/>
      <c r="I139" s="73"/>
    </row>
    <row r="140" spans="3:9" s="65" customFormat="1" ht="12.75" customHeight="1">
      <c r="C140" s="70"/>
      <c r="D140" s="70"/>
      <c r="E140" s="70"/>
      <c r="F140" s="70"/>
      <c r="G140" s="70"/>
      <c r="I140" s="73"/>
    </row>
    <row r="141" spans="3:9" s="65" customFormat="1" ht="12.75" customHeight="1">
      <c r="C141" s="70"/>
      <c r="D141" s="70"/>
      <c r="E141" s="70"/>
      <c r="F141" s="70"/>
      <c r="G141" s="70"/>
      <c r="I141" s="73"/>
    </row>
    <row r="142" spans="3:9" s="65" customFormat="1" ht="12.75" customHeight="1">
      <c r="C142" s="70"/>
      <c r="D142" s="70"/>
      <c r="E142" s="70"/>
      <c r="F142" s="70"/>
      <c r="G142" s="70"/>
      <c r="I142" s="73"/>
    </row>
    <row r="143" spans="3:9" s="65" customFormat="1" ht="12.75" customHeight="1">
      <c r="C143" s="70"/>
      <c r="D143" s="70"/>
      <c r="E143" s="70"/>
      <c r="F143" s="70"/>
      <c r="G143" s="70"/>
      <c r="I143" s="73"/>
    </row>
    <row r="144" spans="3:9" s="65" customFormat="1" ht="12.75" customHeight="1">
      <c r="C144" s="70"/>
      <c r="D144" s="70"/>
      <c r="E144" s="70"/>
      <c r="F144" s="70"/>
      <c r="G144" s="70"/>
      <c r="I144" s="73"/>
    </row>
    <row r="145" spans="3:9" s="65" customFormat="1" ht="12.75" customHeight="1">
      <c r="C145" s="70"/>
      <c r="D145" s="70"/>
      <c r="E145" s="70"/>
      <c r="F145" s="70"/>
      <c r="G145" s="70"/>
      <c r="I145" s="73"/>
    </row>
    <row r="146" spans="3:9" s="65" customFormat="1" ht="12.75" customHeight="1">
      <c r="C146" s="70"/>
      <c r="D146" s="70"/>
      <c r="E146" s="70"/>
      <c r="F146" s="70"/>
      <c r="G146" s="70"/>
      <c r="I146" s="73"/>
    </row>
    <row r="147" spans="3:9" s="65" customFormat="1" ht="12.75" customHeight="1">
      <c r="C147" s="70"/>
      <c r="D147" s="70"/>
      <c r="E147" s="70"/>
      <c r="F147" s="70"/>
      <c r="G147" s="70"/>
      <c r="I147" s="73"/>
    </row>
    <row r="148" spans="3:9" s="65" customFormat="1" ht="12.75" customHeight="1">
      <c r="C148" s="70"/>
      <c r="D148" s="70"/>
      <c r="E148" s="70"/>
      <c r="F148" s="70"/>
      <c r="G148" s="70"/>
      <c r="I148" s="73"/>
    </row>
    <row r="149" spans="3:9" s="65" customFormat="1" ht="12.75" customHeight="1">
      <c r="C149" s="70"/>
      <c r="D149" s="70"/>
      <c r="E149" s="70"/>
      <c r="F149" s="70"/>
      <c r="G149" s="70"/>
      <c r="I149" s="73"/>
    </row>
  </sheetData>
  <mergeCells count="2">
    <mergeCell ref="A8:I8"/>
    <mergeCell ref="G5:I5"/>
  </mergeCells>
  <phoneticPr fontId="0" type="noConversion"/>
  <conditionalFormatting sqref="G44">
    <cfRule type="cellIs" dxfId="7" priority="3" stopIfTrue="1" operator="equal">
      <formula>19279082</formula>
    </cfRule>
  </conditionalFormatting>
  <printOptions horizontalCentered="1"/>
  <pageMargins left="0.25" right="0.25" top="0.25" bottom="0.5" header="0.35" footer="0.25"/>
  <pageSetup scale="94" orientation="portrait" r:id="rId1"/>
  <headerFooter alignWithMargins="0">
    <oddFooter>&amp;L&amp;"Calibri,Regular"Prepared by the SBCTC&amp;R&amp;"Calibri,Regular"&amp;D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K140"/>
  <sheetViews>
    <sheetView topLeftCell="A5"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3.5703125" style="23" bestFit="1" customWidth="1"/>
    <col min="11" max="11" width="12.42578125" style="23" bestFit="1" customWidth="1"/>
    <col min="12" max="12" width="11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136</v>
      </c>
      <c r="G5" s="505" t="str">
        <f>VLOOKUP($F5,District,2,FALSE)</f>
        <v>Tacoma Community College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4477</v>
      </c>
      <c r="D10" s="48"/>
      <c r="E10" s="48">
        <f>IF(ISNA(VLOOKUP($F$5,Student,14,FALSE)),0,VLOOKUP($F$5,Student,14,FALSE))</f>
        <v>25</v>
      </c>
      <c r="F10" s="48"/>
      <c r="G10" s="48">
        <f>$E$10+$C$10+$A$10</f>
        <v>4502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" si="0">IF(ISNA(VLOOKUP($F$5 &amp;A16, AllocSched,12,FALSE)),"-",VLOOKUP($F$5 &amp;A16, AllocSched,12,FALSE))</f>
        <v>14904264</v>
      </c>
      <c r="D16" s="112" t="s">
        <v>51</v>
      </c>
      <c r="E16" s="16">
        <f t="shared" ref="E16:E22" si="1">IF(ISNA(VLOOKUP($F$5 &amp; A16, AllocSched,13,FALSE)),"-",VLOOKUP($F$5 &amp; A16, AllocSched,13,FALSE))</f>
        <v>-18976</v>
      </c>
      <c r="F16" s="16" t="s">
        <v>51</v>
      </c>
      <c r="G16" s="16">
        <f t="shared" ref="G16" si="2">IF(C16="-",E16,C16+E16)</f>
        <v>14885288</v>
      </c>
      <c r="H16" s="55" t="str">
        <f t="shared" ref="H16:H36" si="3">IF(ISNA(VLOOKUP($F$5 &amp; A16, AllocSched,9,FALSE))," ",VLOOKUP($F$5 &amp; A16, AllocSched,9,FALSE))</f>
        <v>001-011</v>
      </c>
      <c r="I16" s="56">
        <f t="shared" ref="I16:I36" si="4">IF(ISNA(VLOOKUP($F$5 &amp; A16, AllocSched,14,FALSE))," ",VLOOKUP($F$5 &amp; A16, AllocSched,14,FALSE))</f>
        <v>101</v>
      </c>
    </row>
    <row r="17" spans="1:9" ht="12.75" customHeight="1">
      <c r="A17" s="115" t="s">
        <v>171</v>
      </c>
      <c r="B17" s="54"/>
      <c r="C17" s="16">
        <f t="shared" ref="C17:C24" si="5">IF(ISNA(VLOOKUP($F$5 &amp;A17, AllocSched,12,FALSE)),"-",VLOOKUP($F$5 &amp;A17, AllocSched,12,FALSE))</f>
        <v>1371602</v>
      </c>
      <c r="D17" s="112"/>
      <c r="E17" s="16">
        <f t="shared" si="1"/>
        <v>18976</v>
      </c>
      <c r="F17" s="16"/>
      <c r="G17" s="16">
        <f t="shared" ref="G17:G24" si="6">IF(C17="-",E17,C17+E17)</f>
        <v>1390578</v>
      </c>
      <c r="H17" s="55" t="str">
        <f t="shared" si="3"/>
        <v>08A-3E0</v>
      </c>
      <c r="I17" s="56" t="str">
        <f t="shared" si="4"/>
        <v>3E0</v>
      </c>
    </row>
    <row r="18" spans="1:9" s="272" customFormat="1" ht="12.75" customHeight="1">
      <c r="A18" s="38" t="s">
        <v>781</v>
      </c>
      <c r="B18" s="54"/>
      <c r="C18" s="16">
        <f t="shared" si="5"/>
        <v>0</v>
      </c>
      <c r="D18" s="112"/>
      <c r="E18" s="16">
        <f>IF(ISNA(VLOOKUP($F$5 &amp; A18, AllocSched,13,FALSE)),"-",VLOOKUP($F$5 &amp; A18, AllocSched,13,FALSE))</f>
        <v>119691</v>
      </c>
      <c r="F18" s="16"/>
      <c r="G18" s="16">
        <f t="shared" si="6"/>
        <v>119691</v>
      </c>
      <c r="H18" s="55" t="str">
        <f>IF(ISNA(VLOOKUP($F$5 &amp; A18, AllocSched,9,FALSE))," ",VLOOKUP($F$5 &amp; A18, AllocSched,9,FALSE))</f>
        <v>001-011</v>
      </c>
      <c r="I18" s="56">
        <f>IF(ISNA(VLOOKUP($F$5 &amp; A18, AllocSched,14,FALSE))," ",VLOOKUP($F$5 &amp; A18, AllocSched,14,FALSE))</f>
        <v>101</v>
      </c>
    </row>
    <row r="19" spans="1:9" s="272" customFormat="1" ht="12.75" customHeight="1">
      <c r="A19" s="115" t="s">
        <v>448</v>
      </c>
      <c r="B19" s="54"/>
      <c r="C19" s="16">
        <f t="shared" si="5"/>
        <v>0</v>
      </c>
      <c r="D19" s="112"/>
      <c r="E19" s="16">
        <f>IF(ISNA(VLOOKUP($F$5 &amp; A19, AllocSched,13,FALSE)),"-",VLOOKUP($F$5 &amp; A19, AllocSched,13,FALSE))</f>
        <v>429668</v>
      </c>
      <c r="F19" s="16"/>
      <c r="G19" s="16">
        <f t="shared" si="6"/>
        <v>429668</v>
      </c>
      <c r="H19" s="55" t="str">
        <f>IF(ISNA(VLOOKUP($F$5 &amp; A19, AllocSched,9,FALSE))," ",VLOOKUP($F$5 &amp; A19, AllocSched,9,FALSE))</f>
        <v>001-011</v>
      </c>
      <c r="I19" s="56">
        <f>IF(ISNA(VLOOKUP($F$5 &amp; A19, AllocSched,14,FALSE))," ",VLOOKUP($F$5 &amp; A19, AllocSched,14,FALSE))</f>
        <v>101</v>
      </c>
    </row>
    <row r="20" spans="1:9" s="272" customFormat="1" ht="12.75" customHeight="1">
      <c r="A20" s="115" t="s">
        <v>342</v>
      </c>
      <c r="B20" s="54"/>
      <c r="C20" s="16">
        <f t="shared" si="5"/>
        <v>0</v>
      </c>
      <c r="D20" s="112"/>
      <c r="E20" s="16">
        <f t="shared" si="1"/>
        <v>36400</v>
      </c>
      <c r="F20" s="16"/>
      <c r="G20" s="16">
        <f t="shared" si="6"/>
        <v>36400</v>
      </c>
      <c r="H20" s="55" t="str">
        <f>IF(ISNA(VLOOKUP($F$5 &amp; A20, AllocSched,9,FALSE))," ",VLOOKUP($F$5 &amp; A20, AllocSched,9,FALSE))</f>
        <v>001-011</v>
      </c>
      <c r="I20" s="56">
        <f>IF(ISNA(VLOOKUP($F$5 &amp; A20, AllocSched,14,FALSE))," ",VLOOKUP($F$5 &amp; A20, AllocSched,14,FALSE))</f>
        <v>101</v>
      </c>
    </row>
    <row r="21" spans="1:9" s="269" customFormat="1" ht="12.75" customHeight="1">
      <c r="A21" s="115" t="s">
        <v>340</v>
      </c>
      <c r="B21" s="54"/>
      <c r="C21" s="16">
        <f t="shared" si="5"/>
        <v>0</v>
      </c>
      <c r="D21" s="112"/>
      <c r="E21" s="16">
        <f>IF(ISNA(VLOOKUP($F$5 &amp; A21, AllocSched,13,FALSE)),"-",VLOOKUP($F$5 &amp; A21, AllocSched,13,FALSE))</f>
        <v>1035517</v>
      </c>
      <c r="F21" s="16"/>
      <c r="G21" s="16">
        <f t="shared" si="6"/>
        <v>1035517</v>
      </c>
      <c r="H21" s="55" t="str">
        <f>IF(ISNA(VLOOKUP($F$5 &amp; A21, AllocSched,9,FALSE))," ",VLOOKUP($F$5 &amp; A21, AllocSched,9,FALSE))</f>
        <v>001-011</v>
      </c>
      <c r="I21" s="56">
        <f>IF(ISNA(VLOOKUP($F$5 &amp; A21, AllocSched,14,FALSE))," ",VLOOKUP($F$5 &amp; A21, AllocSched,14,FALSE))</f>
        <v>101</v>
      </c>
    </row>
    <row r="22" spans="1:9" ht="12.75" customHeight="1">
      <c r="A22" s="115" t="s">
        <v>207</v>
      </c>
      <c r="B22" s="54"/>
      <c r="C22" s="16">
        <f t="shared" si="5"/>
        <v>0</v>
      </c>
      <c r="D22" s="112"/>
      <c r="E22" s="16">
        <f t="shared" si="1"/>
        <v>93992</v>
      </c>
      <c r="F22" s="16"/>
      <c r="G22" s="16">
        <f t="shared" si="6"/>
        <v>93992</v>
      </c>
      <c r="H22" s="55" t="str">
        <f t="shared" si="3"/>
        <v>001-011</v>
      </c>
      <c r="I22" s="56">
        <f t="shared" si="4"/>
        <v>101</v>
      </c>
    </row>
    <row r="23" spans="1:9" s="272" customFormat="1" ht="12.75" customHeight="1">
      <c r="A23" s="115" t="s">
        <v>203</v>
      </c>
      <c r="B23" s="54"/>
      <c r="C23" s="16">
        <f t="shared" si="5"/>
        <v>0</v>
      </c>
      <c r="D23" s="112"/>
      <c r="E23" s="16">
        <f>IF(ISNA(VLOOKUP($F$5 &amp; A23, AllocSched,13,FALSE)),"-",VLOOKUP($F$5 &amp; A23, AllocSched,13,FALSE))</f>
        <v>-4519</v>
      </c>
      <c r="F23" s="16"/>
      <c r="G23" s="16">
        <f t="shared" si="6"/>
        <v>-4519</v>
      </c>
      <c r="H23" s="55" t="str">
        <f>IF(ISNA(VLOOKUP($F$5 &amp; A23, AllocSched,9,FALSE))," ",VLOOKUP($F$5 &amp; A23, AllocSched,9,FALSE))</f>
        <v>001-011</v>
      </c>
      <c r="I23" s="56">
        <f>IF(ISNA(VLOOKUP($F$5 &amp; A23, AllocSched,14,FALSE))," ",VLOOKUP($F$5 &amp; A23, AllocSched,14,FALSE))</f>
        <v>101</v>
      </c>
    </row>
    <row r="24" spans="1:9" s="272" customFormat="1" ht="12.75" customHeight="1">
      <c r="A24" s="115" t="s">
        <v>454</v>
      </c>
      <c r="B24" s="54"/>
      <c r="C24" s="16">
        <f t="shared" si="5"/>
        <v>0</v>
      </c>
      <c r="D24" s="112"/>
      <c r="E24" s="16">
        <f>IF(ISNA(VLOOKUP($F$5 &amp; A24, AllocSched,13,FALSE)),"-",VLOOKUP($F$5 &amp; A24, AllocSched,13,FALSE))</f>
        <v>8089</v>
      </c>
      <c r="F24" s="16"/>
      <c r="G24" s="16">
        <f t="shared" si="6"/>
        <v>8089</v>
      </c>
      <c r="H24" s="55" t="str">
        <f>IF(ISNA(VLOOKUP($F$5 &amp; A24, AllocSched,9,FALSE))," ",VLOOKUP($F$5 &amp; A24, AllocSched,9,FALSE))</f>
        <v>001-011</v>
      </c>
      <c r="I24" s="56">
        <f>IF(ISNA(VLOOKUP($F$5 &amp; A24, AllocSched,14,FALSE))," ",VLOOKUP($F$5 &amp; A24, AllocSched,14,FALSE))</f>
        <v>101</v>
      </c>
    </row>
    <row r="25" spans="1:9" ht="12.75" customHeight="1">
      <c r="A25" s="115"/>
      <c r="B25" s="54"/>
      <c r="C25" s="16"/>
      <c r="D25" s="112"/>
      <c r="E25" s="16"/>
      <c r="F25" s="16"/>
      <c r="G25" s="16"/>
      <c r="H25" s="55" t="str">
        <f t="shared" si="3"/>
        <v xml:space="preserve"> </v>
      </c>
      <c r="I25" s="56" t="str">
        <f t="shared" si="4"/>
        <v xml:space="preserve"> </v>
      </c>
    </row>
    <row r="26" spans="1:9" s="83" customFormat="1">
      <c r="A26" s="114" t="s">
        <v>168</v>
      </c>
      <c r="B26" s="84"/>
      <c r="C26" s="16"/>
      <c r="D26" s="112"/>
      <c r="E26" s="16"/>
      <c r="F26" s="16"/>
      <c r="G26" s="16"/>
      <c r="H26" s="55" t="str">
        <f t="shared" si="3"/>
        <v xml:space="preserve"> </v>
      </c>
      <c r="I26" s="56" t="str">
        <f t="shared" si="4"/>
        <v xml:space="preserve"> </v>
      </c>
    </row>
    <row r="27" spans="1:9" s="83" customFormat="1">
      <c r="A27" s="38" t="s">
        <v>345</v>
      </c>
      <c r="B27" s="84"/>
      <c r="C27" s="16">
        <f>IF(ISNA(VLOOKUP($F$5 &amp;A27, AllocSched,12,FALSE)),"-",VLOOKUP($F$5 &amp;A27, AllocSched,12,FALSE))</f>
        <v>197200</v>
      </c>
      <c r="D27" s="112"/>
      <c r="E27" s="16">
        <f>IF(ISNA(VLOOKUP($F$5 &amp; A27, AllocSched,13,FALSE)),"-",VLOOKUP($F$5 &amp; A27, AllocSched,13,FALSE))</f>
        <v>0</v>
      </c>
      <c r="F27" s="16"/>
      <c r="G27" s="16">
        <f>IF(C27="-",E27,C27+E27)</f>
        <v>197200</v>
      </c>
      <c r="H27" s="55" t="str">
        <f>IF(ISNA(VLOOKUP($F$5 &amp; A27, AllocSched,9,FALSE))," ",VLOOKUP($F$5 &amp; A27, AllocSched,9,FALSE))</f>
        <v>001-011</v>
      </c>
      <c r="I27" s="56">
        <f>IF(ISNA(VLOOKUP($F$5 &amp; A27, AllocSched,14,FALSE))," ",VLOOKUP($F$5 &amp; A27, AllocSched,14,FALSE))</f>
        <v>101</v>
      </c>
    </row>
    <row r="28" spans="1:9" ht="12.75" customHeight="1">
      <c r="A28" s="38" t="s">
        <v>409</v>
      </c>
      <c r="C28" s="16">
        <f>IF(ISNA(VLOOKUP($F$5 &amp;A28, AllocSched,12,FALSE)),"-",VLOOKUP($F$5 &amp;A28, AllocSched,12,FALSE))</f>
        <v>61374</v>
      </c>
      <c r="D28" s="112"/>
      <c r="E28" s="16">
        <f>IF(ISNA(VLOOKUP($F$5 &amp; A28, AllocSched,13,FALSE)),"-",VLOOKUP($F$5 &amp; A28, AllocSched,13,FALSE))</f>
        <v>-61374</v>
      </c>
      <c r="F28" s="16"/>
      <c r="G28" s="16">
        <f>IF(C28="-",E28,C28+E28)</f>
        <v>0</v>
      </c>
      <c r="H28" s="55" t="str">
        <f>IF(ISNA(VLOOKUP($F$5 &amp; A28, AllocSched,9,FALSE))," ",VLOOKUP($F$5 &amp; A28, AllocSched,9,FALSE))</f>
        <v>001-011</v>
      </c>
      <c r="I28" s="56">
        <f>IF(ISNA(VLOOKUP($F$5 &amp; A28, AllocSched,14,FALSE))," ",VLOOKUP($F$5 &amp; A28, AllocSched,14,FALSE))</f>
        <v>101</v>
      </c>
    </row>
    <row r="29" spans="1:9" ht="12.75" customHeight="1">
      <c r="A29" s="38" t="s">
        <v>170</v>
      </c>
      <c r="C29" s="16">
        <f t="shared" ref="C29:C35" si="7">IF(ISNA(VLOOKUP($F$5 &amp;A29, AllocSched,12,FALSE)),"-",VLOOKUP($F$5 &amp;A29, AllocSched,12,FALSE))</f>
        <v>55422</v>
      </c>
      <c r="D29" s="112"/>
      <c r="E29" s="16">
        <f t="shared" ref="E29:E36" si="8">IF(ISNA(VLOOKUP($F$5 &amp; A29, AllocSched,13,FALSE)),"-",VLOOKUP($F$5 &amp; A29, AllocSched,13,FALSE))</f>
        <v>24982</v>
      </c>
      <c r="F29" s="16"/>
      <c r="G29" s="16">
        <f t="shared" ref="G29:G34" si="9">IF(C29="-",E29,C29+E29)</f>
        <v>80404</v>
      </c>
      <c r="H29" s="55" t="str">
        <f t="shared" si="3"/>
        <v>001-011</v>
      </c>
      <c r="I29" s="56">
        <f t="shared" si="4"/>
        <v>101</v>
      </c>
    </row>
    <row r="30" spans="1:9" ht="12.75" customHeight="1">
      <c r="A30" s="115" t="s">
        <v>151</v>
      </c>
      <c r="B30" s="54"/>
      <c r="C30" s="16">
        <f t="shared" si="7"/>
        <v>277500</v>
      </c>
      <c r="D30" s="112"/>
      <c r="E30" s="16">
        <f t="shared" si="8"/>
        <v>-27500</v>
      </c>
      <c r="F30" s="16"/>
      <c r="G30" s="16">
        <f t="shared" si="9"/>
        <v>250000</v>
      </c>
      <c r="H30" s="55" t="str">
        <f t="shared" si="3"/>
        <v>08A-3E0</v>
      </c>
      <c r="I30" s="56" t="str">
        <f t="shared" si="4"/>
        <v>3E0</v>
      </c>
    </row>
    <row r="31" spans="1:9" ht="12.75" customHeight="1">
      <c r="A31" s="115" t="s">
        <v>150</v>
      </c>
      <c r="B31" s="54"/>
      <c r="C31" s="16">
        <f t="shared" si="7"/>
        <v>29412</v>
      </c>
      <c r="D31" s="112"/>
      <c r="E31" s="16">
        <f t="shared" si="8"/>
        <v>0</v>
      </c>
      <c r="F31" s="16"/>
      <c r="G31" s="16">
        <f t="shared" si="9"/>
        <v>29412</v>
      </c>
      <c r="H31" s="55" t="str">
        <f t="shared" si="3"/>
        <v>001-011</v>
      </c>
      <c r="I31" s="56">
        <f t="shared" si="4"/>
        <v>101</v>
      </c>
    </row>
    <row r="32" spans="1:9" ht="12.75" customHeight="1">
      <c r="A32" s="115" t="s">
        <v>273</v>
      </c>
      <c r="B32" s="54"/>
      <c r="C32" s="16">
        <f>IF(ISNA(VLOOKUP($F$5 &amp;A32, AllocSched,12,FALSE)),"-",VLOOKUP($F$5 &amp;A32, AllocSched,12,FALSE))</f>
        <v>185076</v>
      </c>
      <c r="D32" s="112"/>
      <c r="E32" s="16">
        <f>IF(ISNA(VLOOKUP($F$5 &amp; A32, AllocSched,13,FALSE)),"-",VLOOKUP($F$5 &amp; A32, AllocSched,13,FALSE))</f>
        <v>-185076</v>
      </c>
      <c r="F32" s="16"/>
      <c r="G32" s="16">
        <f>IF(C32="-",E32,C32+E32)</f>
        <v>0</v>
      </c>
      <c r="H32" s="55" t="str">
        <f>IF(ISNA(VLOOKUP($F$5 &amp; A32, AllocSched,9,FALSE))," ",VLOOKUP($F$5 &amp; A32, AllocSched,9,FALSE))</f>
        <v>001-BD1</v>
      </c>
      <c r="I32" s="56" t="str">
        <f>IF(ISNA(VLOOKUP($F$5 &amp; A32, AllocSched,14,FALSE))," ",VLOOKUP($F$5 &amp; A32, AllocSched,14,FALSE))</f>
        <v>BD1</v>
      </c>
    </row>
    <row r="33" spans="1:11" ht="12.75" customHeight="1">
      <c r="A33" s="115" t="s">
        <v>6</v>
      </c>
      <c r="B33" s="54"/>
      <c r="C33" s="16">
        <f t="shared" si="7"/>
        <v>37678</v>
      </c>
      <c r="D33" s="112"/>
      <c r="E33" s="16">
        <f t="shared" si="8"/>
        <v>1032</v>
      </c>
      <c r="F33" s="16"/>
      <c r="G33" s="16">
        <f t="shared" si="9"/>
        <v>38710</v>
      </c>
      <c r="H33" s="55" t="str">
        <f t="shared" si="3"/>
        <v>001-011</v>
      </c>
      <c r="I33" s="56">
        <f t="shared" si="4"/>
        <v>101</v>
      </c>
    </row>
    <row r="34" spans="1:11" ht="12.75" customHeight="1">
      <c r="A34" s="115" t="s">
        <v>333</v>
      </c>
      <c r="B34" s="54"/>
      <c r="C34" s="16">
        <f t="shared" si="7"/>
        <v>173576</v>
      </c>
      <c r="D34" s="112"/>
      <c r="E34" s="16">
        <f t="shared" si="8"/>
        <v>0</v>
      </c>
      <c r="F34" s="16"/>
      <c r="G34" s="16">
        <f t="shared" si="9"/>
        <v>173576</v>
      </c>
      <c r="H34" s="55" t="str">
        <f t="shared" si="3"/>
        <v>001-011</v>
      </c>
      <c r="I34" s="56">
        <f t="shared" si="4"/>
        <v>101</v>
      </c>
    </row>
    <row r="35" spans="1:11" ht="12.75" customHeight="1">
      <c r="A35" s="115" t="s">
        <v>332</v>
      </c>
      <c r="B35" s="54"/>
      <c r="C35" s="16">
        <f t="shared" si="7"/>
        <v>829122</v>
      </c>
      <c r="D35" s="112"/>
      <c r="E35" s="16">
        <f t="shared" si="8"/>
        <v>0</v>
      </c>
      <c r="F35" s="16"/>
      <c r="G35" s="16">
        <f>IF(C35="-",E35,C35+E35)</f>
        <v>829122</v>
      </c>
      <c r="H35" s="55" t="str">
        <f t="shared" si="3"/>
        <v>001-AC1</v>
      </c>
      <c r="I35" s="56">
        <f t="shared" si="4"/>
        <v>123</v>
      </c>
    </row>
    <row r="36" spans="1:11" ht="12.75" customHeight="1">
      <c r="A36" s="115" t="s">
        <v>767</v>
      </c>
      <c r="B36" s="54"/>
      <c r="C36" s="16" t="str">
        <f>IF(ISNA(VLOOKUP($F$5 &amp;A36, AllocSched,12,FALSE)),"-",VLOOKUP($F$5 &amp;A36, AllocSched,12,FALSE))</f>
        <v>-</v>
      </c>
      <c r="D36" s="112"/>
      <c r="E36" s="16" t="str">
        <f t="shared" si="8"/>
        <v>-</v>
      </c>
      <c r="F36" s="16"/>
      <c r="G36" s="16" t="str">
        <f>IF(C36="-",E36,C36+E36)</f>
        <v>-</v>
      </c>
      <c r="H36" s="55" t="str">
        <f t="shared" si="3"/>
        <v xml:space="preserve"> </v>
      </c>
      <c r="I36" s="56" t="str">
        <f t="shared" si="4"/>
        <v xml:space="preserve"> </v>
      </c>
    </row>
    <row r="37" spans="1:11" s="272" customFormat="1" ht="12.75" customHeight="1">
      <c r="A37" s="115" t="s">
        <v>449</v>
      </c>
      <c r="B37" s="54"/>
      <c r="C37" s="16">
        <f>IF(ISNA(VLOOKUP($F$5 &amp;A37, AllocSched,12,FALSE)),"-",VLOOKUP($F$5 &amp;A37, AllocSched,12,FALSE))</f>
        <v>0</v>
      </c>
      <c r="D37" s="112"/>
      <c r="E37" s="16">
        <f>IF(ISNA(VLOOKUP($F$5 &amp; A37, AllocSched,13,FALSE)),"-",VLOOKUP($F$5 &amp; A37, AllocSched,13,FALSE))</f>
        <v>114110</v>
      </c>
      <c r="F37" s="16"/>
      <c r="G37" s="16">
        <f>IF(C37="-",E37,C37+E37)</f>
        <v>114110</v>
      </c>
      <c r="H37" s="55" t="str">
        <f>IF(ISNA(VLOOKUP($F$5 &amp; A37, AllocSched,9,FALSE))," ",VLOOKUP($F$5 &amp; A37, AllocSched,9,FALSE))</f>
        <v>001-011</v>
      </c>
      <c r="I37" s="56">
        <f>IF(ISNA(VLOOKUP($F$5 &amp; A37, AllocSched,14,FALSE))," ",VLOOKUP($F$5 &amp; A37, AllocSched,14,FALSE))</f>
        <v>101</v>
      </c>
    </row>
    <row r="38" spans="1:11" ht="12.75" customHeight="1">
      <c r="A38" s="54"/>
      <c r="B38" s="54"/>
      <c r="C38" s="16"/>
      <c r="D38" s="112"/>
      <c r="E38" s="16"/>
      <c r="F38" s="16"/>
      <c r="G38" s="16"/>
      <c r="H38" s="55"/>
      <c r="I38" s="56"/>
    </row>
    <row r="39" spans="1:11" ht="13.5" thickBot="1">
      <c r="A39" s="89" t="s">
        <v>174</v>
      </c>
      <c r="B39" s="57" t="s">
        <v>51</v>
      </c>
      <c r="C39" s="111">
        <f>SUM(C16:C37)</f>
        <v>18122226</v>
      </c>
      <c r="D39" s="113" t="s">
        <v>51</v>
      </c>
      <c r="E39" s="111">
        <f>SUM(E16:E37)</f>
        <v>1585012</v>
      </c>
      <c r="F39" s="113" t="s">
        <v>51</v>
      </c>
      <c r="G39" s="111">
        <f>SUM(G16:G37)</f>
        <v>19707238</v>
      </c>
      <c r="J39" s="25"/>
      <c r="K39" s="30"/>
    </row>
    <row r="40" spans="1:11" ht="12.75" customHeight="1" thickTop="1">
      <c r="A40" s="84"/>
      <c r="B40" s="84"/>
      <c r="C40" s="58">
        <v>0</v>
      </c>
      <c r="D40" s="58"/>
      <c r="E40" s="90"/>
      <c r="F40" s="90"/>
      <c r="G40" s="90"/>
    </row>
    <row r="41" spans="1:11" s="65" customFormat="1" ht="25.5">
      <c r="A41" s="59" t="s">
        <v>156</v>
      </c>
      <c r="B41" s="60"/>
      <c r="C41" s="61"/>
      <c r="D41" s="62"/>
      <c r="E41" s="63" t="s">
        <v>67</v>
      </c>
      <c r="F41" s="62"/>
      <c r="G41" s="64" t="s">
        <v>163</v>
      </c>
      <c r="H41" s="64" t="s">
        <v>164</v>
      </c>
      <c r="I41" s="98" t="s">
        <v>70</v>
      </c>
    </row>
    <row r="42" spans="1:11" s="65" customFormat="1" ht="12.75" customHeight="1">
      <c r="A42" s="66" t="s">
        <v>240</v>
      </c>
      <c r="B42" s="67"/>
      <c r="C42" s="68"/>
      <c r="E42" s="66" t="s">
        <v>386</v>
      </c>
      <c r="G42" s="30">
        <f>VLOOKUP($F$5 &amp; $A42 &amp; $E42,AddRes,7,FALSE)</f>
        <v>0</v>
      </c>
      <c r="H42" s="30">
        <f>VLOOKUP($F$5 &amp; $A42 &amp; $E42,AddRes,8,FALSE)</f>
        <v>0</v>
      </c>
      <c r="I42" s="69">
        <f>VLOOKUP($F$5 &amp; $A42 &amp; $E42,AddRes,10,FALSE)</f>
        <v>42277</v>
      </c>
    </row>
    <row r="43" spans="1:11" s="65" customFormat="1" ht="12.75" customHeight="1">
      <c r="A43" s="66" t="s">
        <v>498</v>
      </c>
      <c r="B43" s="67"/>
      <c r="C43" s="26" t="s">
        <v>403</v>
      </c>
      <c r="E43" s="66" t="s">
        <v>722</v>
      </c>
      <c r="G43" s="30">
        <f>VLOOKUP($F$5 &amp; $A43 &amp; $E43,AddRes,7,FALSE)</f>
        <v>0</v>
      </c>
      <c r="H43" s="30">
        <f>VLOOKUP($F$5 &amp; $A43 &amp; $E43,AddRes,8,FALSE)</f>
        <v>0</v>
      </c>
      <c r="I43" s="69">
        <f>VLOOKUP($F$5 &amp; $A43 &amp; $E43,AddRes,10,FALSE)</f>
        <v>42551</v>
      </c>
    </row>
    <row r="44" spans="1:11" s="65" customFormat="1" ht="12.75" customHeight="1">
      <c r="A44" s="66" t="s">
        <v>505</v>
      </c>
      <c r="B44" s="67"/>
      <c r="C44" s="26" t="s">
        <v>403</v>
      </c>
      <c r="E44" s="66" t="s">
        <v>723</v>
      </c>
      <c r="G44" s="30">
        <f>VLOOKUP($F$5 &amp; $A44 &amp; $E44,AddRes,7,FALSE)</f>
        <v>0</v>
      </c>
      <c r="H44" s="30">
        <f>VLOOKUP($F$5 &amp; $A44 &amp; $E44,AddRes,8,FALSE)</f>
        <v>0</v>
      </c>
      <c r="I44" s="69">
        <f>VLOOKUP($F$5 &amp; $A44 &amp; $E44,AddRes,10,FALSE)</f>
        <v>42551</v>
      </c>
    </row>
    <row r="45" spans="1:11" s="65" customFormat="1" ht="12.75" customHeight="1">
      <c r="A45" s="66" t="s">
        <v>412</v>
      </c>
      <c r="B45" s="67"/>
      <c r="C45" s="68"/>
      <c r="E45" s="66" t="s">
        <v>423</v>
      </c>
      <c r="G45" s="270">
        <f t="shared" ref="G45:G48" si="10">VLOOKUP($F$5 &amp; $A45 &amp; $E45,AddRes,7,FALSE)</f>
        <v>0</v>
      </c>
      <c r="H45" s="270">
        <f t="shared" ref="H45:H48" si="11">VLOOKUP($F$5 &amp; $A45 &amp; $E45,AddRes,8,FALSE)</f>
        <v>0</v>
      </c>
      <c r="I45" s="69">
        <f t="shared" ref="I45:I48" si="12">VLOOKUP($F$5 &amp; $A45 &amp; $E45,AddRes,10,FALSE)</f>
        <v>42551</v>
      </c>
    </row>
    <row r="46" spans="1:11" s="65" customFormat="1" ht="12.75" customHeight="1">
      <c r="A46" s="66" t="s">
        <v>267</v>
      </c>
      <c r="B46" s="67"/>
      <c r="C46" s="68"/>
      <c r="E46" s="66" t="s">
        <v>724</v>
      </c>
      <c r="G46" s="30">
        <f>VLOOKUP($F$5 &amp; $A46 &amp; $E46,AddRes,7,FALSE)</f>
        <v>0</v>
      </c>
      <c r="H46" s="30">
        <f>VLOOKUP($F$5 &amp; $A46 &amp; $E46,AddRes,8,FALSE)</f>
        <v>0</v>
      </c>
      <c r="I46" s="69">
        <f>VLOOKUP($F$5 &amp; $A46 &amp; $E46,AddRes,10,FALSE)</f>
        <v>42551</v>
      </c>
    </row>
    <row r="47" spans="1:11" s="65" customFormat="1" ht="12.75" customHeight="1">
      <c r="A47" s="66" t="s">
        <v>274</v>
      </c>
      <c r="B47" s="67"/>
      <c r="C47" s="68"/>
      <c r="E47" s="66" t="s">
        <v>725</v>
      </c>
      <c r="G47" s="270">
        <f>VLOOKUP($F$5 &amp; $A47 &amp; $E47,AddRes,7,FALSE)</f>
        <v>0</v>
      </c>
      <c r="H47" s="270">
        <f>VLOOKUP($F$5 &amp; $A47 &amp; $E47,AddRes,8,FALSE)</f>
        <v>0</v>
      </c>
      <c r="I47" s="69">
        <f>VLOOKUP($F$5 &amp; $A47 &amp; $E47,AddRes,10,FALSE)</f>
        <v>42551</v>
      </c>
    </row>
    <row r="48" spans="1:11" s="65" customFormat="1" ht="12.75" customHeight="1">
      <c r="A48" s="66" t="s">
        <v>242</v>
      </c>
      <c r="B48" s="67"/>
      <c r="C48" s="68"/>
      <c r="E48" s="66" t="s">
        <v>250</v>
      </c>
      <c r="G48" s="30">
        <f t="shared" si="10"/>
        <v>0</v>
      </c>
      <c r="H48" s="30">
        <f t="shared" si="11"/>
        <v>0</v>
      </c>
      <c r="I48" s="69">
        <f t="shared" si="12"/>
        <v>42551</v>
      </c>
    </row>
    <row r="49" spans="1:9" s="65" customFormat="1" ht="12.75" customHeight="1">
      <c r="A49" s="66" t="s">
        <v>233</v>
      </c>
      <c r="B49" s="67"/>
      <c r="C49" s="68"/>
      <c r="E49" s="66" t="s">
        <v>726</v>
      </c>
      <c r="G49" s="30">
        <f>VLOOKUP($F$5 &amp; $A49 &amp; $E49,AddRes,7,FALSE)</f>
        <v>0</v>
      </c>
      <c r="H49" s="30">
        <f>VLOOKUP($F$5 &amp; $A49 &amp; $E49,AddRes,8,FALSE)</f>
        <v>0</v>
      </c>
      <c r="I49" s="69">
        <f>VLOOKUP($F$5 &amp; $A49 &amp; $E49,AddRes,10,FALSE)</f>
        <v>42551</v>
      </c>
    </row>
    <row r="50" spans="1:9" s="65" customFormat="1" ht="12.75" customHeight="1">
      <c r="A50" s="66" t="s">
        <v>231</v>
      </c>
      <c r="B50" s="67"/>
      <c r="C50" s="68"/>
      <c r="E50" s="66" t="s">
        <v>727</v>
      </c>
      <c r="G50" s="30">
        <f>VLOOKUP($F$5 &amp; $A50 &amp; $E50,AddRes,7,FALSE)</f>
        <v>0</v>
      </c>
      <c r="H50" s="30">
        <f>VLOOKUP($F$5 &amp; $A50 &amp; $E50,AddRes,8,FALSE)</f>
        <v>0</v>
      </c>
      <c r="I50" s="69">
        <f>VLOOKUP($F$5 &amp; $A50 &amp; $E50,AddRes,10,FALSE)</f>
        <v>42551</v>
      </c>
    </row>
    <row r="51" spans="1:9" s="65" customFormat="1" ht="12.75" customHeight="1">
      <c r="A51" s="66" t="s">
        <v>429</v>
      </c>
      <c r="B51" s="67"/>
      <c r="C51" s="68"/>
      <c r="E51" s="66" t="s">
        <v>434</v>
      </c>
      <c r="G51" s="270">
        <f>VLOOKUP($F$5 &amp; $A51 &amp; $E51,AddRes,7,FALSE)</f>
        <v>0</v>
      </c>
      <c r="H51" s="270">
        <f>VLOOKUP($F$5 &amp; $A51 &amp; $E51,AddRes,8,FALSE)</f>
        <v>0</v>
      </c>
      <c r="I51" s="69">
        <f>VLOOKUP($F$5 &amp; $A51 &amp; $E51,AddRes,10,FALSE)</f>
        <v>42247</v>
      </c>
    </row>
    <row r="52" spans="1:9" s="65" customFormat="1" ht="12.75" customHeight="1">
      <c r="A52" s="65" t="s">
        <v>232</v>
      </c>
      <c r="C52" s="70"/>
      <c r="D52" s="70"/>
      <c r="E52" s="70" t="s">
        <v>728</v>
      </c>
      <c r="F52" s="70"/>
      <c r="G52" s="270">
        <f>VLOOKUP($F$5 &amp; $A52 &amp; $E52,AddRes,7,FALSE)</f>
        <v>0</v>
      </c>
      <c r="H52" s="270">
        <f>VLOOKUP($F$5 &amp; $A52 &amp; $E52,AddRes,8,FALSE)</f>
        <v>0</v>
      </c>
      <c r="I52" s="69">
        <f>VLOOKUP($F$5 &amp; $A52 &amp; $E52,AddRes,10,FALSE)</f>
        <v>42551</v>
      </c>
    </row>
    <row r="53" spans="1:9" s="65" customFormat="1" ht="12.75" customHeight="1">
      <c r="C53" s="70"/>
      <c r="D53" s="70"/>
      <c r="E53" s="70"/>
      <c r="F53" s="70"/>
      <c r="G53" s="401"/>
      <c r="H53" s="401"/>
      <c r="I53" s="69"/>
    </row>
    <row r="54" spans="1:9" s="65" customFormat="1" ht="12.75" customHeight="1">
      <c r="C54" s="74" t="s">
        <v>71</v>
      </c>
      <c r="D54" s="70"/>
      <c r="E54" s="70"/>
      <c r="F54" s="70"/>
      <c r="G54" s="75">
        <f>SUM(G42:G52)</f>
        <v>0</v>
      </c>
      <c r="H54" s="75">
        <f>SUM(H42:H52)</f>
        <v>0</v>
      </c>
      <c r="I54" s="73"/>
    </row>
    <row r="55" spans="1:9" s="65" customFormat="1" ht="12.75" customHeight="1">
      <c r="C55" s="70"/>
      <c r="D55" s="70"/>
      <c r="E55" s="70"/>
      <c r="F55" s="70"/>
      <c r="G55" s="70"/>
      <c r="I55" s="73"/>
    </row>
    <row r="56" spans="1:9" s="65" customFormat="1" ht="12.75" customHeight="1">
      <c r="C56" s="70"/>
      <c r="D56" s="70"/>
      <c r="E56" s="70"/>
      <c r="F56" s="70"/>
      <c r="G56" s="70"/>
      <c r="I56" s="73"/>
    </row>
    <row r="57" spans="1:9" s="65" customFormat="1" ht="12.75" customHeight="1">
      <c r="C57" s="70"/>
      <c r="D57" s="70"/>
      <c r="E57" s="70"/>
      <c r="F57" s="70"/>
      <c r="G57" s="70"/>
      <c r="I57" s="73"/>
    </row>
    <row r="58" spans="1:9" s="65" customFormat="1" ht="12.75" customHeight="1">
      <c r="C58" s="70"/>
      <c r="D58" s="70"/>
      <c r="E58" s="70"/>
      <c r="F58" s="70"/>
      <c r="G58" s="70"/>
      <c r="I58" s="73"/>
    </row>
    <row r="59" spans="1:9" s="65" customFormat="1" ht="12.75" customHeight="1">
      <c r="C59" s="70"/>
      <c r="D59" s="70"/>
      <c r="E59" s="70"/>
      <c r="F59" s="70"/>
      <c r="G59" s="70"/>
      <c r="I59" s="73"/>
    </row>
    <row r="60" spans="1:9" s="65" customFormat="1" ht="12.75" customHeight="1">
      <c r="C60" s="70"/>
      <c r="D60" s="70"/>
      <c r="E60" s="70"/>
      <c r="F60" s="70"/>
      <c r="G60" s="70"/>
      <c r="I60" s="73"/>
    </row>
    <row r="61" spans="1:9" s="65" customFormat="1" ht="12.75" customHeight="1">
      <c r="C61" s="70"/>
      <c r="D61" s="70"/>
      <c r="E61" s="70"/>
      <c r="F61" s="70"/>
      <c r="G61" s="70"/>
      <c r="I61" s="73"/>
    </row>
    <row r="62" spans="1:9" s="65" customFormat="1" ht="12.75" customHeight="1">
      <c r="C62" s="70"/>
      <c r="D62" s="70"/>
      <c r="E62" s="70"/>
      <c r="F62" s="70"/>
      <c r="G62" s="70"/>
      <c r="I62" s="73"/>
    </row>
    <row r="63" spans="1:9" s="65" customFormat="1" ht="12.75" customHeight="1">
      <c r="C63" s="70"/>
      <c r="D63" s="70"/>
      <c r="E63" s="70"/>
      <c r="F63" s="70"/>
      <c r="G63" s="70"/>
      <c r="I63" s="73"/>
    </row>
    <row r="64" spans="1:9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  <row r="139" spans="3:9" s="65" customFormat="1" ht="12.75" customHeight="1">
      <c r="C139" s="70"/>
      <c r="D139" s="70"/>
      <c r="E139" s="70"/>
      <c r="F139" s="70"/>
      <c r="G139" s="70"/>
      <c r="I139" s="73"/>
    </row>
    <row r="140" spans="3:9" s="65" customFormat="1" ht="12.75" customHeight="1">
      <c r="C140" s="70"/>
      <c r="D140" s="70"/>
      <c r="E140" s="70"/>
      <c r="F140" s="70"/>
      <c r="G140" s="70"/>
      <c r="I140" s="73"/>
    </row>
  </sheetData>
  <mergeCells count="2">
    <mergeCell ref="A8:I8"/>
    <mergeCell ref="G5:I5"/>
  </mergeCells>
  <phoneticPr fontId="0" type="noConversion"/>
  <conditionalFormatting sqref="G39">
    <cfRule type="cellIs" dxfId="6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K139"/>
  <sheetViews>
    <sheetView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3.5703125" style="23" bestFit="1" customWidth="1"/>
    <col min="11" max="12" width="11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134</v>
      </c>
      <c r="G5" s="505" t="str">
        <f>VLOOKUP($F5,District,2,FALSE)</f>
        <v>Walla Walla Community College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2982</v>
      </c>
      <c r="D10" s="48"/>
      <c r="E10" s="48">
        <f>IF(ISNA(VLOOKUP($F$5,Student,14,FALSE)),0,VLOOKUP($F$5,Student,14,FALSE))</f>
        <v>0</v>
      </c>
      <c r="F10" s="48"/>
      <c r="G10" s="48">
        <f>$E$10+$C$10+$A$10</f>
        <v>2982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21" si="0">IF(ISNA(VLOOKUP($F$5 &amp;A16, AllocSched,12,FALSE)),"-",VLOOKUP($F$5 &amp;A16, AllocSched,12,FALSE))</f>
        <v>11263377</v>
      </c>
      <c r="D16" s="112" t="s">
        <v>51</v>
      </c>
      <c r="E16" s="16">
        <f t="shared" ref="E16:E24" si="1">IF(ISNA(VLOOKUP($F$5 &amp; A16, AllocSched,13,FALSE)),"-",VLOOKUP($F$5 &amp; A16, AllocSched,13,FALSE))</f>
        <v>-11202</v>
      </c>
      <c r="F16" s="16" t="s">
        <v>51</v>
      </c>
      <c r="G16" s="16">
        <f t="shared" ref="G16:G24" si="2">IF(C16="-",E16,C16+E16)</f>
        <v>11252175</v>
      </c>
      <c r="H16" s="55" t="str">
        <f t="shared" ref="H16:H22" si="3">IF(ISNA(VLOOKUP($F$5 &amp; A16, AllocSched,9,FALSE))," ",VLOOKUP($F$5 &amp; A16, AllocSched,9,FALSE))</f>
        <v>001-011</v>
      </c>
      <c r="I16" s="56">
        <f t="shared" ref="I16:I36" si="4">IF(ISNA(VLOOKUP($F$5 &amp; A16, AllocSched,14,FALSE))," ",VLOOKUP($F$5 &amp; A16, AllocSched,14,FALSE))</f>
        <v>101</v>
      </c>
    </row>
    <row r="17" spans="1:9" ht="12.75" customHeight="1">
      <c r="A17" s="115" t="s">
        <v>171</v>
      </c>
      <c r="B17" s="54"/>
      <c r="C17" s="16">
        <f t="shared" si="0"/>
        <v>688156</v>
      </c>
      <c r="D17" s="112"/>
      <c r="E17" s="16">
        <f t="shared" si="1"/>
        <v>11202</v>
      </c>
      <c r="F17" s="16"/>
      <c r="G17" s="16">
        <f t="shared" si="2"/>
        <v>699358</v>
      </c>
      <c r="H17" s="55" t="str">
        <f t="shared" si="3"/>
        <v>08A-3E0</v>
      </c>
      <c r="I17" s="56" t="str">
        <f t="shared" si="4"/>
        <v>3E0</v>
      </c>
    </row>
    <row r="18" spans="1:9" s="272" customFormat="1" ht="12.75" customHeight="1">
      <c r="A18" s="38" t="s">
        <v>781</v>
      </c>
      <c r="B18" s="54"/>
      <c r="C18" s="16">
        <f>IF(ISNA(VLOOKUP($F$5 &amp;A18, AllocSched,12,FALSE)),"-",VLOOKUP($F$5 &amp;A18, AllocSched,12,FALSE))</f>
        <v>0</v>
      </c>
      <c r="D18" s="112"/>
      <c r="E18" s="16">
        <f t="shared" si="1"/>
        <v>85944</v>
      </c>
      <c r="F18" s="16"/>
      <c r="G18" s="16">
        <f t="shared" si="2"/>
        <v>85944</v>
      </c>
      <c r="H18" s="55" t="str">
        <f>IF(ISNA(VLOOKUP($F$5 &amp; A18, AllocSched,9,FALSE))," ",VLOOKUP($F$5 &amp; A18, AllocSched,9,FALSE))</f>
        <v>001-011</v>
      </c>
      <c r="I18" s="56">
        <f>IF(ISNA(VLOOKUP($F$5 &amp; A18, AllocSched,14,FALSE))," ",VLOOKUP($F$5 &amp; A18, AllocSched,14,FALSE))</f>
        <v>101</v>
      </c>
    </row>
    <row r="19" spans="1:9" s="272" customFormat="1" ht="12.75" customHeight="1">
      <c r="A19" s="115" t="s">
        <v>448</v>
      </c>
      <c r="B19" s="54"/>
      <c r="C19" s="16">
        <f>IF(ISNA(VLOOKUP($F$5 &amp;A19, AllocSched,12,FALSE)),"-",VLOOKUP($F$5 &amp;A19, AllocSched,12,FALSE))</f>
        <v>0</v>
      </c>
      <c r="D19" s="112"/>
      <c r="E19" s="16">
        <f t="shared" si="1"/>
        <v>283179</v>
      </c>
      <c r="F19" s="16"/>
      <c r="G19" s="16">
        <f t="shared" si="2"/>
        <v>283179</v>
      </c>
      <c r="H19" s="55" t="str">
        <f>IF(ISNA(VLOOKUP($F$5 &amp; A19, AllocSched,9,FALSE))," ",VLOOKUP($F$5 &amp; A19, AllocSched,9,FALSE))</f>
        <v>001-011</v>
      </c>
      <c r="I19" s="56">
        <f>IF(ISNA(VLOOKUP($F$5 &amp; A19, AllocSched,14,FALSE))," ",VLOOKUP($F$5 &amp; A19, AllocSched,14,FALSE))</f>
        <v>101</v>
      </c>
    </row>
    <row r="20" spans="1:9" s="269" customFormat="1" ht="12.75" customHeight="1">
      <c r="A20" s="115" t="s">
        <v>340</v>
      </c>
      <c r="B20" s="54"/>
      <c r="C20" s="16">
        <f>IF(ISNA(VLOOKUP($F$5 &amp;A20, AllocSched,12,FALSE)),"-",VLOOKUP($F$5 &amp;A20, AllocSched,12,FALSE))</f>
        <v>0</v>
      </c>
      <c r="D20" s="112"/>
      <c r="E20" s="16">
        <f t="shared" si="1"/>
        <v>684819</v>
      </c>
      <c r="F20" s="16"/>
      <c r="G20" s="16">
        <f t="shared" si="2"/>
        <v>684819</v>
      </c>
      <c r="H20" s="55" t="str">
        <f>IF(ISNA(VLOOKUP($F$5 &amp; A20, AllocSched,9,FALSE))," ",VLOOKUP($F$5 &amp; A20, AllocSched,9,FALSE))</f>
        <v>001-011</v>
      </c>
      <c r="I20" s="56">
        <f>IF(ISNA(VLOOKUP($F$5 &amp; A20, AllocSched,14,FALSE))," ",VLOOKUP($F$5 &amp; A20, AllocSched,14,FALSE))</f>
        <v>101</v>
      </c>
    </row>
    <row r="21" spans="1:9" ht="12.75" customHeight="1">
      <c r="A21" s="115" t="s">
        <v>253</v>
      </c>
      <c r="B21" s="54"/>
      <c r="C21" s="16">
        <f t="shared" si="0"/>
        <v>0</v>
      </c>
      <c r="D21" s="112"/>
      <c r="E21" s="16">
        <f t="shared" si="1"/>
        <v>14000</v>
      </c>
      <c r="F21" s="16"/>
      <c r="G21" s="16">
        <f t="shared" si="2"/>
        <v>14000</v>
      </c>
      <c r="H21" s="55" t="str">
        <f>IF(ISNA(VLOOKUP($F$5 &amp; A21, AllocSched,9,FALSE))," ",VLOOKUP($F$5 &amp; A21, AllocSched,9,FALSE))</f>
        <v>001-011</v>
      </c>
      <c r="I21" s="56">
        <f>IF(ISNA(VLOOKUP($F$5 &amp; A21, AllocSched,14,FALSE))," ",VLOOKUP($F$5 &amp; A21, AllocSched,14,FALSE))</f>
        <v>101</v>
      </c>
    </row>
    <row r="22" spans="1:9" ht="12.75" customHeight="1">
      <c r="A22" s="115" t="s">
        <v>207</v>
      </c>
      <c r="B22" s="54"/>
      <c r="C22" s="16">
        <f>IF(ISNA(VLOOKUP($F$5 &amp;A22, AllocSched,12,FALSE)),"-",VLOOKUP($F$5 &amp;A22, AllocSched,12,FALSE))</f>
        <v>0</v>
      </c>
      <c r="D22" s="112"/>
      <c r="E22" s="16">
        <f t="shared" si="1"/>
        <v>58116</v>
      </c>
      <c r="F22" s="16"/>
      <c r="G22" s="16">
        <f t="shared" si="2"/>
        <v>58116</v>
      </c>
      <c r="H22" s="55" t="str">
        <f t="shared" si="3"/>
        <v>001-011</v>
      </c>
      <c r="I22" s="56">
        <f t="shared" si="4"/>
        <v>101</v>
      </c>
    </row>
    <row r="23" spans="1:9" s="272" customFormat="1" ht="12.75" customHeight="1">
      <c r="A23" s="115" t="s">
        <v>203</v>
      </c>
      <c r="B23" s="54"/>
      <c r="C23" s="16">
        <f>IF(ISNA(VLOOKUP($F$5 &amp;A23, AllocSched,12,FALSE)),"-",VLOOKUP($F$5 &amp;A23, AllocSched,12,FALSE))</f>
        <v>0</v>
      </c>
      <c r="D23" s="112"/>
      <c r="E23" s="16">
        <f t="shared" si="1"/>
        <v>-3442</v>
      </c>
      <c r="F23" s="16"/>
      <c r="G23" s="16">
        <f t="shared" si="2"/>
        <v>-3442</v>
      </c>
      <c r="H23" s="55" t="str">
        <f>IF(ISNA(VLOOKUP($F$5 &amp; A23, AllocSched,9,FALSE))," ",VLOOKUP($F$5 &amp; A23, AllocSched,9,FALSE))</f>
        <v>001-011</v>
      </c>
      <c r="I23" s="56">
        <f>IF(ISNA(VLOOKUP($F$5 &amp; A23, AllocSched,14,FALSE))," ",VLOOKUP($F$5 &amp; A23, AllocSched,14,FALSE))</f>
        <v>101</v>
      </c>
    </row>
    <row r="24" spans="1:9" s="272" customFormat="1" ht="12.75" customHeight="1">
      <c r="A24" s="115" t="s">
        <v>454</v>
      </c>
      <c r="B24" s="54"/>
      <c r="C24" s="16">
        <f>IF(ISNA(VLOOKUP($F$5 &amp;A24, AllocSched,12,FALSE)),"-",VLOOKUP($F$5 &amp;A24, AllocSched,12,FALSE))</f>
        <v>0</v>
      </c>
      <c r="D24" s="112"/>
      <c r="E24" s="16">
        <f t="shared" si="1"/>
        <v>5917</v>
      </c>
      <c r="F24" s="16"/>
      <c r="G24" s="16">
        <f t="shared" si="2"/>
        <v>5917</v>
      </c>
      <c r="H24" s="55" t="str">
        <f>IF(ISNA(VLOOKUP($F$5 &amp; A24, AllocSched,9,FALSE))," ",VLOOKUP($F$5 &amp; A24, AllocSched,9,FALSE))</f>
        <v>001-011</v>
      </c>
      <c r="I24" s="56">
        <f>IF(ISNA(VLOOKUP($F$5 &amp; A24, AllocSched,14,FALSE))," ",VLOOKUP($F$5 &amp; A24, AllocSched,14,FALSE))</f>
        <v>101</v>
      </c>
    </row>
    <row r="25" spans="1:9" ht="12.75" customHeight="1">
      <c r="A25" s="115"/>
      <c r="B25" s="54"/>
      <c r="C25" s="16"/>
      <c r="D25" s="112"/>
      <c r="E25" s="16"/>
      <c r="F25" s="16"/>
      <c r="G25" s="16"/>
      <c r="H25" s="55" t="str">
        <f t="shared" ref="H25:H36" si="5">IF(ISNA(VLOOKUP($F$5 &amp; A25, AllocSched,9,FALSE))," ",VLOOKUP($F$5 &amp; A25, AllocSched,9,FALSE))</f>
        <v xml:space="preserve"> </v>
      </c>
      <c r="I25" s="56" t="str">
        <f t="shared" si="4"/>
        <v xml:space="preserve"> </v>
      </c>
    </row>
    <row r="26" spans="1:9" s="83" customFormat="1">
      <c r="A26" s="114" t="s">
        <v>168</v>
      </c>
      <c r="B26" s="84"/>
      <c r="C26" s="16"/>
      <c r="D26" s="112"/>
      <c r="E26" s="16"/>
      <c r="F26" s="16"/>
      <c r="G26" s="16"/>
      <c r="H26" s="55" t="str">
        <f t="shared" si="5"/>
        <v xml:space="preserve"> </v>
      </c>
      <c r="I26" s="56" t="str">
        <f t="shared" si="4"/>
        <v xml:space="preserve"> </v>
      </c>
    </row>
    <row r="27" spans="1:9" s="83" customFormat="1">
      <c r="A27" s="38" t="s">
        <v>211</v>
      </c>
      <c r="B27" s="84"/>
      <c r="C27" s="16">
        <f>IF(ISNA(VLOOKUP($F$5 &amp;A27, AllocSched,12,FALSE)),"-",VLOOKUP($F$5 &amp;A27, AllocSched,12,FALSE))</f>
        <v>177015</v>
      </c>
      <c r="D27" s="112"/>
      <c r="E27" s="16">
        <f>IF(ISNA(VLOOKUP($F$5 &amp; A27, AllocSched,13,FALSE)),"-",VLOOKUP($F$5 &amp; A27, AllocSched,13,FALSE))</f>
        <v>-177015</v>
      </c>
      <c r="F27" s="16"/>
      <c r="G27" s="16">
        <f>IF(C27="-",E27,C27+E27)</f>
        <v>0</v>
      </c>
      <c r="H27" s="55" t="str">
        <f>IF(ISNA(VLOOKUP($F$5 &amp; A27, AllocSched,9,FALSE))," ",VLOOKUP($F$5 &amp; A27, AllocSched,9,FALSE))</f>
        <v>001-011</v>
      </c>
      <c r="I27" s="56">
        <f>IF(ISNA(VLOOKUP($F$5 &amp; A27, AllocSched,14,FALSE))," ",VLOOKUP($F$5 &amp; A27, AllocSched,14,FALSE))</f>
        <v>101</v>
      </c>
    </row>
    <row r="28" spans="1:9" ht="12.75" customHeight="1">
      <c r="A28" s="38" t="s">
        <v>409</v>
      </c>
      <c r="C28" s="16">
        <f>IF(ISNA(VLOOKUP($F$5 &amp;A28, AllocSched,12,FALSE)),"-",VLOOKUP($F$5 &amp;A28, AllocSched,12,FALSE))</f>
        <v>60219</v>
      </c>
      <c r="D28" s="112"/>
      <c r="E28" s="16">
        <f>IF(ISNA(VLOOKUP($F$5 &amp; A28, AllocSched,13,FALSE)),"-",VLOOKUP($F$5 &amp; A28, AllocSched,13,FALSE))</f>
        <v>-60219</v>
      </c>
      <c r="F28" s="16"/>
      <c r="G28" s="16">
        <f>IF(C28="-",E28,C28+E28)</f>
        <v>0</v>
      </c>
      <c r="H28" s="55" t="str">
        <f>IF(ISNA(VLOOKUP($F$5 &amp; A28, AllocSched,9,FALSE))," ",VLOOKUP($F$5 &amp; A28, AllocSched,9,FALSE))</f>
        <v>001-011</v>
      </c>
      <c r="I28" s="56">
        <f>IF(ISNA(VLOOKUP($F$5 &amp; A28, AllocSched,14,FALSE))," ",VLOOKUP($F$5 &amp; A28, AllocSched,14,FALSE))</f>
        <v>101</v>
      </c>
    </row>
    <row r="29" spans="1:9" ht="12.75" customHeight="1">
      <c r="A29" s="38" t="s">
        <v>173</v>
      </c>
      <c r="C29" s="16">
        <f t="shared" ref="C29:C35" si="6">IF(ISNA(VLOOKUP($F$5 &amp;A29, AllocSched,12,FALSE)),"-",VLOOKUP($F$5 &amp;A29, AllocSched,12,FALSE))</f>
        <v>204157</v>
      </c>
      <c r="D29" s="112"/>
      <c r="E29" s="16">
        <f t="shared" ref="E29:E36" si="7">IF(ISNA(VLOOKUP($F$5 &amp; A29, AllocSched,13,FALSE)),"-",VLOOKUP($F$5 &amp; A29, AllocSched,13,FALSE))</f>
        <v>0</v>
      </c>
      <c r="F29" s="16"/>
      <c r="G29" s="16">
        <f t="shared" ref="G29:G34" si="8">IF(C29="-",E29,C29+E29)</f>
        <v>204157</v>
      </c>
      <c r="H29" s="55" t="str">
        <f>IF(ISNA(VLOOKUP($F$5 &amp; A29, AllocSched,9,FALSE))," ",VLOOKUP($F$5 &amp; A29, AllocSched,9,FALSE))</f>
        <v>001-011</v>
      </c>
      <c r="I29" s="56">
        <f>IF(ISNA(VLOOKUP($F$5 &amp; A29, AllocSched,14,FALSE))," ",VLOOKUP($F$5 &amp; A29, AllocSched,14,FALSE))</f>
        <v>101</v>
      </c>
    </row>
    <row r="30" spans="1:9" ht="12.75" customHeight="1">
      <c r="A30" s="38" t="s">
        <v>170</v>
      </c>
      <c r="C30" s="16">
        <f t="shared" si="6"/>
        <v>40510</v>
      </c>
      <c r="D30" s="112"/>
      <c r="E30" s="16">
        <f t="shared" si="7"/>
        <v>-7231</v>
      </c>
      <c r="F30" s="16"/>
      <c r="G30" s="16">
        <f t="shared" si="8"/>
        <v>33279</v>
      </c>
      <c r="H30" s="55" t="str">
        <f t="shared" si="5"/>
        <v>001-011</v>
      </c>
      <c r="I30" s="56">
        <f t="shared" si="4"/>
        <v>101</v>
      </c>
    </row>
    <row r="31" spans="1:9" ht="12.75" customHeight="1">
      <c r="A31" s="115" t="s">
        <v>150</v>
      </c>
      <c r="B31" s="54"/>
      <c r="C31" s="16">
        <f t="shared" si="6"/>
        <v>461412</v>
      </c>
      <c r="D31" s="112"/>
      <c r="E31" s="16">
        <f t="shared" si="7"/>
        <v>0</v>
      </c>
      <c r="F31" s="16"/>
      <c r="G31" s="16">
        <f t="shared" si="8"/>
        <v>461412</v>
      </c>
      <c r="H31" s="55" t="str">
        <f t="shared" si="5"/>
        <v>001-011</v>
      </c>
      <c r="I31" s="56">
        <f t="shared" si="4"/>
        <v>101</v>
      </c>
    </row>
    <row r="32" spans="1:9" ht="12.75" customHeight="1">
      <c r="A32" s="115" t="s">
        <v>273</v>
      </c>
      <c r="B32" s="54"/>
      <c r="C32" s="16">
        <f>IF(ISNA(VLOOKUP($F$5 &amp;A32, AllocSched,12,FALSE)),"-",VLOOKUP($F$5 &amp;A32, AllocSched,12,FALSE))</f>
        <v>110757</v>
      </c>
      <c r="D32" s="112"/>
      <c r="E32" s="16">
        <f>IF(ISNA(VLOOKUP($F$5 &amp; A32, AllocSched,13,FALSE)),"-",VLOOKUP($F$5 &amp; A32, AllocSched,13,FALSE))</f>
        <v>-110757</v>
      </c>
      <c r="F32" s="16"/>
      <c r="G32" s="16">
        <f>IF(C32="-",E32,C32+E32)</f>
        <v>0</v>
      </c>
      <c r="H32" s="55" t="str">
        <f>IF(ISNA(VLOOKUP($F$5 &amp; A32, AllocSched,9,FALSE))," ",VLOOKUP($F$5 &amp; A32, AllocSched,9,FALSE))</f>
        <v>001-BD1</v>
      </c>
      <c r="I32" s="56" t="str">
        <f>IF(ISNA(VLOOKUP($F$5 &amp; A32, AllocSched,14,FALSE))," ",VLOOKUP($F$5 &amp; A32, AllocSched,14,FALSE))</f>
        <v>BD1</v>
      </c>
    </row>
    <row r="33" spans="1:11" ht="12.75" customHeight="1">
      <c r="A33" s="115" t="s">
        <v>6</v>
      </c>
      <c r="B33" s="54"/>
      <c r="C33" s="16">
        <f t="shared" si="6"/>
        <v>16911</v>
      </c>
      <c r="D33" s="112"/>
      <c r="E33" s="16">
        <f t="shared" si="7"/>
        <v>-651</v>
      </c>
      <c r="F33" s="16"/>
      <c r="G33" s="16">
        <f t="shared" si="8"/>
        <v>16260</v>
      </c>
      <c r="H33" s="55" t="str">
        <f t="shared" si="5"/>
        <v>001-011</v>
      </c>
      <c r="I33" s="56">
        <f t="shared" si="4"/>
        <v>101</v>
      </c>
    </row>
    <row r="34" spans="1:11" ht="12.75" customHeight="1">
      <c r="A34" s="115" t="s">
        <v>333</v>
      </c>
      <c r="B34" s="54"/>
      <c r="C34" s="16">
        <f t="shared" si="6"/>
        <v>249469</v>
      </c>
      <c r="D34" s="112"/>
      <c r="E34" s="16">
        <f t="shared" si="7"/>
        <v>-20000</v>
      </c>
      <c r="F34" s="16"/>
      <c r="G34" s="16">
        <f t="shared" si="8"/>
        <v>229469</v>
      </c>
      <c r="H34" s="55" t="str">
        <f t="shared" si="5"/>
        <v>001-011</v>
      </c>
      <c r="I34" s="56">
        <f t="shared" si="4"/>
        <v>101</v>
      </c>
    </row>
    <row r="35" spans="1:11" ht="12.75" customHeight="1">
      <c r="A35" s="115" t="s">
        <v>332</v>
      </c>
      <c r="B35" s="54"/>
      <c r="C35" s="16">
        <f t="shared" si="6"/>
        <v>1096104</v>
      </c>
      <c r="D35" s="112"/>
      <c r="E35" s="16">
        <f t="shared" si="7"/>
        <v>0</v>
      </c>
      <c r="F35" s="16"/>
      <c r="G35" s="16">
        <f>IF(C35="-",E35,C35+E35)</f>
        <v>1096104</v>
      </c>
      <c r="H35" s="55" t="str">
        <f t="shared" si="5"/>
        <v>001-AC1</v>
      </c>
      <c r="I35" s="56">
        <f t="shared" si="4"/>
        <v>123</v>
      </c>
    </row>
    <row r="36" spans="1:11" ht="12.75" customHeight="1">
      <c r="A36" s="115" t="s">
        <v>767</v>
      </c>
      <c r="B36" s="54"/>
      <c r="C36" s="16" t="str">
        <f>IF(ISNA(VLOOKUP($F$5 &amp;A36, AllocSched,12,FALSE)),"-",VLOOKUP($F$5 &amp;A36, AllocSched,12,FALSE))</f>
        <v>-</v>
      </c>
      <c r="D36" s="112"/>
      <c r="E36" s="16" t="str">
        <f t="shared" si="7"/>
        <v>-</v>
      </c>
      <c r="F36" s="16"/>
      <c r="G36" s="16" t="str">
        <f>IF(C36="-",E36,C36+E36)</f>
        <v>-</v>
      </c>
      <c r="H36" s="55" t="str">
        <f t="shared" si="5"/>
        <v xml:space="preserve"> </v>
      </c>
      <c r="I36" s="56" t="str">
        <f t="shared" si="4"/>
        <v xml:space="preserve"> </v>
      </c>
    </row>
    <row r="37" spans="1:11" s="272" customFormat="1" ht="12.75" customHeight="1">
      <c r="A37" s="115" t="s">
        <v>451</v>
      </c>
      <c r="B37" s="54"/>
      <c r="C37" s="16">
        <f>IF(ISNA(VLOOKUP($F$5 &amp;A37, AllocSched,12,FALSE)),"-",VLOOKUP($F$5 &amp;A37, AllocSched,12,FALSE))</f>
        <v>0</v>
      </c>
      <c r="D37" s="112"/>
      <c r="E37" s="16">
        <f>IF(ISNA(VLOOKUP($F$5 &amp; A37, AllocSched,13,FALSE)),"-",VLOOKUP($F$5 &amp; A37, AllocSched,13,FALSE))</f>
        <v>81054</v>
      </c>
      <c r="F37" s="16"/>
      <c r="G37" s="16">
        <f>IF(C37="-",E37,C37+E37)</f>
        <v>81054</v>
      </c>
      <c r="H37" s="55" t="str">
        <f>IF(ISNA(VLOOKUP($F$5 &amp; A37, AllocSched,9,FALSE))," ",VLOOKUP($F$5 &amp; A37, AllocSched,9,FALSE))</f>
        <v>001-011</v>
      </c>
      <c r="I37" s="56">
        <f>IF(ISNA(VLOOKUP($F$5 &amp; A37, AllocSched,14,FALSE))," ",VLOOKUP($F$5 &amp; A37, AllocSched,14,FALSE))</f>
        <v>101</v>
      </c>
    </row>
    <row r="38" spans="1:11" ht="12.75" customHeight="1">
      <c r="A38" s="54"/>
      <c r="B38" s="54"/>
      <c r="C38" s="16"/>
      <c r="D38" s="112"/>
      <c r="E38" s="16"/>
      <c r="F38" s="16"/>
      <c r="G38" s="16"/>
      <c r="H38" s="55"/>
      <c r="I38" s="56"/>
    </row>
    <row r="39" spans="1:11" ht="13.5" thickBot="1">
      <c r="A39" s="89" t="s">
        <v>174</v>
      </c>
      <c r="B39" s="57" t="s">
        <v>51</v>
      </c>
      <c r="C39" s="111">
        <f>SUM(C16:C37)</f>
        <v>14368087</v>
      </c>
      <c r="D39" s="113" t="s">
        <v>51</v>
      </c>
      <c r="E39" s="111">
        <f>SUM(E16:E37)</f>
        <v>833714</v>
      </c>
      <c r="F39" s="113" t="s">
        <v>51</v>
      </c>
      <c r="G39" s="111">
        <f>SUM(G16:G37)</f>
        <v>15201801</v>
      </c>
      <c r="J39" s="25"/>
      <c r="K39" s="30"/>
    </row>
    <row r="40" spans="1:11" ht="12.75" customHeight="1" thickTop="1">
      <c r="A40" s="84"/>
      <c r="B40" s="84"/>
      <c r="C40" s="58">
        <v>0</v>
      </c>
      <c r="D40" s="58"/>
      <c r="E40" s="90"/>
      <c r="F40" s="90"/>
      <c r="G40" s="90"/>
    </row>
    <row r="41" spans="1:11" s="65" customFormat="1" ht="25.5">
      <c r="A41" s="59" t="s">
        <v>156</v>
      </c>
      <c r="B41" s="60"/>
      <c r="C41" s="61"/>
      <c r="D41" s="62"/>
      <c r="E41" s="63" t="s">
        <v>67</v>
      </c>
      <c r="F41" s="62"/>
      <c r="G41" s="64" t="s">
        <v>163</v>
      </c>
      <c r="H41" s="64" t="s">
        <v>164</v>
      </c>
      <c r="I41" s="98" t="s">
        <v>70</v>
      </c>
    </row>
    <row r="42" spans="1:11" s="65" customFormat="1" ht="12.75" customHeight="1">
      <c r="A42" s="66" t="s">
        <v>240</v>
      </c>
      <c r="B42" s="67"/>
      <c r="C42" s="68"/>
      <c r="E42" s="66" t="s">
        <v>387</v>
      </c>
      <c r="G42" s="150">
        <f>VLOOKUP($F$5 &amp; $A42 &amp; $E42,AddRes,7,FALSE)</f>
        <v>0</v>
      </c>
      <c r="H42" s="150">
        <f>VLOOKUP($F$5 &amp; $A42 &amp; $E42,AddRes,8,FALSE)</f>
        <v>0</v>
      </c>
      <c r="I42" s="69">
        <f>VLOOKUP($F$5 &amp; $A42 &amp; $E42,AddRes,10,FALSE)</f>
        <v>42277</v>
      </c>
    </row>
    <row r="43" spans="1:11" s="65" customFormat="1" ht="12.75" customHeight="1">
      <c r="A43" s="66" t="s">
        <v>497</v>
      </c>
      <c r="B43" s="67"/>
      <c r="C43" s="26" t="s">
        <v>403</v>
      </c>
      <c r="E43" s="66" t="s">
        <v>729</v>
      </c>
      <c r="G43" s="150">
        <f>VLOOKUP($F$5 &amp; $A43 &amp; $E43,AddRes,7,FALSE)</f>
        <v>0</v>
      </c>
      <c r="H43" s="150">
        <f>VLOOKUP($F$5 &amp; $A43 &amp; $E43,AddRes,8,FALSE)</f>
        <v>0</v>
      </c>
      <c r="I43" s="69">
        <f>VLOOKUP($F$5 &amp; $A43 &amp; $E43,AddRes,10,FALSE)</f>
        <v>42551</v>
      </c>
    </row>
    <row r="44" spans="1:11" s="65" customFormat="1" ht="12.75" customHeight="1">
      <c r="A44" s="66" t="s">
        <v>498</v>
      </c>
      <c r="B44" s="67"/>
      <c r="C44" s="26" t="s">
        <v>403</v>
      </c>
      <c r="E44" s="66" t="s">
        <v>730</v>
      </c>
      <c r="G44" s="150">
        <f>VLOOKUP($F$5 &amp; $A44 &amp; $E44,AddRes,7,FALSE)</f>
        <v>0</v>
      </c>
      <c r="H44" s="150">
        <f>VLOOKUP($F$5 &amp; $A44 &amp; $E44,AddRes,8,FALSE)</f>
        <v>0</v>
      </c>
      <c r="I44" s="69">
        <f>VLOOKUP($F$5 &amp; $A44 &amp; $E44,AddRes,10,FALSE)</f>
        <v>42551</v>
      </c>
      <c r="J44" s="198"/>
    </row>
    <row r="45" spans="1:11" s="65" customFormat="1" ht="12.75" customHeight="1">
      <c r="A45" s="66" t="s">
        <v>505</v>
      </c>
      <c r="B45" s="67"/>
      <c r="C45" s="26" t="s">
        <v>403</v>
      </c>
      <c r="E45" s="66" t="s">
        <v>731</v>
      </c>
      <c r="G45" s="150">
        <f>VLOOKUP($F$5 &amp; $A45 &amp; $E45,AddRes,7,FALSE)</f>
        <v>0</v>
      </c>
      <c r="H45" s="150">
        <f>VLOOKUP($F$5 &amp; $A45 &amp; $E45,AddRes,8,FALSE)</f>
        <v>0</v>
      </c>
      <c r="I45" s="69">
        <f>VLOOKUP($F$5 &amp; $A45 &amp; $E45,AddRes,10,FALSE)</f>
        <v>42551</v>
      </c>
    </row>
    <row r="46" spans="1:11" s="65" customFormat="1" ht="12.75" customHeight="1">
      <c r="A46" s="66" t="s">
        <v>267</v>
      </c>
      <c r="B46" s="67"/>
      <c r="C46" s="68"/>
      <c r="E46" s="66" t="s">
        <v>732</v>
      </c>
      <c r="G46" s="150">
        <f>VLOOKUP($F$5 &amp; $A46 &amp; $E46,AddRes,7,FALSE)</f>
        <v>0</v>
      </c>
      <c r="H46" s="150">
        <f>VLOOKUP($F$5 &amp; $A46 &amp; $E46,AddRes,8,FALSE)</f>
        <v>0</v>
      </c>
      <c r="I46" s="69">
        <f>VLOOKUP($F$5 &amp; $A46 &amp; $E46,AddRes,10,FALSE)</f>
        <v>42551</v>
      </c>
    </row>
    <row r="47" spans="1:11" s="65" customFormat="1" ht="12.75" customHeight="1">
      <c r="A47" s="66" t="s">
        <v>242</v>
      </c>
      <c r="B47" s="67"/>
      <c r="C47" s="68"/>
      <c r="E47" s="66" t="s">
        <v>251</v>
      </c>
      <c r="G47" s="150">
        <f t="shared" ref="G47" si="9">VLOOKUP($F$5 &amp; $A47 &amp; $E47,AddRes,7,FALSE)</f>
        <v>0</v>
      </c>
      <c r="H47" s="150">
        <f t="shared" ref="H47" si="10">VLOOKUP($F$5 &amp; $A47 &amp; $E47,AddRes,8,FALSE)</f>
        <v>0</v>
      </c>
      <c r="I47" s="69">
        <f t="shared" ref="I47" si="11">VLOOKUP($F$5 &amp; $A47 &amp; $E47,AddRes,10,FALSE)</f>
        <v>42551</v>
      </c>
    </row>
    <row r="48" spans="1:11" s="65" customFormat="1" ht="12.75" customHeight="1">
      <c r="A48" s="66" t="s">
        <v>235</v>
      </c>
      <c r="B48" s="67"/>
      <c r="C48" s="68"/>
      <c r="E48" s="66" t="s">
        <v>733</v>
      </c>
      <c r="G48" s="150">
        <f>VLOOKUP($F$5 &amp; $A48 &amp; $E48,AddRes,7,FALSE)</f>
        <v>0</v>
      </c>
      <c r="H48" s="150">
        <f>VLOOKUP($F$5 &amp; $A48 &amp; $E48,AddRes,8,FALSE)</f>
        <v>0</v>
      </c>
      <c r="I48" s="69">
        <f>VLOOKUP($F$5 &amp; $A48 &amp; $E48,AddRes,10,FALSE)</f>
        <v>42277</v>
      </c>
    </row>
    <row r="49" spans="1:10" s="65" customFormat="1" ht="12.75" customHeight="1">
      <c r="A49" s="66" t="s">
        <v>233</v>
      </c>
      <c r="B49" s="67"/>
      <c r="C49" s="68"/>
      <c r="E49" s="66" t="s">
        <v>734</v>
      </c>
      <c r="G49" s="150">
        <f>VLOOKUP($F$5 &amp; $A49 &amp; $E49,AddRes,7,FALSE)</f>
        <v>0</v>
      </c>
      <c r="H49" s="150">
        <f>VLOOKUP($F$5 &amp; $A49 &amp; $E49,AddRes,8,FALSE)</f>
        <v>0</v>
      </c>
      <c r="I49" s="69">
        <f>VLOOKUP($F$5 &amp; $A49 &amp; $E49,AddRes,10,FALSE)</f>
        <v>42551</v>
      </c>
    </row>
    <row r="50" spans="1:10" s="65" customFormat="1" ht="12.75" customHeight="1">
      <c r="A50" s="66" t="s">
        <v>231</v>
      </c>
      <c r="B50" s="67"/>
      <c r="C50" s="68"/>
      <c r="E50" s="66" t="s">
        <v>735</v>
      </c>
      <c r="G50" s="150">
        <f>VLOOKUP($F$5 &amp; $A50 &amp; $E50,AddRes,7,FALSE)</f>
        <v>0</v>
      </c>
      <c r="H50" s="150">
        <f>VLOOKUP($F$5 &amp; $A50 &amp; $E50,AddRes,8,FALSE)</f>
        <v>0</v>
      </c>
      <c r="I50" s="69">
        <f>VLOOKUP($F$5 &amp; $A50 &amp; $E50,AddRes,10,FALSE)</f>
        <v>42551</v>
      </c>
    </row>
    <row r="51" spans="1:10" s="65" customFormat="1" ht="12.75" customHeight="1">
      <c r="A51" s="66" t="s">
        <v>232</v>
      </c>
      <c r="B51" s="67"/>
      <c r="C51" s="68"/>
      <c r="E51" s="66" t="s">
        <v>736</v>
      </c>
      <c r="G51" s="150">
        <f>VLOOKUP($F$5 &amp; $A51 &amp; $E51,AddRes,7,FALSE)</f>
        <v>0</v>
      </c>
      <c r="H51" s="150">
        <f>VLOOKUP($F$5 &amp; $A51 &amp; $E51,AddRes,8,FALSE)</f>
        <v>0</v>
      </c>
      <c r="I51" s="69">
        <f>VLOOKUP($F$5 &amp; $A51 &amp; $E51,AddRes,10,FALSE)</f>
        <v>42551</v>
      </c>
      <c r="J51" s="198"/>
    </row>
    <row r="52" spans="1:10" s="65" customFormat="1" ht="12.75" customHeight="1">
      <c r="C52" s="70"/>
      <c r="D52" s="70"/>
      <c r="E52" s="70"/>
      <c r="F52" s="70"/>
      <c r="G52" s="71"/>
      <c r="H52" s="72"/>
      <c r="I52" s="73"/>
    </row>
    <row r="53" spans="1:10" s="65" customFormat="1" ht="12.75" customHeight="1">
      <c r="C53" s="74" t="s">
        <v>71</v>
      </c>
      <c r="D53" s="70"/>
      <c r="E53" s="70"/>
      <c r="F53" s="70"/>
      <c r="G53" s="75">
        <f>SUM(G42:G51)</f>
        <v>0</v>
      </c>
      <c r="H53" s="75">
        <f>SUM(H42:H51)</f>
        <v>0</v>
      </c>
      <c r="I53" s="73"/>
    </row>
    <row r="54" spans="1:10" s="65" customFormat="1" ht="12.75" customHeight="1">
      <c r="C54" s="70"/>
      <c r="D54" s="70"/>
      <c r="E54" s="70"/>
      <c r="F54" s="70"/>
      <c r="G54" s="70"/>
      <c r="I54" s="73"/>
    </row>
    <row r="55" spans="1:10" s="65" customFormat="1" ht="12.75" customHeight="1">
      <c r="C55" s="70"/>
      <c r="D55" s="70"/>
      <c r="E55" s="70"/>
      <c r="F55" s="70"/>
      <c r="G55" s="70"/>
      <c r="I55" s="73"/>
    </row>
    <row r="56" spans="1:10" s="65" customFormat="1" ht="12.75" customHeight="1">
      <c r="C56" s="70"/>
      <c r="D56" s="70"/>
      <c r="E56" s="70"/>
      <c r="F56" s="70"/>
      <c r="G56" s="70"/>
      <c r="I56" s="73"/>
    </row>
    <row r="57" spans="1:10" s="65" customFormat="1" ht="12.75" customHeight="1">
      <c r="C57" s="70"/>
      <c r="D57" s="70"/>
      <c r="E57" s="70"/>
      <c r="F57" s="70"/>
      <c r="G57" s="70"/>
      <c r="I57" s="73"/>
    </row>
    <row r="58" spans="1:10" s="65" customFormat="1" ht="12.75" customHeight="1">
      <c r="C58" s="70"/>
      <c r="D58" s="70"/>
      <c r="E58" s="70"/>
      <c r="F58" s="70"/>
      <c r="G58" s="70"/>
      <c r="I58" s="73"/>
    </row>
    <row r="59" spans="1:10" s="65" customFormat="1" ht="12.75" customHeight="1">
      <c r="C59" s="70"/>
      <c r="D59" s="70"/>
      <c r="E59" s="70"/>
      <c r="F59" s="70"/>
      <c r="G59" s="70"/>
      <c r="I59" s="73"/>
    </row>
    <row r="60" spans="1:10" s="65" customFormat="1" ht="12.75" customHeight="1">
      <c r="C60" s="70"/>
      <c r="D60" s="70"/>
      <c r="E60" s="70"/>
      <c r="F60" s="70"/>
      <c r="G60" s="70"/>
      <c r="I60" s="73"/>
    </row>
    <row r="61" spans="1:10" s="65" customFormat="1" ht="12.75" customHeight="1">
      <c r="C61" s="70"/>
      <c r="D61" s="70"/>
      <c r="E61" s="70"/>
      <c r="F61" s="70"/>
      <c r="G61" s="70"/>
      <c r="I61" s="73"/>
    </row>
    <row r="62" spans="1:10" s="65" customFormat="1" ht="12.75" customHeight="1">
      <c r="C62" s="70"/>
      <c r="D62" s="70"/>
      <c r="E62" s="70"/>
      <c r="F62" s="70"/>
      <c r="G62" s="70"/>
      <c r="I62" s="73"/>
    </row>
    <row r="63" spans="1:10" s="65" customFormat="1" ht="12.75" customHeight="1">
      <c r="C63" s="70"/>
      <c r="D63" s="70"/>
      <c r="E63" s="70"/>
      <c r="F63" s="70"/>
      <c r="G63" s="70"/>
      <c r="I63" s="73"/>
    </row>
    <row r="64" spans="1:10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  <row r="139" spans="3:9" s="65" customFormat="1" ht="12.75" customHeight="1">
      <c r="C139" s="70"/>
      <c r="D139" s="70"/>
      <c r="E139" s="70"/>
      <c r="F139" s="70"/>
      <c r="G139" s="70"/>
      <c r="I139" s="73"/>
    </row>
  </sheetData>
  <mergeCells count="2">
    <mergeCell ref="A8:I8"/>
    <mergeCell ref="G5:I5"/>
  </mergeCells>
  <phoneticPr fontId="0" type="noConversion"/>
  <conditionalFormatting sqref="G39">
    <cfRule type="cellIs" dxfId="5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L138"/>
  <sheetViews>
    <sheetView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3.5703125" style="23" bestFit="1" customWidth="1"/>
    <col min="11" max="11" width="12.42578125" style="23" bestFit="1" customWidth="1"/>
    <col min="12" max="12" width="11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129</v>
      </c>
      <c r="G5" s="505" t="str">
        <f>VLOOKUP($F5,District,2,FALSE)</f>
        <v>Wenatchee Valley College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2482</v>
      </c>
      <c r="D10" s="48"/>
      <c r="E10" s="48">
        <f>IF(ISNA(VLOOKUP($F$5,Student,14,FALSE)),0,VLOOKUP($F$5,Student,14,FALSE))</f>
        <v>20</v>
      </c>
      <c r="F10" s="48"/>
      <c r="G10" s="48">
        <f>$E$10+$C$10+$A$10</f>
        <v>2502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17" si="0">IF(ISNA(VLOOKUP($F$5 &amp;A16, AllocSched,12,FALSE)),"-",VLOOKUP($F$5 &amp;A16, AllocSched,12,FALSE))</f>
        <v>8858595</v>
      </c>
      <c r="D16" s="112" t="s">
        <v>51</v>
      </c>
      <c r="E16" s="16">
        <f t="shared" ref="E16:E23" si="1">IF(ISNA(VLOOKUP($F$5 &amp; A16, AllocSched,13,FALSE)),"-",VLOOKUP($F$5 &amp; A16, AllocSched,13,FALSE))</f>
        <v>-8881</v>
      </c>
      <c r="F16" s="16" t="s">
        <v>51</v>
      </c>
      <c r="G16" s="16">
        <f t="shared" ref="G16" si="2">IF(C16="-",E16,C16+E16)</f>
        <v>8849714</v>
      </c>
      <c r="H16" s="55" t="str">
        <f t="shared" ref="H16:H21" si="3">IF(ISNA(VLOOKUP($F$5 &amp; A16, AllocSched,9,FALSE))," ",VLOOKUP($F$5 &amp; A16, AllocSched,9,FALSE))</f>
        <v>001-011</v>
      </c>
      <c r="I16" s="56">
        <f t="shared" ref="I16:I36" si="4">IF(ISNA(VLOOKUP($F$5 &amp; A16, AllocSched,14,FALSE))," ",VLOOKUP($F$5 &amp; A16, AllocSched,14,FALSE))</f>
        <v>101</v>
      </c>
    </row>
    <row r="17" spans="1:9" ht="12.75" customHeight="1">
      <c r="A17" s="115" t="s">
        <v>171</v>
      </c>
      <c r="B17" s="54"/>
      <c r="C17" s="16">
        <f t="shared" si="0"/>
        <v>1063632</v>
      </c>
      <c r="D17" s="112"/>
      <c r="E17" s="16">
        <f t="shared" si="1"/>
        <v>8881</v>
      </c>
      <c r="F17" s="16"/>
      <c r="G17" s="16">
        <f t="shared" ref="G17:G23" si="5">IF(C17="-",E17,C17+E17)</f>
        <v>1072513</v>
      </c>
      <c r="H17" s="55" t="str">
        <f t="shared" si="3"/>
        <v>08A-3E0</v>
      </c>
      <c r="I17" s="56" t="str">
        <f t="shared" si="4"/>
        <v>3E0</v>
      </c>
    </row>
    <row r="18" spans="1:9" s="272" customFormat="1" ht="12.75" customHeight="1">
      <c r="A18" s="38" t="s">
        <v>781</v>
      </c>
      <c r="B18" s="54"/>
      <c r="C18" s="16">
        <f t="shared" ref="C18:C23" si="6">IF(ISNA(VLOOKUP($F$5 &amp;A18, AllocSched,12,FALSE)),"-",VLOOKUP($F$5 &amp;A18, AllocSched,12,FALSE))</f>
        <v>0</v>
      </c>
      <c r="D18" s="112"/>
      <c r="E18" s="16">
        <f t="shared" si="1"/>
        <v>63754</v>
      </c>
      <c r="F18" s="16"/>
      <c r="G18" s="16">
        <f t="shared" si="5"/>
        <v>63754</v>
      </c>
      <c r="H18" s="55" t="str">
        <f>IF(ISNA(VLOOKUP($F$5 &amp; A18, AllocSched,9,FALSE))," ",VLOOKUP($F$5 &amp; A18, AllocSched,9,FALSE))</f>
        <v>001-011</v>
      </c>
      <c r="I18" s="56">
        <f>IF(ISNA(VLOOKUP($F$5 &amp; A18, AllocSched,14,FALSE))," ",VLOOKUP($F$5 &amp; A18, AllocSched,14,FALSE))</f>
        <v>101</v>
      </c>
    </row>
    <row r="19" spans="1:9" s="272" customFormat="1" ht="12.75" customHeight="1">
      <c r="A19" s="115" t="s">
        <v>448</v>
      </c>
      <c r="B19" s="54"/>
      <c r="C19" s="16">
        <f t="shared" si="6"/>
        <v>0</v>
      </c>
      <c r="D19" s="112"/>
      <c r="E19" s="16">
        <f t="shared" si="1"/>
        <v>226496</v>
      </c>
      <c r="F19" s="16"/>
      <c r="G19" s="16">
        <f t="shared" si="5"/>
        <v>226496</v>
      </c>
      <c r="H19" s="55" t="str">
        <f>IF(ISNA(VLOOKUP($F$5 &amp; A19, AllocSched,9,FALSE))," ",VLOOKUP($F$5 &amp; A19, AllocSched,9,FALSE))</f>
        <v>001-011</v>
      </c>
      <c r="I19" s="56">
        <f>IF(ISNA(VLOOKUP($F$5 &amp; A19, AllocSched,14,FALSE))," ",VLOOKUP($F$5 &amp; A19, AllocSched,14,FALSE))</f>
        <v>101</v>
      </c>
    </row>
    <row r="20" spans="1:9" s="269" customFormat="1" ht="12.75" customHeight="1">
      <c r="A20" s="115" t="s">
        <v>340</v>
      </c>
      <c r="B20" s="54"/>
      <c r="C20" s="16">
        <f t="shared" si="6"/>
        <v>0</v>
      </c>
      <c r="D20" s="112"/>
      <c r="E20" s="16">
        <f t="shared" si="1"/>
        <v>579644</v>
      </c>
      <c r="F20" s="16"/>
      <c r="G20" s="16">
        <f t="shared" si="5"/>
        <v>579644</v>
      </c>
      <c r="H20" s="55" t="str">
        <f>IF(ISNA(VLOOKUP($F$5 &amp; A20, AllocSched,9,FALSE))," ",VLOOKUP($F$5 &amp; A20, AllocSched,9,FALSE))</f>
        <v>001-011</v>
      </c>
      <c r="I20" s="56">
        <f>IF(ISNA(VLOOKUP($F$5 &amp; A20, AllocSched,14,FALSE))," ",VLOOKUP($F$5 &amp; A20, AllocSched,14,FALSE))</f>
        <v>101</v>
      </c>
    </row>
    <row r="21" spans="1:9" ht="12.75" customHeight="1">
      <c r="A21" s="115" t="s">
        <v>207</v>
      </c>
      <c r="B21" s="54"/>
      <c r="C21" s="16">
        <f t="shared" si="6"/>
        <v>0</v>
      </c>
      <c r="D21" s="112"/>
      <c r="E21" s="16">
        <f t="shared" si="1"/>
        <v>44874</v>
      </c>
      <c r="F21" s="16"/>
      <c r="G21" s="16">
        <f t="shared" si="5"/>
        <v>44874</v>
      </c>
      <c r="H21" s="55" t="str">
        <f t="shared" si="3"/>
        <v>001-011</v>
      </c>
      <c r="I21" s="56">
        <f t="shared" si="4"/>
        <v>101</v>
      </c>
    </row>
    <row r="22" spans="1:9" s="272" customFormat="1" ht="12.75" customHeight="1">
      <c r="A22" s="115" t="s">
        <v>203</v>
      </c>
      <c r="B22" s="54"/>
      <c r="C22" s="16">
        <f t="shared" si="6"/>
        <v>0</v>
      </c>
      <c r="D22" s="112"/>
      <c r="E22" s="16">
        <f t="shared" si="1"/>
        <v>-2769</v>
      </c>
      <c r="F22" s="16"/>
      <c r="G22" s="16">
        <f t="shared" si="5"/>
        <v>-2769</v>
      </c>
      <c r="H22" s="55" t="str">
        <f>IF(ISNA(VLOOKUP($F$5 &amp; A22, AllocSched,9,FALSE))," ",VLOOKUP($F$5 &amp; A22, AllocSched,9,FALSE))</f>
        <v>001-011</v>
      </c>
      <c r="I22" s="56">
        <f>IF(ISNA(VLOOKUP($F$5 &amp; A22, AllocSched,14,FALSE))," ",VLOOKUP($F$5 &amp; A22, AllocSched,14,FALSE))</f>
        <v>101</v>
      </c>
    </row>
    <row r="23" spans="1:9" s="272" customFormat="1" ht="12.75" customHeight="1">
      <c r="A23" s="115" t="s">
        <v>454</v>
      </c>
      <c r="B23" s="54"/>
      <c r="C23" s="16">
        <f t="shared" si="6"/>
        <v>0</v>
      </c>
      <c r="D23" s="112"/>
      <c r="E23" s="16">
        <f t="shared" si="1"/>
        <v>-2057</v>
      </c>
      <c r="F23" s="16"/>
      <c r="G23" s="16">
        <f t="shared" si="5"/>
        <v>-2057</v>
      </c>
      <c r="H23" s="55" t="str">
        <f>IF(ISNA(VLOOKUP($F$5 &amp; A23, AllocSched,9,FALSE))," ",VLOOKUP($F$5 &amp; A23, AllocSched,9,FALSE))</f>
        <v>001-011</v>
      </c>
      <c r="I23" s="56">
        <f>IF(ISNA(VLOOKUP($F$5 &amp; A23, AllocSched,14,FALSE))," ",VLOOKUP($F$5 &amp; A23, AllocSched,14,FALSE))</f>
        <v>101</v>
      </c>
    </row>
    <row r="24" spans="1:9" ht="12.75" customHeight="1">
      <c r="A24" s="115"/>
      <c r="B24" s="54"/>
      <c r="C24" s="16"/>
      <c r="D24" s="112"/>
      <c r="E24" s="16"/>
      <c r="F24" s="16"/>
      <c r="G24" s="16"/>
      <c r="H24" s="55" t="str">
        <f t="shared" ref="H24:H36" si="7">IF(ISNA(VLOOKUP($F$5 &amp; A24, AllocSched,9,FALSE))," ",VLOOKUP($F$5 &amp; A24, AllocSched,9,FALSE))</f>
        <v xml:space="preserve"> </v>
      </c>
      <c r="I24" s="56" t="str">
        <f t="shared" si="4"/>
        <v xml:space="preserve"> </v>
      </c>
    </row>
    <row r="25" spans="1:9" s="83" customFormat="1">
      <c r="A25" s="114" t="s">
        <v>168</v>
      </c>
      <c r="B25" s="84"/>
      <c r="C25" s="16"/>
      <c r="D25" s="112"/>
      <c r="E25" s="16"/>
      <c r="F25" s="16"/>
      <c r="G25" s="16"/>
      <c r="H25" s="55" t="str">
        <f t="shared" si="7"/>
        <v xml:space="preserve"> </v>
      </c>
      <c r="I25" s="56" t="str">
        <f t="shared" si="4"/>
        <v xml:space="preserve"> </v>
      </c>
    </row>
    <row r="26" spans="1:9" s="83" customFormat="1">
      <c r="A26" s="38" t="s">
        <v>345</v>
      </c>
      <c r="B26" s="84"/>
      <c r="C26" s="16">
        <f>IF(ISNA(VLOOKUP($F$5 &amp;A26, AllocSched,12,FALSE)),"-",VLOOKUP($F$5 &amp;A26, AllocSched,12,FALSE))</f>
        <v>157760</v>
      </c>
      <c r="D26" s="112"/>
      <c r="E26" s="16">
        <f t="shared" ref="E26:E38" si="8">IF(ISNA(VLOOKUP($F$5 &amp; A26, AllocSched,13,FALSE)),"-",VLOOKUP($F$5 &amp; A26, AllocSched,13,FALSE))</f>
        <v>0</v>
      </c>
      <c r="F26" s="16"/>
      <c r="G26" s="16">
        <f>IF(C26="-",E26,C26+E26)</f>
        <v>157760</v>
      </c>
      <c r="H26" s="55" t="str">
        <f>IF(ISNA(VLOOKUP($F$5 &amp; A26, AllocSched,9,FALSE))," ",VLOOKUP($F$5 &amp; A26, AllocSched,9,FALSE))</f>
        <v>001-011</v>
      </c>
      <c r="I26" s="56">
        <f>IF(ISNA(VLOOKUP($F$5 &amp; A26, AllocSched,14,FALSE))," ",VLOOKUP($F$5 &amp; A26, AllocSched,14,FALSE))</f>
        <v>101</v>
      </c>
    </row>
    <row r="27" spans="1:9" ht="12.75" customHeight="1">
      <c r="A27" s="38" t="s">
        <v>409</v>
      </c>
      <c r="C27" s="16">
        <f>IF(ISNA(VLOOKUP($F$5 &amp;A27, AllocSched,12,FALSE)),"-",VLOOKUP($F$5 &amp;A27, AllocSched,12,FALSE))</f>
        <v>41214</v>
      </c>
      <c r="D27" s="112"/>
      <c r="E27" s="16">
        <f t="shared" si="8"/>
        <v>-41214</v>
      </c>
      <c r="F27" s="16"/>
      <c r="G27" s="16">
        <f>IF(C27="-",E27,C27+E27)</f>
        <v>0</v>
      </c>
      <c r="H27" s="55" t="str">
        <f>IF(ISNA(VLOOKUP($F$5 &amp; A27, AllocSched,9,FALSE))," ",VLOOKUP($F$5 &amp; A27, AllocSched,9,FALSE))</f>
        <v>001-011</v>
      </c>
      <c r="I27" s="56">
        <f>IF(ISNA(VLOOKUP($F$5 &amp; A27, AllocSched,14,FALSE))," ",VLOOKUP($F$5 &amp; A27, AllocSched,14,FALSE))</f>
        <v>101</v>
      </c>
    </row>
    <row r="28" spans="1:9" ht="12.75" customHeight="1">
      <c r="A28" s="38" t="s">
        <v>170</v>
      </c>
      <c r="C28" s="16">
        <f t="shared" ref="C28:C35" si="9">IF(ISNA(VLOOKUP($F$5 &amp;A28, AllocSched,12,FALSE)),"-",VLOOKUP($F$5 &amp;A28, AllocSched,12,FALSE))</f>
        <v>48834</v>
      </c>
      <c r="D28" s="112"/>
      <c r="E28" s="16">
        <f t="shared" si="8"/>
        <v>-3990</v>
      </c>
      <c r="F28" s="16"/>
      <c r="G28" s="16">
        <f t="shared" ref="G28:G34" si="10">IF(C28="-",E28,C28+E28)</f>
        <v>44844</v>
      </c>
      <c r="H28" s="55" t="str">
        <f t="shared" si="7"/>
        <v>001-011</v>
      </c>
      <c r="I28" s="56">
        <f t="shared" si="4"/>
        <v>101</v>
      </c>
    </row>
    <row r="29" spans="1:9" ht="12.75" customHeight="1">
      <c r="A29" s="115" t="s">
        <v>151</v>
      </c>
      <c r="B29" s="54"/>
      <c r="C29" s="16">
        <f t="shared" si="9"/>
        <v>263700</v>
      </c>
      <c r="D29" s="112"/>
      <c r="E29" s="16">
        <f t="shared" si="8"/>
        <v>-13700</v>
      </c>
      <c r="F29" s="16"/>
      <c r="G29" s="16">
        <f t="shared" si="10"/>
        <v>250000</v>
      </c>
      <c r="H29" s="55" t="str">
        <f t="shared" si="7"/>
        <v>08A-3E0</v>
      </c>
      <c r="I29" s="56" t="str">
        <f t="shared" si="4"/>
        <v>3E0</v>
      </c>
    </row>
    <row r="30" spans="1:9" ht="12.75" customHeight="1">
      <c r="A30" s="115" t="s">
        <v>150</v>
      </c>
      <c r="B30" s="54"/>
      <c r="C30" s="16">
        <f t="shared" si="9"/>
        <v>29412</v>
      </c>
      <c r="D30" s="112"/>
      <c r="E30" s="16">
        <f t="shared" si="8"/>
        <v>0</v>
      </c>
      <c r="F30" s="16"/>
      <c r="G30" s="16">
        <f t="shared" si="10"/>
        <v>29412</v>
      </c>
      <c r="H30" s="55" t="str">
        <f t="shared" si="7"/>
        <v>001-011</v>
      </c>
      <c r="I30" s="56">
        <f t="shared" si="4"/>
        <v>101</v>
      </c>
    </row>
    <row r="31" spans="1:9" ht="12.75" customHeight="1">
      <c r="A31" s="115" t="s">
        <v>272</v>
      </c>
      <c r="B31" s="54"/>
      <c r="C31" s="16">
        <f t="shared" si="9"/>
        <v>13132</v>
      </c>
      <c r="D31" s="112"/>
      <c r="E31" s="16">
        <f t="shared" si="8"/>
        <v>0</v>
      </c>
      <c r="F31" s="16"/>
      <c r="G31" s="16">
        <f t="shared" si="10"/>
        <v>13132</v>
      </c>
      <c r="H31" s="55" t="str">
        <f t="shared" si="7"/>
        <v>001-BD1</v>
      </c>
      <c r="I31" s="56" t="str">
        <f t="shared" si="4"/>
        <v>BD1</v>
      </c>
    </row>
    <row r="32" spans="1:9" ht="12.75" customHeight="1">
      <c r="A32" s="115" t="s">
        <v>273</v>
      </c>
      <c r="B32" s="54"/>
      <c r="C32" s="16">
        <f>IF(ISNA(VLOOKUP($F$5 &amp;A32, AllocSched,12,FALSE)),"-",VLOOKUP($F$5 &amp;A32, AllocSched,12,FALSE))</f>
        <v>115435</v>
      </c>
      <c r="D32" s="112"/>
      <c r="E32" s="16">
        <f t="shared" si="8"/>
        <v>-115435</v>
      </c>
      <c r="F32" s="16"/>
      <c r="G32" s="16">
        <f>IF(C32="-",E32,C32+E32)</f>
        <v>0</v>
      </c>
      <c r="H32" s="55" t="str">
        <f>IF(ISNA(VLOOKUP($F$5 &amp; A32, AllocSched,9,FALSE))," ",VLOOKUP($F$5 &amp; A32, AllocSched,9,FALSE))</f>
        <v>001-BD1</v>
      </c>
      <c r="I32" s="56" t="str">
        <f>IF(ISNA(VLOOKUP($F$5 &amp; A32, AllocSched,14,FALSE))," ",VLOOKUP($F$5 &amp; A32, AllocSched,14,FALSE))</f>
        <v>BD1</v>
      </c>
    </row>
    <row r="33" spans="1:11" ht="12.75" customHeight="1">
      <c r="A33" s="115" t="s">
        <v>6</v>
      </c>
      <c r="B33" s="54"/>
      <c r="C33" s="16">
        <f t="shared" si="9"/>
        <v>20856</v>
      </c>
      <c r="D33" s="112"/>
      <c r="E33" s="16">
        <f t="shared" si="8"/>
        <v>4504</v>
      </c>
      <c r="F33" s="16"/>
      <c r="G33" s="16">
        <f t="shared" si="10"/>
        <v>25360</v>
      </c>
      <c r="H33" s="55" t="str">
        <f t="shared" si="7"/>
        <v>001-011</v>
      </c>
      <c r="I33" s="56">
        <f t="shared" si="4"/>
        <v>101</v>
      </c>
    </row>
    <row r="34" spans="1:11" ht="12.75" customHeight="1">
      <c r="A34" s="115" t="s">
        <v>333</v>
      </c>
      <c r="B34" s="54"/>
      <c r="C34" s="16">
        <f t="shared" si="9"/>
        <v>99940</v>
      </c>
      <c r="D34" s="112"/>
      <c r="E34" s="16">
        <f t="shared" si="8"/>
        <v>0</v>
      </c>
      <c r="F34" s="16"/>
      <c r="G34" s="16">
        <f t="shared" si="10"/>
        <v>99940</v>
      </c>
      <c r="H34" s="55" t="str">
        <f t="shared" si="7"/>
        <v>001-011</v>
      </c>
      <c r="I34" s="56">
        <f t="shared" si="4"/>
        <v>101</v>
      </c>
    </row>
    <row r="35" spans="1:11" ht="12.75" customHeight="1">
      <c r="A35" s="115" t="s">
        <v>332</v>
      </c>
      <c r="B35" s="54"/>
      <c r="C35" s="16">
        <f t="shared" si="9"/>
        <v>477383</v>
      </c>
      <c r="D35" s="112"/>
      <c r="E35" s="16">
        <f t="shared" si="8"/>
        <v>0</v>
      </c>
      <c r="F35" s="16"/>
      <c r="G35" s="16">
        <f>IF(C35="-",E35,C35+E35)</f>
        <v>477383</v>
      </c>
      <c r="H35" s="55" t="str">
        <f t="shared" si="7"/>
        <v>001-AC1</v>
      </c>
      <c r="I35" s="56">
        <f t="shared" si="4"/>
        <v>123</v>
      </c>
    </row>
    <row r="36" spans="1:11" ht="12.75" customHeight="1">
      <c r="A36" s="115" t="s">
        <v>767</v>
      </c>
      <c r="B36" s="54"/>
      <c r="C36" s="16" t="str">
        <f>IF(ISNA(VLOOKUP($F$5 &amp;A36, AllocSched,12,FALSE)),"-",VLOOKUP($F$5 &amp;A36, AllocSched,12,FALSE))</f>
        <v>-</v>
      </c>
      <c r="D36" s="112"/>
      <c r="E36" s="16" t="str">
        <f t="shared" si="8"/>
        <v>-</v>
      </c>
      <c r="F36" s="16"/>
      <c r="G36" s="16" t="str">
        <f>IF(C36="-",E36,C36+E36)</f>
        <v>-</v>
      </c>
      <c r="H36" s="55" t="str">
        <f t="shared" si="7"/>
        <v xml:space="preserve"> </v>
      </c>
      <c r="I36" s="56" t="str">
        <f t="shared" si="4"/>
        <v xml:space="preserve"> </v>
      </c>
    </row>
    <row r="37" spans="1:11" s="272" customFormat="1" ht="12.75" customHeight="1">
      <c r="A37" s="281" t="s">
        <v>451</v>
      </c>
      <c r="B37" s="54"/>
      <c r="C37" s="16">
        <f>IF(ISNA(VLOOKUP($F$5 &amp;A37, AllocSched,12,FALSE)),"-",VLOOKUP($F$5 &amp;A37, AllocSched,12,FALSE))</f>
        <v>0</v>
      </c>
      <c r="D37" s="112"/>
      <c r="E37" s="16">
        <f t="shared" si="8"/>
        <v>68193</v>
      </c>
      <c r="F37" s="16"/>
      <c r="G37" s="16">
        <f>IF(C37="-",E37,C37+E37)</f>
        <v>68193</v>
      </c>
      <c r="H37" s="55" t="str">
        <f>IF(ISNA(VLOOKUP($F$5 &amp; A37, AllocSched,9,FALSE))," ",VLOOKUP($F$5 &amp; A37, AllocSched,9,FALSE))</f>
        <v>001-011</v>
      </c>
      <c r="I37" s="56">
        <f>IF(ISNA(VLOOKUP($F$5 &amp; A37, AllocSched,14,FALSE))," ",VLOOKUP($F$5 &amp; A37, AllocSched,14,FALSE))</f>
        <v>101</v>
      </c>
    </row>
    <row r="38" spans="1:11" s="272" customFormat="1" ht="12.75" customHeight="1">
      <c r="A38" s="281" t="s">
        <v>452</v>
      </c>
      <c r="B38" s="54"/>
      <c r="C38" s="16" t="str">
        <f>IF(ISNA(VLOOKUP($F$5 &amp;A38, AllocSched,12,FALSE)),"-",VLOOKUP($F$5 &amp;A38, AllocSched,12,FALSE))</f>
        <v>-</v>
      </c>
      <c r="D38" s="112"/>
      <c r="E38" s="16" t="str">
        <f t="shared" si="8"/>
        <v>-</v>
      </c>
      <c r="F38" s="16"/>
      <c r="G38" s="16" t="str">
        <f>IF(C38="-",E38,C38+E38)</f>
        <v>-</v>
      </c>
      <c r="H38" s="55" t="str">
        <f>IF(ISNA(VLOOKUP($F$5 &amp; A38, AllocSched,9,FALSE))," ",VLOOKUP($F$5 &amp; A38, AllocSched,9,FALSE))</f>
        <v xml:space="preserve"> </v>
      </c>
      <c r="I38" s="56" t="str">
        <f>IF(ISNA(VLOOKUP($F$5 &amp; A38, AllocSched,14,FALSE))," ",VLOOKUP($F$5 &amp; A38, AllocSched,14,FALSE))</f>
        <v xml:space="preserve"> </v>
      </c>
    </row>
    <row r="39" spans="1:11" ht="12.75" customHeight="1">
      <c r="A39" s="54"/>
      <c r="B39" s="54"/>
      <c r="C39" s="16"/>
      <c r="D39" s="112"/>
      <c r="E39" s="16"/>
      <c r="F39" s="16"/>
      <c r="G39" s="16"/>
      <c r="H39" s="55"/>
      <c r="I39" s="56"/>
    </row>
    <row r="40" spans="1:11" ht="13.5" thickBot="1">
      <c r="A40" s="89" t="s">
        <v>174</v>
      </c>
      <c r="B40" s="57" t="s">
        <v>51</v>
      </c>
      <c r="C40" s="111">
        <f>SUM(C16:C38)</f>
        <v>11189893</v>
      </c>
      <c r="D40" s="113" t="s">
        <v>51</v>
      </c>
      <c r="E40" s="111">
        <f>SUM(E16:E38)</f>
        <v>808300</v>
      </c>
      <c r="F40" s="113" t="s">
        <v>51</v>
      </c>
      <c r="G40" s="111">
        <f>SUM(G16:G38)</f>
        <v>11998193</v>
      </c>
      <c r="J40" s="25"/>
      <c r="K40" s="30"/>
    </row>
    <row r="41" spans="1:11" ht="12.75" customHeight="1" thickTop="1">
      <c r="A41" s="84"/>
      <c r="B41" s="84"/>
      <c r="C41" s="58">
        <v>0</v>
      </c>
      <c r="D41" s="58"/>
      <c r="E41" s="90"/>
      <c r="F41" s="90"/>
      <c r="G41" s="90"/>
    </row>
    <row r="42" spans="1:11" s="65" customFormat="1" ht="25.5">
      <c r="A42" s="59" t="s">
        <v>156</v>
      </c>
      <c r="B42" s="60"/>
      <c r="C42" s="61"/>
      <c r="D42" s="62"/>
      <c r="E42" s="63" t="s">
        <v>67</v>
      </c>
      <c r="F42" s="62"/>
      <c r="G42" s="64" t="s">
        <v>163</v>
      </c>
      <c r="H42" s="64" t="s">
        <v>164</v>
      </c>
      <c r="I42" s="98" t="s">
        <v>70</v>
      </c>
    </row>
    <row r="43" spans="1:11" s="65" customFormat="1" ht="12.75" customHeight="1">
      <c r="A43" s="66" t="s">
        <v>240</v>
      </c>
      <c r="B43" s="67"/>
      <c r="C43" s="68"/>
      <c r="E43" s="66" t="s">
        <v>388</v>
      </c>
      <c r="G43" s="150">
        <f>VLOOKUP($F$5 &amp; $A43 &amp; $E43,AddRes,7,FALSE)</f>
        <v>0</v>
      </c>
      <c r="H43" s="150">
        <f>VLOOKUP($F$5 &amp; $A43 &amp; $E43,AddRes,8,FALSE)</f>
        <v>0</v>
      </c>
      <c r="I43" s="69">
        <f>VLOOKUP($F$5 &amp; $A43 &amp; $E43,AddRes,10,FALSE)</f>
        <v>42277</v>
      </c>
    </row>
    <row r="44" spans="1:11" s="65" customFormat="1" ht="12.75" customHeight="1">
      <c r="A44" s="66" t="s">
        <v>497</v>
      </c>
      <c r="B44" s="67"/>
      <c r="C44" s="26" t="s">
        <v>403</v>
      </c>
      <c r="E44" s="66" t="s">
        <v>737</v>
      </c>
      <c r="G44" s="150">
        <f>VLOOKUP($F$5 &amp; $A44 &amp; $E44,AddRes,7,FALSE)</f>
        <v>0</v>
      </c>
      <c r="H44" s="150">
        <f>VLOOKUP($F$5 &amp; $A44 &amp; $E44,AddRes,8,FALSE)</f>
        <v>0</v>
      </c>
      <c r="I44" s="69">
        <f>VLOOKUP($F$5 &amp; $A44 &amp; $E44,AddRes,10,FALSE)</f>
        <v>42551</v>
      </c>
    </row>
    <row r="45" spans="1:11" s="65" customFormat="1" ht="12.75" customHeight="1">
      <c r="A45" s="66" t="s">
        <v>498</v>
      </c>
      <c r="B45" s="67"/>
      <c r="C45" s="26" t="s">
        <v>403</v>
      </c>
      <c r="E45" s="66" t="s">
        <v>738</v>
      </c>
      <c r="G45" s="150">
        <f>VLOOKUP($F$5 &amp; $A45 &amp; $E45,AddRes,7,FALSE)</f>
        <v>0</v>
      </c>
      <c r="H45" s="150">
        <f>VLOOKUP($F$5 &amp; $A45 &amp; $E45,AddRes,8,FALSE)</f>
        <v>0</v>
      </c>
      <c r="I45" s="69">
        <f>VLOOKUP($F$5 &amp; $A45 &amp; $E45,AddRes,10,FALSE)</f>
        <v>42551</v>
      </c>
    </row>
    <row r="46" spans="1:11" s="65" customFormat="1" ht="12.75" customHeight="1">
      <c r="A46" s="66" t="s">
        <v>505</v>
      </c>
      <c r="B46" s="67"/>
      <c r="C46" s="26" t="s">
        <v>403</v>
      </c>
      <c r="E46" s="66" t="s">
        <v>739</v>
      </c>
      <c r="G46" s="150">
        <f>VLOOKUP($F$5 &amp; $A46 &amp; $E46,AddRes,7,FALSE)</f>
        <v>0</v>
      </c>
      <c r="H46" s="150">
        <f>VLOOKUP($F$5 &amp; $A46 &amp; $E46,AddRes,8,FALSE)</f>
        <v>0</v>
      </c>
      <c r="I46" s="69">
        <f>VLOOKUP($F$5 &amp; $A46 &amp; $E46,AddRes,10,FALSE)</f>
        <v>42551</v>
      </c>
    </row>
    <row r="47" spans="1:11" s="65" customFormat="1" ht="12.75" customHeight="1">
      <c r="A47" s="66" t="s">
        <v>242</v>
      </c>
      <c r="B47" s="67"/>
      <c r="C47" s="68"/>
      <c r="E47" s="66" t="s">
        <v>389</v>
      </c>
      <c r="G47" s="150">
        <f t="shared" ref="G47" si="11">VLOOKUP($F$5 &amp; $A47 &amp; $E47,AddRes,7,FALSE)</f>
        <v>0</v>
      </c>
      <c r="H47" s="150">
        <f t="shared" ref="H47" si="12">VLOOKUP($F$5 &amp; $A47 &amp; $E47,AddRes,8,FALSE)</f>
        <v>0</v>
      </c>
      <c r="I47" s="69">
        <f t="shared" ref="I47" si="13">VLOOKUP($F$5 &amp; $A47 &amp; $E47,AddRes,10,FALSE)</f>
        <v>42551</v>
      </c>
    </row>
    <row r="48" spans="1:11" s="65" customFormat="1" ht="12.75" customHeight="1">
      <c r="A48" s="66" t="s">
        <v>359</v>
      </c>
      <c r="B48" s="67"/>
      <c r="C48" s="68"/>
      <c r="E48" s="66" t="s">
        <v>740</v>
      </c>
      <c r="G48" s="150">
        <f>VLOOKUP($F$5 &amp; $A48 &amp; $E48,AddRes,7,FALSE)</f>
        <v>0</v>
      </c>
      <c r="H48" s="150">
        <f>VLOOKUP($F$5 &amp; $A48 &amp; $E48,AddRes,8,FALSE)</f>
        <v>0</v>
      </c>
      <c r="I48" s="69">
        <f>VLOOKUP($F$5 &amp; $A48 &amp; $E48,AddRes,10,FALSE)</f>
        <v>42551</v>
      </c>
    </row>
    <row r="49" spans="1:12" s="65" customFormat="1" ht="12.75" customHeight="1">
      <c r="A49" s="66" t="s">
        <v>231</v>
      </c>
      <c r="B49" s="67"/>
      <c r="C49" s="68"/>
      <c r="E49" s="66" t="s">
        <v>741</v>
      </c>
      <c r="G49" s="150">
        <f>VLOOKUP($F$5 &amp; $A49 &amp; $E49,AddRes,7,FALSE)</f>
        <v>0</v>
      </c>
      <c r="H49" s="150">
        <f>VLOOKUP($F$5 &amp; $A49 &amp; $E49,AddRes,8,FALSE)</f>
        <v>0</v>
      </c>
      <c r="I49" s="69">
        <f>VLOOKUP($F$5 &amp; $A49 &amp; $E49,AddRes,10,FALSE)</f>
        <v>42551</v>
      </c>
    </row>
    <row r="50" spans="1:12" s="65" customFormat="1" ht="12.75" customHeight="1">
      <c r="A50" s="66" t="s">
        <v>232</v>
      </c>
      <c r="B50" s="67"/>
      <c r="C50" s="68"/>
      <c r="E50" s="66" t="s">
        <v>742</v>
      </c>
      <c r="G50" s="150">
        <f>VLOOKUP($F$5 &amp; $A50 &amp; $E50,AddRes,7,FALSE)</f>
        <v>0</v>
      </c>
      <c r="H50" s="150">
        <f>VLOOKUP($F$5 &amp; $A50 &amp; $E50,AddRes,8,FALSE)</f>
        <v>0</v>
      </c>
      <c r="I50" s="69">
        <f>VLOOKUP($F$5 &amp; $A50 &amp; $E50,AddRes,10,FALSE)</f>
        <v>42551</v>
      </c>
    </row>
    <row r="51" spans="1:12" s="65" customFormat="1" ht="12.75" customHeight="1">
      <c r="A51" s="66"/>
      <c r="C51" s="70"/>
      <c r="D51" s="70"/>
      <c r="E51" s="70"/>
      <c r="F51" s="70"/>
      <c r="G51" s="71"/>
      <c r="H51" s="72"/>
      <c r="I51" s="73"/>
      <c r="K51" s="75"/>
      <c r="L51" s="75"/>
    </row>
    <row r="52" spans="1:12" s="65" customFormat="1" ht="12.75" customHeight="1">
      <c r="A52" s="66"/>
      <c r="C52" s="74" t="s">
        <v>71</v>
      </c>
      <c r="D52" s="70"/>
      <c r="E52" s="70"/>
      <c r="F52" s="70"/>
      <c r="G52" s="75">
        <f>SUM(G43:G50)</f>
        <v>0</v>
      </c>
      <c r="H52" s="75">
        <f>SUM(H43:H50)</f>
        <v>0</v>
      </c>
      <c r="I52" s="73"/>
    </row>
    <row r="53" spans="1:12" s="65" customFormat="1" ht="12.75" customHeight="1">
      <c r="C53" s="70"/>
      <c r="D53" s="70"/>
      <c r="E53" s="70"/>
      <c r="F53" s="70"/>
      <c r="G53" s="70"/>
      <c r="I53" s="73"/>
    </row>
    <row r="54" spans="1:12" s="65" customFormat="1" ht="12.75" customHeight="1">
      <c r="C54" s="70"/>
      <c r="D54" s="70"/>
      <c r="E54" s="70"/>
      <c r="F54" s="70"/>
      <c r="G54" s="70"/>
      <c r="I54" s="73"/>
    </row>
    <row r="55" spans="1:12" s="65" customFormat="1" ht="12.75" customHeight="1">
      <c r="C55" s="70"/>
      <c r="D55" s="70"/>
      <c r="E55" s="70"/>
      <c r="F55" s="70"/>
      <c r="G55" s="70"/>
      <c r="I55" s="73"/>
    </row>
    <row r="56" spans="1:12" s="65" customFormat="1" ht="12.75" customHeight="1">
      <c r="C56" s="70"/>
      <c r="D56" s="70"/>
      <c r="E56" s="70"/>
      <c r="F56" s="70"/>
      <c r="G56" s="70"/>
      <c r="I56" s="73"/>
    </row>
    <row r="57" spans="1:12" s="65" customFormat="1" ht="12.75" customHeight="1">
      <c r="C57" s="70"/>
      <c r="D57" s="70"/>
      <c r="E57" s="70"/>
      <c r="F57" s="70"/>
      <c r="G57" s="70"/>
      <c r="I57" s="73"/>
    </row>
    <row r="58" spans="1:12" s="65" customFormat="1" ht="12.75" customHeight="1">
      <c r="C58" s="70"/>
      <c r="D58" s="70"/>
      <c r="E58" s="70"/>
      <c r="F58" s="70"/>
      <c r="G58" s="70"/>
      <c r="I58" s="73"/>
    </row>
    <row r="59" spans="1:12" s="65" customFormat="1" ht="12.75" customHeight="1">
      <c r="C59" s="70"/>
      <c r="D59" s="70"/>
      <c r="E59" s="70"/>
      <c r="F59" s="70"/>
      <c r="G59" s="70"/>
      <c r="I59" s="73"/>
    </row>
    <row r="60" spans="1:12" s="65" customFormat="1" ht="12.75" customHeight="1">
      <c r="C60" s="70"/>
      <c r="D60" s="70"/>
      <c r="E60" s="70"/>
      <c r="F60" s="70"/>
      <c r="G60" s="70"/>
      <c r="I60" s="73"/>
    </row>
    <row r="61" spans="1:12" s="65" customFormat="1" ht="12.75" customHeight="1">
      <c r="C61" s="70"/>
      <c r="D61" s="70"/>
      <c r="E61" s="70"/>
      <c r="F61" s="70"/>
      <c r="G61" s="70"/>
      <c r="I61" s="73"/>
    </row>
    <row r="62" spans="1:12" s="65" customFormat="1" ht="12.75" customHeight="1">
      <c r="C62" s="70"/>
      <c r="D62" s="70"/>
      <c r="E62" s="70"/>
      <c r="F62" s="70"/>
      <c r="G62" s="70"/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</sheetData>
  <mergeCells count="2">
    <mergeCell ref="A8:I8"/>
    <mergeCell ref="G5:I5"/>
  </mergeCells>
  <phoneticPr fontId="0" type="noConversion"/>
  <conditionalFormatting sqref="G40">
    <cfRule type="cellIs" dxfId="4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L143"/>
  <sheetViews>
    <sheetView topLeftCell="A7" zoomScaleNormal="100" workbookViewId="0">
      <selection activeCell="E10" sqref="E10"/>
    </sheetView>
  </sheetViews>
  <sheetFormatPr defaultColWidth="9.140625" defaultRowHeight="12.75" customHeight="1"/>
  <cols>
    <col min="1" max="1" width="42.1406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3.5703125" style="23" bestFit="1" customWidth="1"/>
    <col min="11" max="11" width="12.42578125" style="23" bestFit="1" customWidth="1"/>
    <col min="12" max="12" width="12.85546875" style="23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135</v>
      </c>
      <c r="G5" s="505" t="str">
        <f>VLOOKUP($F5,District,2,FALSE)</f>
        <v>Whatcom Community College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2414</v>
      </c>
      <c r="D10" s="48"/>
      <c r="E10" s="48">
        <f>IF(ISNA(VLOOKUP($F$5,Student,14,FALSE)),0,VLOOKUP($F$5,Student,14,FALSE))</f>
        <v>0</v>
      </c>
      <c r="F10" s="48"/>
      <c r="G10" s="48">
        <f>$E$10+$C$10+$A$10</f>
        <v>2414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17" si="0">IF(ISNA(VLOOKUP($F$5 &amp;A16, AllocSched,12,FALSE)),"-",VLOOKUP($F$5 &amp;A16, AllocSched,12,FALSE))</f>
        <v>8662236</v>
      </c>
      <c r="D16" s="112" t="s">
        <v>51</v>
      </c>
      <c r="E16" s="16">
        <f t="shared" ref="E16" si="1">IF(ISNA(VLOOKUP($F$5 &amp; A16, AllocSched,13,FALSE)),"-",VLOOKUP($F$5 &amp; A16, AllocSched,13,FALSE))</f>
        <v>-10051</v>
      </c>
      <c r="F16" s="16" t="s">
        <v>51</v>
      </c>
      <c r="G16" s="16">
        <f t="shared" ref="G16:G23" si="2">IF(C16="-",E16,C16+E16)</f>
        <v>8652185</v>
      </c>
      <c r="H16" s="55" t="str">
        <f t="shared" ref="H16:H36" si="3">IF(ISNA(VLOOKUP($F$5 &amp; A16, AllocSched,9,FALSE))," ",VLOOKUP($F$5 &amp; A16, AllocSched,9,FALSE))</f>
        <v>001-011</v>
      </c>
      <c r="I16" s="56">
        <f t="shared" ref="I16:I36" si="4">IF(ISNA(VLOOKUP($F$5 &amp; A16, AllocSched,14,FALSE))," ",VLOOKUP($F$5 &amp; A16, AllocSched,14,FALSE))</f>
        <v>101</v>
      </c>
    </row>
    <row r="17" spans="1:9" ht="12.75" customHeight="1">
      <c r="A17" s="115" t="s">
        <v>171</v>
      </c>
      <c r="B17" s="54"/>
      <c r="C17" s="16">
        <f t="shared" si="0"/>
        <v>1047225</v>
      </c>
      <c r="D17" s="112"/>
      <c r="E17" s="16">
        <f t="shared" ref="E17:E23" si="5">IF(ISNA(VLOOKUP($F$5 &amp; A17, AllocSched,13,FALSE)),"-",VLOOKUP($F$5 &amp; A17, AllocSched,13,FALSE))</f>
        <v>10051</v>
      </c>
      <c r="F17" s="16"/>
      <c r="G17" s="16">
        <f t="shared" si="2"/>
        <v>1057276</v>
      </c>
      <c r="H17" s="55" t="str">
        <f t="shared" si="3"/>
        <v>08A-3E0</v>
      </c>
      <c r="I17" s="56" t="str">
        <f t="shared" si="4"/>
        <v>3E0</v>
      </c>
    </row>
    <row r="18" spans="1:9" s="272" customFormat="1" ht="12.75" customHeight="1">
      <c r="A18" s="38" t="s">
        <v>781</v>
      </c>
      <c r="B18" s="54"/>
      <c r="C18" s="16">
        <f t="shared" ref="C18:C23" si="6">IF(ISNA(VLOOKUP($F$5 &amp;A18, AllocSched,12,FALSE)),"-",VLOOKUP($F$5 &amp;A18, AllocSched,12,FALSE))</f>
        <v>0</v>
      </c>
      <c r="D18" s="112"/>
      <c r="E18" s="16">
        <f t="shared" si="5"/>
        <v>61820</v>
      </c>
      <c r="F18" s="16"/>
      <c r="G18" s="16">
        <f t="shared" si="2"/>
        <v>61820</v>
      </c>
      <c r="H18" s="55" t="str">
        <f t="shared" ref="H18:H23" si="7">IF(ISNA(VLOOKUP($F$5 &amp; A18, AllocSched,9,FALSE))," ",VLOOKUP($F$5 &amp; A18, AllocSched,9,FALSE))</f>
        <v>001-011</v>
      </c>
      <c r="I18" s="56">
        <f>IF(ISNA(VLOOKUP($F$5 &amp; A18, AllocSched,14,FALSE))," ",VLOOKUP($F$5 &amp; A18, AllocSched,14,FALSE))</f>
        <v>101</v>
      </c>
    </row>
    <row r="19" spans="1:9" s="272" customFormat="1" ht="12.75" customHeight="1">
      <c r="A19" s="115" t="s">
        <v>448</v>
      </c>
      <c r="B19" s="54"/>
      <c r="C19" s="16">
        <f t="shared" si="6"/>
        <v>0</v>
      </c>
      <c r="D19" s="112"/>
      <c r="E19" s="16">
        <f t="shared" si="5"/>
        <v>202260</v>
      </c>
      <c r="F19" s="16"/>
      <c r="G19" s="16">
        <f t="shared" si="2"/>
        <v>202260</v>
      </c>
      <c r="H19" s="55" t="str">
        <f t="shared" si="7"/>
        <v>001-011</v>
      </c>
      <c r="I19" s="56">
        <f>IF(ISNA(VLOOKUP($F$5 &amp; A19, AllocSched,14,FALSE))," ",VLOOKUP($F$5 &amp; A19, AllocSched,14,FALSE))</f>
        <v>101</v>
      </c>
    </row>
    <row r="20" spans="1:9" s="269" customFormat="1" ht="12.75" customHeight="1">
      <c r="A20" s="115" t="s">
        <v>340</v>
      </c>
      <c r="B20" s="54"/>
      <c r="C20" s="16">
        <f t="shared" si="6"/>
        <v>0</v>
      </c>
      <c r="D20" s="112"/>
      <c r="E20" s="16">
        <f t="shared" si="5"/>
        <v>556131</v>
      </c>
      <c r="F20" s="16"/>
      <c r="G20" s="16">
        <f t="shared" si="2"/>
        <v>556131</v>
      </c>
      <c r="H20" s="55" t="str">
        <f t="shared" si="7"/>
        <v>001-011</v>
      </c>
      <c r="I20" s="56">
        <f>IF(ISNA(VLOOKUP($F$5 &amp; A20, AllocSched,14,FALSE))," ",VLOOKUP($F$5 &amp; A20, AllocSched,14,FALSE))</f>
        <v>101</v>
      </c>
    </row>
    <row r="21" spans="1:9" ht="12.75" customHeight="1">
      <c r="A21" s="115" t="s">
        <v>207</v>
      </c>
      <c r="B21" s="54"/>
      <c r="C21" s="16">
        <f t="shared" si="6"/>
        <v>0</v>
      </c>
      <c r="D21" s="112"/>
      <c r="E21" s="16">
        <f t="shared" si="5"/>
        <v>41596</v>
      </c>
      <c r="F21" s="16"/>
      <c r="G21" s="16">
        <f t="shared" si="2"/>
        <v>41596</v>
      </c>
      <c r="H21" s="55" t="str">
        <f t="shared" si="7"/>
        <v>001-011</v>
      </c>
      <c r="I21" s="56">
        <f t="shared" si="4"/>
        <v>101</v>
      </c>
    </row>
    <row r="22" spans="1:9" s="272" customFormat="1" ht="12.75" customHeight="1">
      <c r="A22" s="115" t="s">
        <v>203</v>
      </c>
      <c r="B22" s="54"/>
      <c r="C22" s="16">
        <f t="shared" si="6"/>
        <v>0</v>
      </c>
      <c r="D22" s="112"/>
      <c r="E22" s="16">
        <f t="shared" si="5"/>
        <v>-2767</v>
      </c>
      <c r="F22" s="16"/>
      <c r="G22" s="16">
        <f t="shared" si="2"/>
        <v>-2767</v>
      </c>
      <c r="H22" s="55" t="str">
        <f t="shared" si="7"/>
        <v>001-011</v>
      </c>
      <c r="I22" s="56">
        <f>IF(ISNA(VLOOKUP($F$5 &amp; A22, AllocSched,14,FALSE))," ",VLOOKUP($F$5 &amp; A22, AllocSched,14,FALSE))</f>
        <v>101</v>
      </c>
    </row>
    <row r="23" spans="1:9" s="272" customFormat="1" ht="12.75" customHeight="1">
      <c r="A23" s="115" t="s">
        <v>454</v>
      </c>
      <c r="B23" s="54"/>
      <c r="C23" s="16">
        <f t="shared" si="6"/>
        <v>0</v>
      </c>
      <c r="D23" s="112"/>
      <c r="E23" s="16">
        <f t="shared" si="5"/>
        <v>3951</v>
      </c>
      <c r="F23" s="16"/>
      <c r="G23" s="16">
        <f t="shared" si="2"/>
        <v>3951</v>
      </c>
      <c r="H23" s="55" t="str">
        <f t="shared" si="7"/>
        <v>001-011</v>
      </c>
      <c r="I23" s="56">
        <f>IF(ISNA(VLOOKUP($F$5 &amp; A23, AllocSched,14,FALSE))," ",VLOOKUP($F$5 &amp; A23, AllocSched,14,FALSE))</f>
        <v>101</v>
      </c>
    </row>
    <row r="24" spans="1:9" ht="12.75" customHeight="1">
      <c r="A24" s="115"/>
      <c r="B24" s="54"/>
      <c r="C24" s="16"/>
      <c r="D24" s="112"/>
      <c r="E24" s="16"/>
      <c r="F24" s="16"/>
      <c r="G24" s="16"/>
      <c r="H24" s="55" t="str">
        <f t="shared" si="3"/>
        <v xml:space="preserve"> </v>
      </c>
      <c r="I24" s="56" t="str">
        <f t="shared" si="4"/>
        <v xml:space="preserve"> </v>
      </c>
    </row>
    <row r="25" spans="1:9" s="83" customFormat="1">
      <c r="A25" s="114" t="s">
        <v>168</v>
      </c>
      <c r="B25" s="84"/>
      <c r="C25" s="16"/>
      <c r="D25" s="112"/>
      <c r="E25" s="16"/>
      <c r="F25" s="16"/>
      <c r="G25" s="16"/>
      <c r="H25" s="55" t="str">
        <f t="shared" si="3"/>
        <v xml:space="preserve"> </v>
      </c>
      <c r="I25" s="56" t="str">
        <f t="shared" si="4"/>
        <v xml:space="preserve"> </v>
      </c>
    </row>
    <row r="26" spans="1:9" ht="12.75" customHeight="1">
      <c r="A26" s="38" t="s">
        <v>409</v>
      </c>
      <c r="C26" s="16">
        <f>IF(ISNA(VLOOKUP($F$5 &amp;A26, AllocSched,12,FALSE)),"-",VLOOKUP($F$5 &amp;A26, AllocSched,12,FALSE))</f>
        <v>32603</v>
      </c>
      <c r="D26" s="112"/>
      <c r="E26" s="16">
        <f>IF(ISNA(VLOOKUP($F$5 &amp; A26, AllocSched,13,FALSE)),"-",VLOOKUP($F$5 &amp; A26, AllocSched,13,FALSE))</f>
        <v>-32603</v>
      </c>
      <c r="F26" s="16"/>
      <c r="G26" s="16">
        <f>IF(C26="-",E26,C26+E26)</f>
        <v>0</v>
      </c>
      <c r="H26" s="55" t="str">
        <f>IF(ISNA(VLOOKUP($F$5 &amp; A26, AllocSched,9,FALSE))," ",VLOOKUP($F$5 &amp; A26, AllocSched,9,FALSE))</f>
        <v>001-011</v>
      </c>
      <c r="I26" s="56">
        <f>IF(ISNA(VLOOKUP($F$5 &amp; A26, AllocSched,14,FALSE))," ",VLOOKUP($F$5 &amp; A26, AllocSched,14,FALSE))</f>
        <v>101</v>
      </c>
    </row>
    <row r="27" spans="1:9" ht="12.75" customHeight="1">
      <c r="A27" s="38" t="s">
        <v>170</v>
      </c>
      <c r="C27" s="16">
        <f t="shared" ref="C27:C35" si="8">IF(ISNA(VLOOKUP($F$5 &amp;A27, AllocSched,12,FALSE)),"-",VLOOKUP($F$5 &amp;A27, AllocSched,12,FALSE))</f>
        <v>41919</v>
      </c>
      <c r="D27" s="112"/>
      <c r="E27" s="16">
        <f t="shared" ref="E27:E36" si="9">IF(ISNA(VLOOKUP($F$5 &amp; A27, AllocSched,13,FALSE)),"-",VLOOKUP($F$5 &amp; A27, AllocSched,13,FALSE))</f>
        <v>11972</v>
      </c>
      <c r="F27" s="16"/>
      <c r="G27" s="16">
        <f t="shared" ref="G27:G33" si="10">IF(C27="-",E27,C27+E27)</f>
        <v>53891</v>
      </c>
      <c r="H27" s="55" t="str">
        <f t="shared" si="3"/>
        <v>001-011</v>
      </c>
      <c r="I27" s="56">
        <f t="shared" si="4"/>
        <v>101</v>
      </c>
    </row>
    <row r="28" spans="1:9" ht="12.75" customHeight="1">
      <c r="A28" s="115" t="s">
        <v>162</v>
      </c>
      <c r="B28" s="54"/>
      <c r="C28" s="16">
        <f>IF(ISNA(VLOOKUP($F$5 &amp;A28, AllocSched,12,FALSE)),"-",VLOOKUP($F$5 &amp;A28, AllocSched,12,FALSE))</f>
        <v>278217</v>
      </c>
      <c r="D28" s="112"/>
      <c r="E28" s="16">
        <f>IF(ISNA(VLOOKUP($F$5 &amp; A28, AllocSched,13,FALSE)),"-",VLOOKUP($F$5 &amp; A28, AllocSched,13,FALSE))</f>
        <v>-278217</v>
      </c>
      <c r="F28" s="16"/>
      <c r="G28" s="16">
        <f>IF(C28="-",E28,C28+E28)</f>
        <v>0</v>
      </c>
      <c r="H28" s="55" t="str">
        <f>IF(ISNA(VLOOKUP($F$5 &amp; A28, AllocSched,9,FALSE))," ",VLOOKUP($F$5 &amp; A28, AllocSched,9,FALSE))</f>
        <v>001-011</v>
      </c>
      <c r="I28" s="56">
        <f>IF(ISNA(VLOOKUP($F$5 &amp; A28, AllocSched,14,FALSE))," ",VLOOKUP($F$5 &amp; A28, AllocSched,14,FALSE))</f>
        <v>101</v>
      </c>
    </row>
    <row r="29" spans="1:9" ht="12.75" customHeight="1">
      <c r="A29" s="115" t="s">
        <v>151</v>
      </c>
      <c r="B29" s="54"/>
      <c r="C29" s="16">
        <f t="shared" si="8"/>
        <v>106000</v>
      </c>
      <c r="D29" s="112"/>
      <c r="E29" s="16">
        <f t="shared" si="9"/>
        <v>0</v>
      </c>
      <c r="F29" s="16"/>
      <c r="G29" s="16">
        <f t="shared" si="10"/>
        <v>106000</v>
      </c>
      <c r="H29" s="55" t="str">
        <f t="shared" si="3"/>
        <v>08A-3E0</v>
      </c>
      <c r="I29" s="56" t="str">
        <f t="shared" si="4"/>
        <v>3E0</v>
      </c>
    </row>
    <row r="30" spans="1:9" ht="12.75" customHeight="1">
      <c r="A30" s="115" t="s">
        <v>150</v>
      </c>
      <c r="B30" s="54"/>
      <c r="C30" s="16">
        <f t="shared" si="8"/>
        <v>173412</v>
      </c>
      <c r="D30" s="112"/>
      <c r="E30" s="16">
        <f t="shared" si="9"/>
        <v>0</v>
      </c>
      <c r="F30" s="16"/>
      <c r="G30" s="16">
        <f t="shared" si="10"/>
        <v>173412</v>
      </c>
      <c r="H30" s="55" t="str">
        <f t="shared" si="3"/>
        <v>001-011</v>
      </c>
      <c r="I30" s="56">
        <f t="shared" si="4"/>
        <v>101</v>
      </c>
    </row>
    <row r="31" spans="1:9" ht="12.75" customHeight="1">
      <c r="A31" s="115" t="s">
        <v>272</v>
      </c>
      <c r="B31" s="54"/>
      <c r="C31" s="16">
        <f t="shared" si="8"/>
        <v>10171</v>
      </c>
      <c r="D31" s="112"/>
      <c r="E31" s="16">
        <f t="shared" si="9"/>
        <v>0</v>
      </c>
      <c r="F31" s="16"/>
      <c r="G31" s="16">
        <f t="shared" si="10"/>
        <v>10171</v>
      </c>
      <c r="H31" s="55" t="str">
        <f t="shared" si="3"/>
        <v>001-BD1</v>
      </c>
      <c r="I31" s="56" t="str">
        <f t="shared" si="4"/>
        <v>BD1</v>
      </c>
    </row>
    <row r="32" spans="1:9" ht="12.75" customHeight="1">
      <c r="A32" s="115" t="s">
        <v>273</v>
      </c>
      <c r="B32" s="54"/>
      <c r="C32" s="16">
        <f>IF(ISNA(VLOOKUP($F$5 &amp;A32, AllocSched,12,FALSE)),"-",VLOOKUP($F$5 &amp;A32, AllocSched,12,FALSE))</f>
        <v>134364</v>
      </c>
      <c r="D32" s="112"/>
      <c r="E32" s="16">
        <f>IF(ISNA(VLOOKUP($F$5 &amp; A32, AllocSched,13,FALSE)),"-",VLOOKUP($F$5 &amp; A32, AllocSched,13,FALSE))</f>
        <v>-134364</v>
      </c>
      <c r="F32" s="16"/>
      <c r="G32" s="16">
        <f>IF(C32="-",E32,C32+E32)</f>
        <v>0</v>
      </c>
      <c r="H32" s="55" t="str">
        <f>IF(ISNA(VLOOKUP($F$5 &amp; A32, AllocSched,9,FALSE))," ",VLOOKUP($F$5 &amp; A32, AllocSched,9,FALSE))</f>
        <v>001-BD1</v>
      </c>
      <c r="I32" s="56" t="str">
        <f>IF(ISNA(VLOOKUP($F$5 &amp; A32, AllocSched,14,FALSE))," ",VLOOKUP($F$5 &amp; A32, AllocSched,14,FALSE))</f>
        <v>BD1</v>
      </c>
    </row>
    <row r="33" spans="1:11" ht="12.75" customHeight="1">
      <c r="A33" s="115" t="s">
        <v>6</v>
      </c>
      <c r="B33" s="54"/>
      <c r="C33" s="16">
        <f t="shared" si="8"/>
        <v>10556</v>
      </c>
      <c r="D33" s="112"/>
      <c r="E33" s="16">
        <f t="shared" si="9"/>
        <v>5604</v>
      </c>
      <c r="F33" s="16"/>
      <c r="G33" s="16">
        <f t="shared" si="10"/>
        <v>16160</v>
      </c>
      <c r="H33" s="55" t="str">
        <f t="shared" si="3"/>
        <v>001-011</v>
      </c>
      <c r="I33" s="56">
        <f t="shared" si="4"/>
        <v>101</v>
      </c>
    </row>
    <row r="34" spans="1:11" ht="12.75" customHeight="1">
      <c r="A34" s="115" t="s">
        <v>333</v>
      </c>
      <c r="B34" s="54"/>
      <c r="C34" s="16">
        <f t="shared" si="8"/>
        <v>50175</v>
      </c>
      <c r="D34" s="112"/>
      <c r="E34" s="16">
        <f t="shared" si="9"/>
        <v>-15000</v>
      </c>
      <c r="F34" s="16"/>
      <c r="G34" s="16">
        <f>IF(C34="-",E34,C34+E34)</f>
        <v>35175</v>
      </c>
      <c r="H34" s="55" t="str">
        <f t="shared" si="3"/>
        <v>001-011</v>
      </c>
      <c r="I34" s="56">
        <f t="shared" si="4"/>
        <v>101</v>
      </c>
    </row>
    <row r="35" spans="1:11" ht="12.75" customHeight="1">
      <c r="A35" s="115" t="s">
        <v>332</v>
      </c>
      <c r="B35" s="54"/>
      <c r="C35" s="16">
        <f t="shared" si="8"/>
        <v>168023</v>
      </c>
      <c r="D35" s="112"/>
      <c r="E35" s="16">
        <f t="shared" si="9"/>
        <v>0</v>
      </c>
      <c r="F35" s="16"/>
      <c r="G35" s="16">
        <f>IF(C35="-",E35,C35+E35)</f>
        <v>168023</v>
      </c>
      <c r="H35" s="55" t="str">
        <f t="shared" si="3"/>
        <v>001-AC1</v>
      </c>
      <c r="I35" s="56">
        <f t="shared" si="4"/>
        <v>123</v>
      </c>
    </row>
    <row r="36" spans="1:11" ht="12.75" customHeight="1">
      <c r="A36" s="115" t="s">
        <v>767</v>
      </c>
      <c r="B36" s="54"/>
      <c r="C36" s="16" t="str">
        <f>IF(ISNA(VLOOKUP($F$5 &amp;A36, AllocSched,12,FALSE)),"-",VLOOKUP($F$5 &amp;A36, AllocSched,12,FALSE))</f>
        <v>-</v>
      </c>
      <c r="D36" s="112"/>
      <c r="E36" s="16" t="str">
        <f t="shared" si="9"/>
        <v>-</v>
      </c>
      <c r="F36" s="16"/>
      <c r="G36" s="16" t="str">
        <f>IF(C36="-",E36,C36+E36)</f>
        <v>-</v>
      </c>
      <c r="H36" s="55" t="str">
        <f t="shared" si="3"/>
        <v xml:space="preserve"> </v>
      </c>
      <c r="I36" s="56" t="str">
        <f t="shared" si="4"/>
        <v xml:space="preserve"> </v>
      </c>
    </row>
    <row r="37" spans="1:11" s="272" customFormat="1" ht="12.75" customHeight="1">
      <c r="A37" s="115" t="s">
        <v>449</v>
      </c>
      <c r="B37" s="54"/>
      <c r="C37" s="16">
        <f>IF(ISNA(VLOOKUP($F$5 &amp;A37, AllocSched,12,FALSE)),"-",VLOOKUP($F$5 &amp;A37, AllocSched,12,FALSE))</f>
        <v>0</v>
      </c>
      <c r="D37" s="112"/>
      <c r="E37" s="16">
        <f>IF(ISNA(VLOOKUP($F$5 &amp; A37, AllocSched,13,FALSE)),"-",VLOOKUP($F$5 &amp; A37, AllocSched,13,FALSE))</f>
        <v>64161</v>
      </c>
      <c r="F37" s="16"/>
      <c r="G37" s="16">
        <f>IF(C37="-",E37,C37+E37)</f>
        <v>64161</v>
      </c>
      <c r="H37" s="55" t="str">
        <f>IF(ISNA(VLOOKUP($F$5 &amp; A37, AllocSched,9,FALSE))," ",VLOOKUP($F$5 &amp; A37, AllocSched,9,FALSE))</f>
        <v>001-011</v>
      </c>
      <c r="I37" s="56">
        <f>IF(ISNA(VLOOKUP($F$5 &amp; A37, AllocSched,14,FALSE))," ",VLOOKUP($F$5 &amp; A37, AllocSched,14,FALSE))</f>
        <v>101</v>
      </c>
    </row>
    <row r="38" spans="1:11" ht="12.75" customHeight="1">
      <c r="A38" s="54"/>
      <c r="B38" s="54"/>
      <c r="C38" s="16"/>
      <c r="D38" s="112"/>
      <c r="E38" s="16"/>
      <c r="F38" s="16"/>
      <c r="G38" s="16"/>
      <c r="H38" s="55"/>
      <c r="I38" s="56"/>
    </row>
    <row r="39" spans="1:11" ht="13.5" thickBot="1">
      <c r="A39" s="89" t="s">
        <v>174</v>
      </c>
      <c r="B39" s="57" t="s">
        <v>51</v>
      </c>
      <c r="C39" s="111">
        <f>SUM(C16:C37)</f>
        <v>10714901</v>
      </c>
      <c r="D39" s="113" t="s">
        <v>51</v>
      </c>
      <c r="E39" s="111">
        <f>SUM(E16:E37)</f>
        <v>484544</v>
      </c>
      <c r="F39" s="113" t="s">
        <v>51</v>
      </c>
      <c r="G39" s="111">
        <f>SUM(G16:G37)</f>
        <v>11199445</v>
      </c>
      <c r="J39" s="25"/>
      <c r="K39" s="30"/>
    </row>
    <row r="40" spans="1:11" ht="12.75" customHeight="1" thickTop="1">
      <c r="A40" s="84"/>
      <c r="B40" s="84"/>
      <c r="C40" s="58">
        <v>0</v>
      </c>
      <c r="D40" s="58"/>
      <c r="E40" s="90"/>
      <c r="F40" s="90"/>
      <c r="G40" s="90"/>
    </row>
    <row r="41" spans="1:11" s="65" customFormat="1" ht="25.5">
      <c r="A41" s="59" t="s">
        <v>156</v>
      </c>
      <c r="B41" s="60"/>
      <c r="C41" s="61"/>
      <c r="D41" s="62"/>
      <c r="E41" s="63" t="s">
        <v>67</v>
      </c>
      <c r="F41" s="62"/>
      <c r="G41" s="64" t="s">
        <v>163</v>
      </c>
      <c r="H41" s="64" t="s">
        <v>164</v>
      </c>
      <c r="I41" s="98" t="s">
        <v>70</v>
      </c>
    </row>
    <row r="42" spans="1:11" s="65" customFormat="1" ht="12.75" customHeight="1">
      <c r="A42" s="66" t="s">
        <v>240</v>
      </c>
      <c r="B42" s="67"/>
      <c r="C42" s="68"/>
      <c r="E42" s="66" t="s">
        <v>390</v>
      </c>
      <c r="G42" s="150">
        <f t="shared" ref="G42:G55" si="11">VLOOKUP($F$5 &amp; $A42 &amp; $E42,AddRes,7,FALSE)</f>
        <v>0</v>
      </c>
      <c r="H42" s="150">
        <f t="shared" ref="H42:H55" si="12">VLOOKUP($F$5 &amp; $A42 &amp; $E42,AddRes,8,FALSE)</f>
        <v>0</v>
      </c>
      <c r="I42" s="69">
        <f t="shared" ref="I42:I55" si="13">VLOOKUP($F$5 &amp; $A42 &amp; $E42,AddRes,10,FALSE)</f>
        <v>42277</v>
      </c>
    </row>
    <row r="43" spans="1:11" s="65" customFormat="1">
      <c r="A43" s="66" t="s">
        <v>497</v>
      </c>
      <c r="B43" s="67"/>
      <c r="C43" s="26" t="s">
        <v>403</v>
      </c>
      <c r="E43" s="66" t="s">
        <v>743</v>
      </c>
      <c r="G43" s="150">
        <f t="shared" si="11"/>
        <v>0</v>
      </c>
      <c r="H43" s="150">
        <f t="shared" si="12"/>
        <v>0</v>
      </c>
      <c r="I43" s="69">
        <f t="shared" si="13"/>
        <v>42551</v>
      </c>
    </row>
    <row r="44" spans="1:11" s="65" customFormat="1" ht="12.75" customHeight="1">
      <c r="A44" s="66" t="s">
        <v>498</v>
      </c>
      <c r="B44" s="67"/>
      <c r="C44" s="26" t="s">
        <v>403</v>
      </c>
      <c r="E44" s="66" t="s">
        <v>744</v>
      </c>
      <c r="G44" s="150">
        <f t="shared" si="11"/>
        <v>0</v>
      </c>
      <c r="H44" s="150">
        <f t="shared" si="12"/>
        <v>0</v>
      </c>
      <c r="I44" s="69">
        <f t="shared" si="13"/>
        <v>42551</v>
      </c>
    </row>
    <row r="45" spans="1:11" s="65" customFormat="1" ht="12.75" customHeight="1">
      <c r="A45" s="66" t="s">
        <v>505</v>
      </c>
      <c r="B45" s="67"/>
      <c r="C45" s="26" t="s">
        <v>403</v>
      </c>
      <c r="E45" s="66" t="s">
        <v>745</v>
      </c>
      <c r="G45" s="150">
        <f t="shared" si="11"/>
        <v>0</v>
      </c>
      <c r="H45" s="150">
        <f t="shared" si="12"/>
        <v>0</v>
      </c>
      <c r="I45" s="69">
        <f t="shared" si="13"/>
        <v>42551</v>
      </c>
    </row>
    <row r="46" spans="1:11" s="65" customFormat="1" ht="12.75" customHeight="1">
      <c r="A46" s="66" t="s">
        <v>241</v>
      </c>
      <c r="B46" s="67"/>
      <c r="C46" s="68"/>
      <c r="E46" s="66" t="s">
        <v>746</v>
      </c>
      <c r="G46" s="150">
        <f t="shared" si="11"/>
        <v>0</v>
      </c>
      <c r="H46" s="150">
        <f t="shared" si="12"/>
        <v>0</v>
      </c>
      <c r="I46" s="69">
        <f t="shared" si="13"/>
        <v>42551</v>
      </c>
    </row>
    <row r="47" spans="1:11" s="65" customFormat="1" ht="12.75" customHeight="1">
      <c r="A47" s="66" t="s">
        <v>274</v>
      </c>
      <c r="B47" s="67"/>
      <c r="C47" s="68"/>
      <c r="E47" s="66" t="s">
        <v>747</v>
      </c>
      <c r="G47" s="150">
        <f t="shared" si="11"/>
        <v>0</v>
      </c>
      <c r="H47" s="150">
        <f t="shared" si="12"/>
        <v>0</v>
      </c>
      <c r="I47" s="69">
        <f t="shared" si="13"/>
        <v>42551</v>
      </c>
    </row>
    <row r="48" spans="1:11" s="65" customFormat="1" ht="12.75" customHeight="1">
      <c r="A48" s="66" t="s">
        <v>274</v>
      </c>
      <c r="B48" s="67"/>
      <c r="C48" s="68"/>
      <c r="E48" s="66" t="s">
        <v>748</v>
      </c>
      <c r="G48" s="150">
        <f t="shared" si="11"/>
        <v>0</v>
      </c>
      <c r="H48" s="150">
        <f t="shared" si="12"/>
        <v>0</v>
      </c>
      <c r="I48" s="69">
        <f t="shared" si="13"/>
        <v>42551</v>
      </c>
    </row>
    <row r="49" spans="1:12" s="65" customFormat="1" ht="12.75" customHeight="1">
      <c r="A49" s="66" t="s">
        <v>244</v>
      </c>
      <c r="B49" s="67"/>
      <c r="C49" s="68"/>
      <c r="E49" s="66" t="s">
        <v>749</v>
      </c>
      <c r="G49" s="150">
        <f t="shared" si="11"/>
        <v>0</v>
      </c>
      <c r="H49" s="150">
        <f t="shared" si="12"/>
        <v>0</v>
      </c>
      <c r="I49" s="69">
        <f t="shared" si="13"/>
        <v>42400</v>
      </c>
    </row>
    <row r="50" spans="1:12" s="65" customFormat="1" ht="12.75" customHeight="1">
      <c r="A50" s="66" t="s">
        <v>234</v>
      </c>
      <c r="B50" s="67"/>
      <c r="C50" s="68"/>
      <c r="E50" s="66" t="s">
        <v>750</v>
      </c>
      <c r="G50" s="150">
        <f t="shared" si="11"/>
        <v>0</v>
      </c>
      <c r="H50" s="150">
        <f t="shared" si="12"/>
        <v>0</v>
      </c>
      <c r="I50" s="69">
        <f t="shared" si="13"/>
        <v>42551</v>
      </c>
      <c r="K50" s="75"/>
      <c r="L50" s="75"/>
    </row>
    <row r="51" spans="1:12" s="65" customFormat="1" ht="12.75" customHeight="1">
      <c r="A51" s="66" t="s">
        <v>233</v>
      </c>
      <c r="B51" s="67"/>
      <c r="C51" s="68"/>
      <c r="E51" s="66" t="s">
        <v>751</v>
      </c>
      <c r="G51" s="150">
        <f t="shared" si="11"/>
        <v>0</v>
      </c>
      <c r="H51" s="150">
        <f t="shared" si="12"/>
        <v>0</v>
      </c>
      <c r="I51" s="69">
        <f t="shared" si="13"/>
        <v>42551</v>
      </c>
      <c r="K51" s="75"/>
      <c r="L51" s="75"/>
    </row>
    <row r="52" spans="1:12" s="65" customFormat="1" ht="12.75" customHeight="1">
      <c r="A52" s="66" t="s">
        <v>359</v>
      </c>
      <c r="B52" s="67"/>
      <c r="C52" s="68"/>
      <c r="E52" s="66" t="s">
        <v>752</v>
      </c>
      <c r="G52" s="150">
        <f t="shared" si="11"/>
        <v>0</v>
      </c>
      <c r="H52" s="150">
        <f t="shared" si="12"/>
        <v>0</v>
      </c>
      <c r="I52" s="69">
        <f t="shared" si="13"/>
        <v>42551</v>
      </c>
      <c r="K52" s="75"/>
      <c r="L52" s="75"/>
    </row>
    <row r="53" spans="1:12" s="65" customFormat="1" ht="12.75" customHeight="1">
      <c r="A53" s="66" t="s">
        <v>231</v>
      </c>
      <c r="B53" s="67"/>
      <c r="C53" s="68"/>
      <c r="E53" s="66" t="s">
        <v>753</v>
      </c>
      <c r="G53" s="150">
        <f t="shared" si="11"/>
        <v>0</v>
      </c>
      <c r="H53" s="150">
        <f t="shared" si="12"/>
        <v>0</v>
      </c>
      <c r="I53" s="69">
        <f t="shared" si="13"/>
        <v>42551</v>
      </c>
    </row>
    <row r="54" spans="1:12" s="65" customFormat="1" ht="12.75" customHeight="1">
      <c r="A54" s="66" t="s">
        <v>506</v>
      </c>
      <c r="B54" s="67"/>
      <c r="C54" s="68"/>
      <c r="E54" s="66" t="s">
        <v>754</v>
      </c>
      <c r="G54" s="150">
        <f t="shared" si="11"/>
        <v>0</v>
      </c>
      <c r="H54" s="150">
        <f t="shared" si="12"/>
        <v>0</v>
      </c>
      <c r="I54" s="69">
        <f t="shared" si="13"/>
        <v>42551</v>
      </c>
    </row>
    <row r="55" spans="1:12" s="65" customFormat="1" ht="12.75" customHeight="1">
      <c r="A55" s="66" t="s">
        <v>232</v>
      </c>
      <c r="B55" s="67"/>
      <c r="C55" s="68"/>
      <c r="E55" s="66" t="s">
        <v>755</v>
      </c>
      <c r="G55" s="150">
        <f t="shared" si="11"/>
        <v>0</v>
      </c>
      <c r="H55" s="150">
        <f t="shared" si="12"/>
        <v>0</v>
      </c>
      <c r="I55" s="69">
        <f t="shared" si="13"/>
        <v>42551</v>
      </c>
    </row>
    <row r="56" spans="1:12" s="65" customFormat="1" ht="12.75" customHeight="1">
      <c r="C56" s="70"/>
      <c r="D56" s="70"/>
      <c r="E56" s="70"/>
      <c r="F56" s="70"/>
      <c r="G56" s="71"/>
      <c r="H56" s="72"/>
      <c r="I56" s="73"/>
    </row>
    <row r="57" spans="1:12" s="65" customFormat="1" ht="12.75" customHeight="1">
      <c r="C57" s="74" t="s">
        <v>71</v>
      </c>
      <c r="D57" s="70"/>
      <c r="E57" s="70"/>
      <c r="F57" s="70"/>
      <c r="G57" s="75">
        <f>SUM(G42:G55)</f>
        <v>0</v>
      </c>
      <c r="H57" s="75">
        <f>SUM(H42:H55)</f>
        <v>0</v>
      </c>
      <c r="I57" s="73"/>
    </row>
    <row r="58" spans="1:12" s="65" customFormat="1" ht="12.75" customHeight="1">
      <c r="C58" s="70"/>
      <c r="D58" s="70"/>
      <c r="E58" s="70"/>
      <c r="F58" s="70"/>
      <c r="G58" s="70"/>
      <c r="I58" s="73"/>
    </row>
    <row r="59" spans="1:12" s="65" customFormat="1" ht="12.75" customHeight="1">
      <c r="C59" s="70"/>
      <c r="D59" s="70"/>
      <c r="E59" s="70"/>
      <c r="F59" s="70"/>
      <c r="G59" s="70"/>
      <c r="I59" s="73"/>
    </row>
    <row r="60" spans="1:12" s="65" customFormat="1" ht="12.75" customHeight="1">
      <c r="C60" s="70"/>
      <c r="D60" s="70"/>
      <c r="E60" s="70"/>
      <c r="F60" s="70"/>
      <c r="G60" s="70"/>
      <c r="I60" s="73"/>
    </row>
    <row r="61" spans="1:12" s="65" customFormat="1" ht="12.75" customHeight="1">
      <c r="C61" s="70"/>
      <c r="D61" s="70"/>
      <c r="E61" s="70"/>
      <c r="F61" s="70"/>
      <c r="G61" s="70"/>
      <c r="I61" s="73"/>
    </row>
    <row r="62" spans="1:12" s="65" customFormat="1" ht="12.75" customHeight="1">
      <c r="C62" s="70"/>
      <c r="D62" s="70"/>
      <c r="E62" s="70"/>
      <c r="F62" s="70"/>
      <c r="G62" s="70"/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  <row r="139" spans="3:9" s="65" customFormat="1" ht="12.75" customHeight="1">
      <c r="C139" s="70"/>
      <c r="D139" s="70"/>
      <c r="E139" s="70"/>
      <c r="F139" s="70"/>
      <c r="G139" s="70"/>
      <c r="I139" s="73"/>
    </row>
    <row r="140" spans="3:9" s="65" customFormat="1" ht="12.75" customHeight="1">
      <c r="C140" s="70"/>
      <c r="D140" s="70"/>
      <c r="E140" s="70"/>
      <c r="F140" s="70"/>
      <c r="G140" s="70"/>
      <c r="I140" s="73"/>
    </row>
    <row r="141" spans="3:9" s="65" customFormat="1" ht="12.75" customHeight="1">
      <c r="C141" s="70"/>
      <c r="D141" s="70"/>
      <c r="E141" s="70"/>
      <c r="F141" s="70"/>
      <c r="G141" s="70"/>
      <c r="I141" s="73"/>
    </row>
    <row r="142" spans="3:9" s="65" customFormat="1" ht="12.75" customHeight="1">
      <c r="C142" s="70"/>
      <c r="D142" s="70"/>
      <c r="E142" s="70"/>
      <c r="F142" s="70"/>
      <c r="G142" s="70"/>
      <c r="I142" s="73"/>
    </row>
    <row r="143" spans="3:9" s="65" customFormat="1" ht="12.75" customHeight="1">
      <c r="C143" s="70"/>
      <c r="D143" s="70"/>
      <c r="E143" s="70"/>
      <c r="F143" s="70"/>
      <c r="G143" s="70"/>
      <c r="I143" s="73"/>
    </row>
  </sheetData>
  <mergeCells count="2">
    <mergeCell ref="A8:I8"/>
    <mergeCell ref="G5:I5"/>
  </mergeCells>
  <phoneticPr fontId="0" type="noConversion"/>
  <conditionalFormatting sqref="G39">
    <cfRule type="cellIs" dxfId="3" priority="3" stopIfTrue="1" operator="equal">
      <formula>19279082</formula>
    </cfRule>
  </conditionalFormatting>
  <printOptions horizontalCentered="1"/>
  <pageMargins left="0.25" right="0.25" top="0.25" bottom="0.5" header="0.35" footer="0.25"/>
  <pageSetup scale="91" orientation="portrait" r:id="rId1"/>
  <headerFooter alignWithMargins="0">
    <oddFooter>&amp;L&amp;"Calibri,Regular"Prepared by the SBCTC&amp;R&amp;"Calibri,Regular"&amp;D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L142"/>
  <sheetViews>
    <sheetView topLeftCell="A11" zoomScaleNormal="100" workbookViewId="0">
      <selection activeCell="E10" sqref="E10"/>
    </sheetView>
  </sheetViews>
  <sheetFormatPr defaultColWidth="9.140625" defaultRowHeight="12.75" customHeight="1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3.5703125" style="23" bestFit="1" customWidth="1"/>
    <col min="11" max="11" width="12.42578125" style="23" bestFit="1" customWidth="1"/>
    <col min="12" max="12" width="11" style="23" bestFit="1" customWidth="1"/>
    <col min="13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130</v>
      </c>
      <c r="G5" s="505" t="str">
        <f>VLOOKUP($F5,District,2,FALSE)</f>
        <v>Yakima Valley Community College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3969</v>
      </c>
      <c r="D10" s="48"/>
      <c r="E10" s="48">
        <f>IF(ISNA(VLOOKUP($F$5,Student,14,FALSE)),0,VLOOKUP($F$5,Student,14,FALSE))</f>
        <v>0</v>
      </c>
      <c r="F10" s="48"/>
      <c r="G10" s="48">
        <f>$E$10+$C$10+$A$10</f>
        <v>3969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16">
        <f t="shared" ref="C16:C17" si="0">IF(ISNA(VLOOKUP($F$5 &amp;A16, AllocSched,12,FALSE)),"-",VLOOKUP($F$5 &amp;A16, AllocSched,12,FALSE))</f>
        <v>13841466</v>
      </c>
      <c r="D16" s="112" t="s">
        <v>51</v>
      </c>
      <c r="E16" s="16">
        <f t="shared" ref="E16:E21" si="1">IF(ISNA(VLOOKUP($F$5 &amp; A16, AllocSched,13,FALSE)),"-",VLOOKUP($F$5 &amp; A16, AllocSched,13,FALSE))</f>
        <v>-12062</v>
      </c>
      <c r="F16" s="16" t="s">
        <v>51</v>
      </c>
      <c r="G16" s="16">
        <f t="shared" ref="G16" si="2">IF(C16="-",E16,C16+E16)</f>
        <v>13829404</v>
      </c>
      <c r="H16" s="55" t="str">
        <f t="shared" ref="H16:H21" si="3">IF(ISNA(VLOOKUP($F$5 &amp; A16, AllocSched,9,FALSE))," ",VLOOKUP($F$5 &amp; A16, AllocSched,9,FALSE))</f>
        <v>001-011</v>
      </c>
      <c r="I16" s="56">
        <f t="shared" ref="I16:I41" si="4">IF(ISNA(VLOOKUP($F$5 &amp; A16, AllocSched,14,FALSE))," ",VLOOKUP($F$5 &amp; A16, AllocSched,14,FALSE))</f>
        <v>101</v>
      </c>
    </row>
    <row r="17" spans="1:9" ht="12.75" customHeight="1">
      <c r="A17" s="115" t="s">
        <v>171</v>
      </c>
      <c r="B17" s="54"/>
      <c r="C17" s="16">
        <f t="shared" si="0"/>
        <v>1190840</v>
      </c>
      <c r="D17" s="112"/>
      <c r="E17" s="16">
        <f t="shared" si="1"/>
        <v>12062</v>
      </c>
      <c r="F17" s="16"/>
      <c r="G17" s="16">
        <f t="shared" ref="G17:G23" si="5">IF(C17="-",E17,C17+E17)</f>
        <v>1202902</v>
      </c>
      <c r="H17" s="55" t="str">
        <f t="shared" si="3"/>
        <v>08A-3E0</v>
      </c>
      <c r="I17" s="56" t="str">
        <f t="shared" si="4"/>
        <v>3E0</v>
      </c>
    </row>
    <row r="18" spans="1:9" s="272" customFormat="1" ht="12.75" customHeight="1">
      <c r="A18" s="38" t="s">
        <v>781</v>
      </c>
      <c r="B18" s="54"/>
      <c r="C18" s="16">
        <f t="shared" ref="C18:C23" si="6">IF(ISNA(VLOOKUP($F$5 &amp;A18, AllocSched,12,FALSE)),"-",VLOOKUP($F$5 &amp;A18, AllocSched,12,FALSE))</f>
        <v>0</v>
      </c>
      <c r="D18" s="112"/>
      <c r="E18" s="16">
        <f>IF(ISNA(VLOOKUP($F$5 &amp; A18, AllocSched,13,FALSE)),"-",VLOOKUP($F$5 &amp; A18, AllocSched,13,FALSE))</f>
        <v>134319</v>
      </c>
      <c r="F18" s="16"/>
      <c r="G18" s="16">
        <f t="shared" si="5"/>
        <v>134319</v>
      </c>
      <c r="H18" s="55" t="str">
        <f>IF(ISNA(VLOOKUP($F$5 &amp; A18, AllocSched,9,FALSE))," ",VLOOKUP($F$5 &amp; A18, AllocSched,9,FALSE))</f>
        <v>001-011</v>
      </c>
      <c r="I18" s="56">
        <f t="shared" si="4"/>
        <v>101</v>
      </c>
    </row>
    <row r="19" spans="1:9" s="272" customFormat="1" ht="12.75" customHeight="1">
      <c r="A19" s="115" t="s">
        <v>448</v>
      </c>
      <c r="B19" s="54"/>
      <c r="C19" s="16">
        <f t="shared" si="6"/>
        <v>0</v>
      </c>
      <c r="D19" s="112"/>
      <c r="E19" s="16">
        <f>IF(ISNA(VLOOKUP($F$5 &amp; A19, AllocSched,13,FALSE)),"-",VLOOKUP($F$5 &amp; A19, AllocSched,13,FALSE))</f>
        <v>260606</v>
      </c>
      <c r="F19" s="16"/>
      <c r="G19" s="16">
        <f t="shared" si="5"/>
        <v>260606</v>
      </c>
      <c r="H19" s="55" t="str">
        <f>IF(ISNA(VLOOKUP($F$5 &amp; A19, AllocSched,9,FALSE))," ",VLOOKUP($F$5 &amp; A19, AllocSched,9,FALSE))</f>
        <v>001-011</v>
      </c>
      <c r="I19" s="56">
        <f t="shared" si="4"/>
        <v>101</v>
      </c>
    </row>
    <row r="20" spans="1:9" s="269" customFormat="1" ht="12.75" customHeight="1">
      <c r="A20" s="115" t="s">
        <v>340</v>
      </c>
      <c r="B20" s="54"/>
      <c r="C20" s="16">
        <f t="shared" si="6"/>
        <v>0</v>
      </c>
      <c r="D20" s="112"/>
      <c r="E20" s="16">
        <f>IF(ISNA(VLOOKUP($F$5 &amp; A20, AllocSched,13,FALSE)),"-",VLOOKUP($F$5 &amp; A20, AllocSched,13,FALSE))</f>
        <v>746944</v>
      </c>
      <c r="F20" s="16"/>
      <c r="G20" s="16">
        <f t="shared" si="5"/>
        <v>746944</v>
      </c>
      <c r="H20" s="55" t="str">
        <f>IF(ISNA(VLOOKUP($F$5 &amp; A20, AllocSched,9,FALSE))," ",VLOOKUP($F$5 &amp; A20, AllocSched,9,FALSE))</f>
        <v>001-011</v>
      </c>
      <c r="I20" s="56">
        <f t="shared" si="4"/>
        <v>101</v>
      </c>
    </row>
    <row r="21" spans="1:9" ht="12.75" customHeight="1">
      <c r="A21" s="115" t="s">
        <v>207</v>
      </c>
      <c r="B21" s="54"/>
      <c r="C21" s="16">
        <f t="shared" si="6"/>
        <v>0</v>
      </c>
      <c r="D21" s="112"/>
      <c r="E21" s="16">
        <f t="shared" si="1"/>
        <v>62337</v>
      </c>
      <c r="F21" s="16"/>
      <c r="G21" s="16">
        <f t="shared" si="5"/>
        <v>62337</v>
      </c>
      <c r="H21" s="55" t="str">
        <f t="shared" si="3"/>
        <v>001-011</v>
      </c>
      <c r="I21" s="56">
        <f t="shared" si="4"/>
        <v>101</v>
      </c>
    </row>
    <row r="22" spans="1:9" s="272" customFormat="1" ht="12.75" customHeight="1">
      <c r="A22" s="115" t="s">
        <v>203</v>
      </c>
      <c r="B22" s="54"/>
      <c r="C22" s="16">
        <f t="shared" si="6"/>
        <v>0</v>
      </c>
      <c r="D22" s="112"/>
      <c r="E22" s="16">
        <f>IF(ISNA(VLOOKUP($F$5 &amp; A22, AllocSched,13,FALSE)),"-",VLOOKUP($F$5 &amp; A22, AllocSched,13,FALSE))</f>
        <v>-4212</v>
      </c>
      <c r="F22" s="16"/>
      <c r="G22" s="16">
        <f t="shared" si="5"/>
        <v>-4212</v>
      </c>
      <c r="H22" s="55" t="str">
        <f>IF(ISNA(VLOOKUP($F$5 &amp; A22, AllocSched,9,FALSE))," ",VLOOKUP($F$5 &amp; A22, AllocSched,9,FALSE))</f>
        <v>001-011</v>
      </c>
      <c r="I22" s="56">
        <f t="shared" si="4"/>
        <v>101</v>
      </c>
    </row>
    <row r="23" spans="1:9" s="272" customFormat="1" ht="12.75" customHeight="1">
      <c r="A23" s="115" t="s">
        <v>454</v>
      </c>
      <c r="B23" s="54"/>
      <c r="C23" s="16">
        <f t="shared" si="6"/>
        <v>0</v>
      </c>
      <c r="D23" s="112"/>
      <c r="E23" s="16">
        <f>IF(ISNA(VLOOKUP($F$5 &amp; A23, AllocSched,13,FALSE)),"-",VLOOKUP($F$5 &amp; A23, AllocSched,13,FALSE))</f>
        <v>1963</v>
      </c>
      <c r="F23" s="16"/>
      <c r="G23" s="16">
        <f t="shared" si="5"/>
        <v>1963</v>
      </c>
      <c r="H23" s="55" t="str">
        <f>IF(ISNA(VLOOKUP($F$5 &amp; A23, AllocSched,9,FALSE))," ",VLOOKUP($F$5 &amp; A23, AllocSched,9,FALSE))</f>
        <v>001-011</v>
      </c>
      <c r="I23" s="56">
        <f t="shared" si="4"/>
        <v>101</v>
      </c>
    </row>
    <row r="24" spans="1:9" ht="12.75" customHeight="1">
      <c r="A24" s="115"/>
      <c r="B24" s="54"/>
      <c r="C24" s="16"/>
      <c r="D24" s="112"/>
      <c r="E24" s="16"/>
      <c r="F24" s="16"/>
      <c r="G24" s="16"/>
      <c r="H24" s="55" t="str">
        <f t="shared" ref="H24:H39" si="7">IF(ISNA(VLOOKUP($F$5 &amp; A24, AllocSched,9,FALSE))," ",VLOOKUP($F$5 &amp; A24, AllocSched,9,FALSE))</f>
        <v xml:space="preserve"> </v>
      </c>
      <c r="I24" s="56" t="str">
        <f t="shared" si="4"/>
        <v xml:space="preserve"> </v>
      </c>
    </row>
    <row r="25" spans="1:9" s="83" customFormat="1">
      <c r="A25" s="114" t="s">
        <v>168</v>
      </c>
      <c r="B25" s="84"/>
      <c r="C25" s="16"/>
      <c r="D25" s="112"/>
      <c r="E25" s="16"/>
      <c r="F25" s="16"/>
      <c r="G25" s="16"/>
      <c r="H25" s="55" t="str">
        <f t="shared" si="7"/>
        <v xml:space="preserve"> </v>
      </c>
      <c r="I25" s="56" t="str">
        <f t="shared" si="4"/>
        <v xml:space="preserve"> </v>
      </c>
    </row>
    <row r="26" spans="1:9" ht="12.75" customHeight="1">
      <c r="A26" s="38" t="s">
        <v>160</v>
      </c>
      <c r="C26" s="16">
        <f t="shared" ref="C26:C38" si="8">IF(ISNA(VLOOKUP($F$5 &amp;A26, AllocSched,12,FALSE)),"-",VLOOKUP($F$5 &amp;A26, AllocSched,12,FALSE))</f>
        <v>30110</v>
      </c>
      <c r="D26" s="112"/>
      <c r="E26" s="16">
        <f t="shared" ref="E26:E39" si="9">IF(ISNA(VLOOKUP($F$5 &amp; A26, AllocSched,13,FALSE)),"-",VLOOKUP($F$5 &amp; A26, AllocSched,13,FALSE))</f>
        <v>-30110</v>
      </c>
      <c r="F26" s="16"/>
      <c r="G26" s="16">
        <f t="shared" ref="G26:G37" si="10">IF(C26="-",E26,C26+E26)</f>
        <v>0</v>
      </c>
      <c r="H26" s="55" t="str">
        <f>IF(ISNA(VLOOKUP($F$5 &amp; A26, AllocSched,9,FALSE))," ",VLOOKUP($F$5 &amp; A26, AllocSched,9,FALSE))</f>
        <v>001-011</v>
      </c>
      <c r="I26" s="56">
        <f t="shared" si="4"/>
        <v>101</v>
      </c>
    </row>
    <row r="27" spans="1:9" ht="12.75" customHeight="1">
      <c r="A27" s="38" t="s">
        <v>211</v>
      </c>
      <c r="C27" s="16">
        <f t="shared" si="8"/>
        <v>77785</v>
      </c>
      <c r="D27" s="112"/>
      <c r="E27" s="16">
        <f t="shared" si="9"/>
        <v>-77785</v>
      </c>
      <c r="F27" s="16"/>
      <c r="G27" s="16">
        <f t="shared" si="10"/>
        <v>0</v>
      </c>
      <c r="H27" s="55" t="str">
        <f>IF(ISNA(VLOOKUP($F$5 &amp; A27, AllocSched,9,FALSE))," ",VLOOKUP($F$5 &amp; A27, AllocSched,9,FALSE))</f>
        <v>001-011</v>
      </c>
      <c r="I27" s="56">
        <f t="shared" si="4"/>
        <v>101</v>
      </c>
    </row>
    <row r="28" spans="1:9" ht="12.75" customHeight="1">
      <c r="A28" s="38" t="s">
        <v>409</v>
      </c>
      <c r="C28" s="16">
        <f>IF(ISNA(VLOOKUP($F$5 &amp;A28, AllocSched,12,FALSE)),"-",VLOOKUP($F$5 &amp;A28, AllocSched,12,FALSE))</f>
        <v>125688</v>
      </c>
      <c r="D28" s="112"/>
      <c r="E28" s="16">
        <f>IF(ISNA(VLOOKUP($F$5 &amp; A28, AllocSched,13,FALSE)),"-",VLOOKUP($F$5 &amp; A28, AllocSched,13,FALSE))</f>
        <v>-125688</v>
      </c>
      <c r="F28" s="16"/>
      <c r="G28" s="16">
        <f>IF(C28="-",E28,C28+E28)</f>
        <v>0</v>
      </c>
      <c r="H28" s="55" t="str">
        <f>IF(ISNA(VLOOKUP($F$5 &amp; A28, AllocSched,9,FALSE))," ",VLOOKUP($F$5 &amp; A28, AllocSched,9,FALSE))</f>
        <v>001-011</v>
      </c>
      <c r="I28" s="56">
        <f t="shared" si="4"/>
        <v>101</v>
      </c>
    </row>
    <row r="29" spans="1:9" ht="12.75" customHeight="1">
      <c r="A29" s="38" t="s">
        <v>173</v>
      </c>
      <c r="C29" s="16">
        <f t="shared" si="8"/>
        <v>204157</v>
      </c>
      <c r="D29" s="112"/>
      <c r="E29" s="16">
        <f t="shared" si="9"/>
        <v>0</v>
      </c>
      <c r="F29" s="16"/>
      <c r="G29" s="16">
        <f t="shared" si="10"/>
        <v>204157</v>
      </c>
      <c r="H29" s="55" t="str">
        <f>IF(ISNA(VLOOKUP($F$5 &amp; A29, AllocSched,9,FALSE))," ",VLOOKUP($F$5 &amp; A29, AllocSched,9,FALSE))</f>
        <v>001-011</v>
      </c>
      <c r="I29" s="56">
        <f t="shared" si="4"/>
        <v>101</v>
      </c>
    </row>
    <row r="30" spans="1:9" ht="12.75" customHeight="1">
      <c r="A30" s="38" t="s">
        <v>170</v>
      </c>
      <c r="C30" s="16">
        <f t="shared" si="8"/>
        <v>47126</v>
      </c>
      <c r="D30" s="112"/>
      <c r="E30" s="16">
        <f t="shared" si="9"/>
        <v>-24153</v>
      </c>
      <c r="F30" s="16"/>
      <c r="G30" s="16">
        <f t="shared" si="10"/>
        <v>22973</v>
      </c>
      <c r="H30" s="55" t="str">
        <f t="shared" si="7"/>
        <v>001-011</v>
      </c>
      <c r="I30" s="56">
        <f t="shared" si="4"/>
        <v>101</v>
      </c>
    </row>
    <row r="31" spans="1:9" ht="12.75" customHeight="1">
      <c r="A31" s="115" t="s">
        <v>162</v>
      </c>
      <c r="B31" s="54"/>
      <c r="C31" s="16">
        <f t="shared" si="8"/>
        <v>108268</v>
      </c>
      <c r="D31" s="112"/>
      <c r="E31" s="16">
        <f t="shared" si="9"/>
        <v>-108268</v>
      </c>
      <c r="F31" s="16"/>
      <c r="G31" s="16">
        <f>IF(C31="-",E31,C31+E31)</f>
        <v>0</v>
      </c>
      <c r="H31" s="55" t="str">
        <f>IF(ISNA(VLOOKUP($F$5 &amp; A31, AllocSched,9,FALSE))," ",VLOOKUP($F$5 &amp; A31, AllocSched,9,FALSE))</f>
        <v>001-011</v>
      </c>
      <c r="I31" s="56">
        <f t="shared" si="4"/>
        <v>101</v>
      </c>
    </row>
    <row r="32" spans="1:9" s="272" customFormat="1" ht="12.75" customHeight="1">
      <c r="A32" s="38" t="s">
        <v>397</v>
      </c>
      <c r="B32" s="54"/>
      <c r="C32" s="16">
        <f t="shared" si="8"/>
        <v>58570</v>
      </c>
      <c r="D32" s="112"/>
      <c r="E32" s="16">
        <f t="shared" si="9"/>
        <v>0</v>
      </c>
      <c r="F32" s="16"/>
      <c r="G32" s="16">
        <f>IF(C32="-",E32,C32+E32)</f>
        <v>58570</v>
      </c>
      <c r="H32" s="55" t="str">
        <f>IF(ISNA(VLOOKUP($F$5 &amp; A32, AllocSched,9,FALSE))," ",VLOOKUP($F$5 &amp; A32, AllocSched,9,FALSE))</f>
        <v>001-BK1</v>
      </c>
      <c r="I32" s="56" t="str">
        <f t="shared" si="4"/>
        <v>BK1</v>
      </c>
    </row>
    <row r="33" spans="1:11" ht="12.75" customHeight="1">
      <c r="A33" s="115" t="s">
        <v>150</v>
      </c>
      <c r="B33" s="54"/>
      <c r="C33" s="16">
        <f t="shared" si="8"/>
        <v>392412</v>
      </c>
      <c r="D33" s="112"/>
      <c r="E33" s="16">
        <f t="shared" si="9"/>
        <v>0</v>
      </c>
      <c r="F33" s="16"/>
      <c r="G33" s="16">
        <f t="shared" si="10"/>
        <v>392412</v>
      </c>
      <c r="H33" s="55" t="str">
        <f t="shared" si="7"/>
        <v>001-011</v>
      </c>
      <c r="I33" s="56">
        <f t="shared" si="4"/>
        <v>101</v>
      </c>
    </row>
    <row r="34" spans="1:11" ht="12.75" customHeight="1">
      <c r="A34" s="115" t="s">
        <v>272</v>
      </c>
      <c r="B34" s="54"/>
      <c r="C34" s="16">
        <f t="shared" si="8"/>
        <v>11712</v>
      </c>
      <c r="D34" s="112"/>
      <c r="E34" s="16">
        <f t="shared" si="9"/>
        <v>0</v>
      </c>
      <c r="F34" s="16"/>
      <c r="G34" s="16">
        <f t="shared" si="10"/>
        <v>11712</v>
      </c>
      <c r="H34" s="55" t="str">
        <f t="shared" si="7"/>
        <v>001-BD1</v>
      </c>
      <c r="I34" s="56" t="str">
        <f t="shared" si="4"/>
        <v>BD1</v>
      </c>
    </row>
    <row r="35" spans="1:11" ht="12.75" customHeight="1">
      <c r="A35" s="115" t="s">
        <v>273</v>
      </c>
      <c r="B35" s="54"/>
      <c r="C35" s="16">
        <f>IF(ISNA(VLOOKUP($F$5 &amp;A35, AllocSched,12,FALSE)),"-",VLOOKUP($F$5 &amp;A35, AllocSched,12,FALSE))</f>
        <v>153773</v>
      </c>
      <c r="D35" s="112"/>
      <c r="E35" s="16">
        <f>IF(ISNA(VLOOKUP($F$5 &amp; A35, AllocSched,13,FALSE)),"-",VLOOKUP($F$5 &amp; A35, AllocSched,13,FALSE))</f>
        <v>-153773</v>
      </c>
      <c r="F35" s="16"/>
      <c r="G35" s="16">
        <f>IF(C35="-",E35,C35+E35)</f>
        <v>0</v>
      </c>
      <c r="H35" s="55" t="str">
        <f>IF(ISNA(VLOOKUP($F$5 &amp; A35, AllocSched,9,FALSE))," ",VLOOKUP($F$5 &amp; A35, AllocSched,9,FALSE))</f>
        <v>001-BD1</v>
      </c>
      <c r="I35" s="56" t="str">
        <f t="shared" si="4"/>
        <v>BD1</v>
      </c>
    </row>
    <row r="36" spans="1:11" ht="12.75" customHeight="1">
      <c r="A36" s="115" t="s">
        <v>6</v>
      </c>
      <c r="B36" s="54"/>
      <c r="C36" s="16">
        <f t="shared" si="8"/>
        <v>56747</v>
      </c>
      <c r="D36" s="112"/>
      <c r="E36" s="16">
        <f t="shared" si="9"/>
        <v>-11857</v>
      </c>
      <c r="F36" s="16"/>
      <c r="G36" s="16">
        <f t="shared" si="10"/>
        <v>44890</v>
      </c>
      <c r="H36" s="55" t="str">
        <f t="shared" si="7"/>
        <v>001-011</v>
      </c>
      <c r="I36" s="56">
        <f t="shared" si="4"/>
        <v>101</v>
      </c>
    </row>
    <row r="37" spans="1:11" ht="12.75" customHeight="1">
      <c r="A37" s="115" t="s">
        <v>333</v>
      </c>
      <c r="B37" s="54"/>
      <c r="C37" s="16">
        <f t="shared" si="8"/>
        <v>71552</v>
      </c>
      <c r="D37" s="112"/>
      <c r="E37" s="16">
        <f t="shared" si="9"/>
        <v>0</v>
      </c>
      <c r="F37" s="16"/>
      <c r="G37" s="16">
        <f t="shared" si="10"/>
        <v>71552</v>
      </c>
      <c r="H37" s="55" t="str">
        <f t="shared" si="7"/>
        <v>001-011</v>
      </c>
      <c r="I37" s="56">
        <f t="shared" si="4"/>
        <v>101</v>
      </c>
    </row>
    <row r="38" spans="1:11" ht="12.75" customHeight="1">
      <c r="A38" s="115" t="s">
        <v>332</v>
      </c>
      <c r="B38" s="54"/>
      <c r="C38" s="16">
        <f t="shared" si="8"/>
        <v>341771</v>
      </c>
      <c r="D38" s="112"/>
      <c r="E38" s="16">
        <f t="shared" si="9"/>
        <v>0</v>
      </c>
      <c r="F38" s="16"/>
      <c r="G38" s="16">
        <f>IF(C38="-",E38,C38+E38)</f>
        <v>341771</v>
      </c>
      <c r="H38" s="55" t="str">
        <f t="shared" si="7"/>
        <v>001-AC1</v>
      </c>
      <c r="I38" s="56">
        <f t="shared" si="4"/>
        <v>123</v>
      </c>
    </row>
    <row r="39" spans="1:11" ht="12.75" customHeight="1">
      <c r="A39" s="115" t="s">
        <v>767</v>
      </c>
      <c r="B39" s="54"/>
      <c r="C39" s="16" t="str">
        <f>IF(ISNA(VLOOKUP($F$5 &amp;A39, AllocSched,12,FALSE)),"-",VLOOKUP($F$5 &amp;A39, AllocSched,12,FALSE))</f>
        <v>-</v>
      </c>
      <c r="D39" s="112"/>
      <c r="E39" s="16" t="str">
        <f t="shared" si="9"/>
        <v>-</v>
      </c>
      <c r="F39" s="16"/>
      <c r="G39" s="16" t="str">
        <f>IF(C39="-",E39,C39+E39)</f>
        <v>-</v>
      </c>
      <c r="H39" s="55" t="str">
        <f t="shared" si="7"/>
        <v xml:space="preserve"> </v>
      </c>
      <c r="I39" s="56" t="str">
        <f t="shared" si="4"/>
        <v xml:space="preserve"> </v>
      </c>
    </row>
    <row r="40" spans="1:11" s="272" customFormat="1" ht="12.75" customHeight="1">
      <c r="A40" s="281" t="s">
        <v>443</v>
      </c>
      <c r="B40" s="54"/>
      <c r="C40" s="16">
        <f>IF(ISNA(VLOOKUP($F$5 &amp;A40, AllocSched,12,FALSE)),"-",VLOOKUP($F$5 &amp;A40, AllocSched,12,FALSE))</f>
        <v>0</v>
      </c>
      <c r="D40" s="112"/>
      <c r="E40" s="16">
        <f>IF(ISNA(VLOOKUP($F$5 &amp; A40, AllocSched,13,FALSE)),"-",VLOOKUP($F$5 &amp; A40, AllocSched,13,FALSE))</f>
        <v>272000</v>
      </c>
      <c r="F40" s="16"/>
      <c r="G40" s="16">
        <f>IF(C40="-",E40,C40+E40)</f>
        <v>272000</v>
      </c>
      <c r="H40" s="55" t="str">
        <f>IF(ISNA(VLOOKUP($F$5 &amp; A40, AllocSched,9,FALSE))," ",VLOOKUP($F$5 &amp; A40, AllocSched,9,FALSE))</f>
        <v>001-011</v>
      </c>
      <c r="I40" s="56">
        <f t="shared" si="4"/>
        <v>101</v>
      </c>
    </row>
    <row r="41" spans="1:11" s="272" customFormat="1" ht="12.75" customHeight="1">
      <c r="A41" s="281" t="s">
        <v>444</v>
      </c>
      <c r="B41" s="54"/>
      <c r="C41" s="16" t="str">
        <f>IF(ISNA(VLOOKUP($F$5 &amp;A41, AllocSched,12,FALSE)),"-",VLOOKUP($F$5 &amp;A41, AllocSched,12,FALSE))</f>
        <v>-</v>
      </c>
      <c r="D41" s="112"/>
      <c r="E41" s="16" t="str">
        <f>IF(ISNA(VLOOKUP($F$5 &amp; A41, AllocSched,13,FALSE)),"-",VLOOKUP($F$5 &amp; A41, AllocSched,13,FALSE))</f>
        <v>-</v>
      </c>
      <c r="F41" s="16"/>
      <c r="G41" s="16" t="str">
        <f>IF(C41="-",E41,C41+E41)</f>
        <v>-</v>
      </c>
      <c r="H41" s="55" t="str">
        <f>IF(ISNA(VLOOKUP($F$5 &amp; A41, AllocSched,9,FALSE))," ",VLOOKUP($F$5 &amp; A41, AllocSched,9,FALSE))</f>
        <v xml:space="preserve"> </v>
      </c>
      <c r="I41" s="56" t="str">
        <f t="shared" si="4"/>
        <v xml:space="preserve"> </v>
      </c>
    </row>
    <row r="42" spans="1:11" ht="12.75" customHeight="1">
      <c r="A42" s="54"/>
      <c r="B42" s="54"/>
      <c r="C42" s="16"/>
      <c r="D42" s="112"/>
      <c r="E42" s="16"/>
      <c r="F42" s="16"/>
      <c r="G42" s="16"/>
      <c r="H42" s="55"/>
      <c r="I42" s="56"/>
    </row>
    <row r="43" spans="1:11" ht="13.5" thickBot="1">
      <c r="A43" s="89" t="s">
        <v>174</v>
      </c>
      <c r="B43" s="57" t="s">
        <v>51</v>
      </c>
      <c r="C43" s="111">
        <f>SUM(C16:C41)</f>
        <v>16711977</v>
      </c>
      <c r="D43" s="113" t="s">
        <v>51</v>
      </c>
      <c r="E43" s="111">
        <f>SUM(E16:E41)</f>
        <v>942323</v>
      </c>
      <c r="F43" s="113" t="s">
        <v>51</v>
      </c>
      <c r="G43" s="111">
        <f>SUM(G16:G41)</f>
        <v>17654300</v>
      </c>
      <c r="K43" s="30"/>
    </row>
    <row r="44" spans="1:11" ht="12.75" customHeight="1" thickTop="1">
      <c r="A44" s="84"/>
      <c r="B44" s="84"/>
      <c r="C44" s="58">
        <v>0</v>
      </c>
      <c r="D44" s="58"/>
      <c r="E44" s="90"/>
      <c r="F44" s="90"/>
      <c r="G44" s="90"/>
    </row>
    <row r="45" spans="1:11" s="65" customFormat="1" ht="25.5">
      <c r="A45" s="59" t="s">
        <v>156</v>
      </c>
      <c r="B45" s="60"/>
      <c r="C45" s="61"/>
      <c r="D45" s="62"/>
      <c r="E45" s="63" t="s">
        <v>67</v>
      </c>
      <c r="F45" s="62"/>
      <c r="G45" s="64" t="s">
        <v>163</v>
      </c>
      <c r="H45" s="64" t="s">
        <v>164</v>
      </c>
      <c r="I45" s="98" t="s">
        <v>70</v>
      </c>
    </row>
    <row r="46" spans="1:11" s="65" customFormat="1" ht="12.75" customHeight="1">
      <c r="A46" s="66" t="s">
        <v>240</v>
      </c>
      <c r="B46" s="67"/>
      <c r="C46" s="68"/>
      <c r="E46" s="66" t="s">
        <v>391</v>
      </c>
      <c r="G46" s="150">
        <f t="shared" ref="G46:G54" si="11">VLOOKUP($F$5 &amp; $A46 &amp; $E46,AddRes,7,FALSE)</f>
        <v>0</v>
      </c>
      <c r="H46" s="150">
        <f t="shared" ref="H46:H54" si="12">VLOOKUP($F$5 &amp; $A46 &amp; $E46,AddRes,8,FALSE)</f>
        <v>0</v>
      </c>
      <c r="I46" s="69">
        <f t="shared" ref="I46:I54" si="13">VLOOKUP($F$5 &amp; $A46 &amp; $E46,AddRes,10,FALSE)</f>
        <v>42277</v>
      </c>
    </row>
    <row r="47" spans="1:11" s="65" customFormat="1" ht="12.75" customHeight="1">
      <c r="A47" s="66" t="s">
        <v>497</v>
      </c>
      <c r="B47" s="67"/>
      <c r="C47" s="26" t="s">
        <v>403</v>
      </c>
      <c r="E47" s="66" t="s">
        <v>756</v>
      </c>
      <c r="G47" s="150">
        <f t="shared" si="11"/>
        <v>0</v>
      </c>
      <c r="H47" s="150">
        <f t="shared" si="12"/>
        <v>0</v>
      </c>
      <c r="I47" s="69">
        <f t="shared" si="13"/>
        <v>42551</v>
      </c>
    </row>
    <row r="48" spans="1:11" s="65" customFormat="1" ht="12.75" customHeight="1">
      <c r="A48" s="66" t="s">
        <v>498</v>
      </c>
      <c r="B48" s="67"/>
      <c r="C48" s="26" t="s">
        <v>403</v>
      </c>
      <c r="E48" s="66" t="s">
        <v>757</v>
      </c>
      <c r="G48" s="150">
        <f t="shared" si="11"/>
        <v>0</v>
      </c>
      <c r="H48" s="150">
        <f t="shared" si="12"/>
        <v>0</v>
      </c>
      <c r="I48" s="69">
        <f t="shared" si="13"/>
        <v>42551</v>
      </c>
    </row>
    <row r="49" spans="1:12" s="65" customFormat="1" ht="12.75" customHeight="1">
      <c r="A49" s="66" t="s">
        <v>505</v>
      </c>
      <c r="B49" s="67"/>
      <c r="C49" s="26" t="s">
        <v>403</v>
      </c>
      <c r="E49" s="66" t="s">
        <v>758</v>
      </c>
      <c r="G49" s="150">
        <f t="shared" si="11"/>
        <v>0</v>
      </c>
      <c r="H49" s="150">
        <f t="shared" si="12"/>
        <v>0</v>
      </c>
      <c r="I49" s="69">
        <f t="shared" si="13"/>
        <v>42551</v>
      </c>
    </row>
    <row r="50" spans="1:12" s="65" customFormat="1" ht="12.75" customHeight="1">
      <c r="A50" s="66" t="s">
        <v>412</v>
      </c>
      <c r="B50" s="67"/>
      <c r="C50" s="68"/>
      <c r="E50" s="66" t="s">
        <v>424</v>
      </c>
      <c r="G50" s="150">
        <f t="shared" si="11"/>
        <v>0</v>
      </c>
      <c r="H50" s="150">
        <f t="shared" si="12"/>
        <v>0</v>
      </c>
      <c r="I50" s="69">
        <f t="shared" si="13"/>
        <v>42551</v>
      </c>
    </row>
    <row r="51" spans="1:12" s="65" customFormat="1" ht="12.75" customHeight="1">
      <c r="A51" s="66" t="s">
        <v>241</v>
      </c>
      <c r="B51" s="67"/>
      <c r="C51" s="68"/>
      <c r="E51" s="66" t="s">
        <v>759</v>
      </c>
      <c r="G51" s="150">
        <f t="shared" si="11"/>
        <v>0</v>
      </c>
      <c r="H51" s="150">
        <f t="shared" si="12"/>
        <v>0</v>
      </c>
      <c r="I51" s="69">
        <f t="shared" si="13"/>
        <v>42551</v>
      </c>
    </row>
    <row r="52" spans="1:12" s="65" customFormat="1" ht="12.75" customHeight="1">
      <c r="A52" s="66" t="s">
        <v>231</v>
      </c>
      <c r="B52" s="67"/>
      <c r="C52" s="68"/>
      <c r="E52" s="66" t="s">
        <v>760</v>
      </c>
      <c r="G52" s="150">
        <f t="shared" si="11"/>
        <v>0</v>
      </c>
      <c r="H52" s="150">
        <f t="shared" si="12"/>
        <v>0</v>
      </c>
      <c r="I52" s="69">
        <f t="shared" si="13"/>
        <v>42551</v>
      </c>
      <c r="K52" s="75"/>
      <c r="L52" s="75"/>
    </row>
    <row r="53" spans="1:12" s="65" customFormat="1" ht="12.75" customHeight="1">
      <c r="A53" s="66" t="s">
        <v>506</v>
      </c>
      <c r="B53" s="67"/>
      <c r="C53" s="68"/>
      <c r="E53" s="66" t="s">
        <v>761</v>
      </c>
      <c r="G53" s="150">
        <f t="shared" si="11"/>
        <v>0</v>
      </c>
      <c r="H53" s="150">
        <f t="shared" si="12"/>
        <v>0</v>
      </c>
      <c r="I53" s="69">
        <f t="shared" si="13"/>
        <v>42551</v>
      </c>
      <c r="K53" s="75"/>
      <c r="L53" s="75"/>
    </row>
    <row r="54" spans="1:12" s="65" customFormat="1" ht="12.75" customHeight="1">
      <c r="A54" s="66" t="s">
        <v>232</v>
      </c>
      <c r="B54" s="67"/>
      <c r="C54" s="68"/>
      <c r="E54" s="66" t="s">
        <v>762</v>
      </c>
      <c r="G54" s="150">
        <f t="shared" si="11"/>
        <v>0</v>
      </c>
      <c r="H54" s="150">
        <f t="shared" si="12"/>
        <v>0</v>
      </c>
      <c r="I54" s="69">
        <f t="shared" si="13"/>
        <v>42551</v>
      </c>
    </row>
    <row r="55" spans="1:12" s="65" customFormat="1" ht="12.75" customHeight="1">
      <c r="A55" s="66"/>
      <c r="C55" s="70"/>
      <c r="D55" s="70"/>
      <c r="E55" s="70"/>
      <c r="F55" s="70"/>
      <c r="G55" s="71"/>
      <c r="H55" s="72"/>
      <c r="I55" s="73"/>
    </row>
    <row r="56" spans="1:12" s="65" customFormat="1" ht="12.75" customHeight="1">
      <c r="C56" s="74" t="s">
        <v>71</v>
      </c>
      <c r="D56" s="70"/>
      <c r="E56" s="70"/>
      <c r="F56" s="70"/>
      <c r="G56" s="75">
        <f>SUM(G46:G54)</f>
        <v>0</v>
      </c>
      <c r="H56" s="75">
        <f>SUM(H46:H54)</f>
        <v>0</v>
      </c>
      <c r="I56" s="73"/>
    </row>
    <row r="57" spans="1:12" s="65" customFormat="1" ht="12.75" customHeight="1">
      <c r="C57" s="70"/>
      <c r="D57" s="70"/>
      <c r="E57" s="70"/>
      <c r="F57" s="70"/>
      <c r="G57" s="70"/>
      <c r="I57" s="73"/>
    </row>
    <row r="58" spans="1:12" s="65" customFormat="1" ht="12.75" customHeight="1">
      <c r="C58" s="70"/>
      <c r="D58" s="70"/>
      <c r="E58" s="70"/>
      <c r="F58" s="70"/>
      <c r="G58" s="70"/>
      <c r="I58" s="73"/>
    </row>
    <row r="59" spans="1:12" s="65" customFormat="1" ht="12.75" customHeight="1">
      <c r="C59" s="70"/>
      <c r="D59" s="70"/>
      <c r="E59" s="70"/>
      <c r="F59" s="70"/>
      <c r="G59" s="70"/>
      <c r="I59" s="73"/>
    </row>
    <row r="60" spans="1:12" s="65" customFormat="1" ht="12.75" customHeight="1">
      <c r="C60" s="70"/>
      <c r="D60" s="70"/>
      <c r="E60" s="70"/>
      <c r="F60" s="70"/>
      <c r="G60" s="70"/>
      <c r="I60" s="73"/>
    </row>
    <row r="61" spans="1:12" s="65" customFormat="1" ht="12.75" customHeight="1">
      <c r="C61" s="70"/>
      <c r="D61" s="70"/>
      <c r="E61" s="70"/>
      <c r="F61" s="70"/>
      <c r="G61" s="70"/>
      <c r="I61" s="73"/>
    </row>
    <row r="62" spans="1:12" s="65" customFormat="1" ht="12.75" customHeight="1">
      <c r="C62" s="70"/>
      <c r="D62" s="70"/>
      <c r="E62" s="70"/>
      <c r="F62" s="70"/>
      <c r="G62" s="70"/>
      <c r="I62" s="73"/>
    </row>
    <row r="63" spans="1:12" s="65" customFormat="1" ht="12.75" customHeight="1">
      <c r="C63" s="70"/>
      <c r="D63" s="70"/>
      <c r="E63" s="70"/>
      <c r="F63" s="70"/>
      <c r="G63" s="70"/>
      <c r="I63" s="73"/>
    </row>
    <row r="64" spans="1:12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s="65" customFormat="1" ht="12.75" customHeight="1">
      <c r="C101" s="70"/>
      <c r="D101" s="70"/>
      <c r="E101" s="70"/>
      <c r="F101" s="70"/>
      <c r="G101" s="70"/>
      <c r="I101" s="73"/>
    </row>
    <row r="102" spans="3:9" s="65" customFormat="1" ht="12.75" customHeight="1">
      <c r="C102" s="70"/>
      <c r="D102" s="70"/>
      <c r="E102" s="70"/>
      <c r="F102" s="70"/>
      <c r="G102" s="70"/>
      <c r="I102" s="73"/>
    </row>
    <row r="103" spans="3:9" s="65" customFormat="1" ht="12.75" customHeight="1">
      <c r="C103" s="70"/>
      <c r="D103" s="70"/>
      <c r="E103" s="70"/>
      <c r="F103" s="70"/>
      <c r="G103" s="70"/>
      <c r="I103" s="73"/>
    </row>
    <row r="104" spans="3:9" s="65" customFormat="1" ht="12.75" customHeight="1">
      <c r="C104" s="70"/>
      <c r="D104" s="70"/>
      <c r="E104" s="70"/>
      <c r="F104" s="70"/>
      <c r="G104" s="70"/>
      <c r="I104" s="73"/>
    </row>
    <row r="105" spans="3:9" s="65" customFormat="1" ht="12.75" customHeight="1">
      <c r="C105" s="70"/>
      <c r="D105" s="70"/>
      <c r="E105" s="70"/>
      <c r="F105" s="70"/>
      <c r="G105" s="70"/>
      <c r="I105" s="73"/>
    </row>
    <row r="106" spans="3:9" s="65" customFormat="1" ht="12.75" customHeight="1">
      <c r="C106" s="70"/>
      <c r="D106" s="70"/>
      <c r="E106" s="70"/>
      <c r="F106" s="70"/>
      <c r="G106" s="70"/>
      <c r="I106" s="73"/>
    </row>
    <row r="107" spans="3:9" s="65" customFormat="1" ht="12.75" customHeight="1">
      <c r="C107" s="70"/>
      <c r="D107" s="70"/>
      <c r="E107" s="70"/>
      <c r="F107" s="70"/>
      <c r="G107" s="70"/>
      <c r="I107" s="73"/>
    </row>
    <row r="108" spans="3:9" s="65" customFormat="1" ht="12.75" customHeight="1">
      <c r="C108" s="70"/>
      <c r="D108" s="70"/>
      <c r="E108" s="70"/>
      <c r="F108" s="70"/>
      <c r="G108" s="70"/>
      <c r="I108" s="73"/>
    </row>
    <row r="109" spans="3:9" s="65" customFormat="1" ht="12.75" customHeight="1">
      <c r="C109" s="70"/>
      <c r="D109" s="70"/>
      <c r="E109" s="70"/>
      <c r="F109" s="70"/>
      <c r="G109" s="70"/>
      <c r="I109" s="73"/>
    </row>
    <row r="110" spans="3:9" s="65" customFormat="1" ht="12.75" customHeight="1">
      <c r="C110" s="70"/>
      <c r="D110" s="70"/>
      <c r="E110" s="70"/>
      <c r="F110" s="70"/>
      <c r="G110" s="70"/>
      <c r="I110" s="73"/>
    </row>
    <row r="111" spans="3:9" s="65" customFormat="1" ht="12.75" customHeight="1">
      <c r="C111" s="70"/>
      <c r="D111" s="70"/>
      <c r="E111" s="70"/>
      <c r="F111" s="70"/>
      <c r="G111" s="70"/>
      <c r="I111" s="73"/>
    </row>
    <row r="112" spans="3:9" s="65" customFormat="1" ht="12.75" customHeight="1">
      <c r="C112" s="70"/>
      <c r="D112" s="70"/>
      <c r="E112" s="70"/>
      <c r="F112" s="70"/>
      <c r="G112" s="70"/>
      <c r="I112" s="73"/>
    </row>
    <row r="113" spans="3:9" s="65" customFormat="1" ht="12.75" customHeight="1">
      <c r="C113" s="70"/>
      <c r="D113" s="70"/>
      <c r="E113" s="70"/>
      <c r="F113" s="70"/>
      <c r="G113" s="70"/>
      <c r="I113" s="73"/>
    </row>
    <row r="114" spans="3:9" s="65" customFormat="1" ht="12.75" customHeight="1">
      <c r="C114" s="70"/>
      <c r="D114" s="70"/>
      <c r="E114" s="70"/>
      <c r="F114" s="70"/>
      <c r="G114" s="70"/>
      <c r="I114" s="73"/>
    </row>
    <row r="115" spans="3:9" s="65" customFormat="1" ht="12.75" customHeight="1">
      <c r="C115" s="70"/>
      <c r="D115" s="70"/>
      <c r="E115" s="70"/>
      <c r="F115" s="70"/>
      <c r="G115" s="70"/>
      <c r="I115" s="73"/>
    </row>
    <row r="116" spans="3:9" s="65" customFormat="1" ht="12.75" customHeight="1">
      <c r="C116" s="70"/>
      <c r="D116" s="70"/>
      <c r="E116" s="70"/>
      <c r="F116" s="70"/>
      <c r="G116" s="70"/>
      <c r="I116" s="73"/>
    </row>
    <row r="117" spans="3:9" s="65" customFormat="1" ht="12.75" customHeight="1">
      <c r="C117" s="70"/>
      <c r="D117" s="70"/>
      <c r="E117" s="70"/>
      <c r="F117" s="70"/>
      <c r="G117" s="70"/>
      <c r="I117" s="73"/>
    </row>
    <row r="118" spans="3:9" s="65" customFormat="1" ht="12.75" customHeight="1">
      <c r="C118" s="70"/>
      <c r="D118" s="70"/>
      <c r="E118" s="70"/>
      <c r="F118" s="70"/>
      <c r="G118" s="70"/>
      <c r="I118" s="73"/>
    </row>
    <row r="119" spans="3:9" s="65" customFormat="1" ht="12.75" customHeight="1">
      <c r="C119" s="70"/>
      <c r="D119" s="70"/>
      <c r="E119" s="70"/>
      <c r="F119" s="70"/>
      <c r="G119" s="70"/>
      <c r="I119" s="73"/>
    </row>
    <row r="120" spans="3:9" s="65" customFormat="1" ht="12.75" customHeight="1">
      <c r="C120" s="70"/>
      <c r="D120" s="70"/>
      <c r="E120" s="70"/>
      <c r="F120" s="70"/>
      <c r="G120" s="70"/>
      <c r="I120" s="73"/>
    </row>
    <row r="121" spans="3:9" s="65" customFormat="1" ht="12.75" customHeight="1">
      <c r="C121" s="70"/>
      <c r="D121" s="70"/>
      <c r="E121" s="70"/>
      <c r="F121" s="70"/>
      <c r="G121" s="70"/>
      <c r="I121" s="73"/>
    </row>
    <row r="122" spans="3:9" s="65" customFormat="1" ht="12.75" customHeight="1">
      <c r="C122" s="70"/>
      <c r="D122" s="70"/>
      <c r="E122" s="70"/>
      <c r="F122" s="70"/>
      <c r="G122" s="70"/>
      <c r="I122" s="73"/>
    </row>
    <row r="123" spans="3:9" s="65" customFormat="1" ht="12.75" customHeight="1">
      <c r="C123" s="70"/>
      <c r="D123" s="70"/>
      <c r="E123" s="70"/>
      <c r="F123" s="70"/>
      <c r="G123" s="70"/>
      <c r="I123" s="73"/>
    </row>
    <row r="124" spans="3:9" s="65" customFormat="1" ht="12.75" customHeight="1">
      <c r="C124" s="70"/>
      <c r="D124" s="70"/>
      <c r="E124" s="70"/>
      <c r="F124" s="70"/>
      <c r="G124" s="70"/>
      <c r="I124" s="73"/>
    </row>
    <row r="125" spans="3:9" s="65" customFormat="1" ht="12.75" customHeight="1">
      <c r="C125" s="70"/>
      <c r="D125" s="70"/>
      <c r="E125" s="70"/>
      <c r="F125" s="70"/>
      <c r="G125" s="70"/>
      <c r="I125" s="73"/>
    </row>
    <row r="126" spans="3:9" s="65" customFormat="1" ht="12.75" customHeight="1">
      <c r="C126" s="70"/>
      <c r="D126" s="70"/>
      <c r="E126" s="70"/>
      <c r="F126" s="70"/>
      <c r="G126" s="70"/>
      <c r="I126" s="73"/>
    </row>
    <row r="127" spans="3:9" s="65" customFormat="1" ht="12.75" customHeight="1">
      <c r="C127" s="70"/>
      <c r="D127" s="70"/>
      <c r="E127" s="70"/>
      <c r="F127" s="70"/>
      <c r="G127" s="70"/>
      <c r="I127" s="73"/>
    </row>
    <row r="128" spans="3:9" s="65" customFormat="1" ht="12.75" customHeight="1">
      <c r="C128" s="70"/>
      <c r="D128" s="70"/>
      <c r="E128" s="70"/>
      <c r="F128" s="70"/>
      <c r="G128" s="70"/>
      <c r="I128" s="73"/>
    </row>
    <row r="129" spans="3:9" s="65" customFormat="1" ht="12.75" customHeight="1">
      <c r="C129" s="70"/>
      <c r="D129" s="70"/>
      <c r="E129" s="70"/>
      <c r="F129" s="70"/>
      <c r="G129" s="70"/>
      <c r="I129" s="73"/>
    </row>
    <row r="130" spans="3:9" s="65" customFormat="1" ht="12.75" customHeight="1">
      <c r="C130" s="70"/>
      <c r="D130" s="70"/>
      <c r="E130" s="70"/>
      <c r="F130" s="70"/>
      <c r="G130" s="70"/>
      <c r="I130" s="73"/>
    </row>
    <row r="131" spans="3:9" s="65" customFormat="1" ht="12.75" customHeight="1">
      <c r="C131" s="70"/>
      <c r="D131" s="70"/>
      <c r="E131" s="70"/>
      <c r="F131" s="70"/>
      <c r="G131" s="70"/>
      <c r="I131" s="73"/>
    </row>
    <row r="132" spans="3:9" s="65" customFormat="1" ht="12.75" customHeight="1">
      <c r="C132" s="70"/>
      <c r="D132" s="70"/>
      <c r="E132" s="70"/>
      <c r="F132" s="70"/>
      <c r="G132" s="70"/>
      <c r="I132" s="73"/>
    </row>
    <row r="133" spans="3:9" s="65" customFormat="1" ht="12.75" customHeight="1">
      <c r="C133" s="70"/>
      <c r="D133" s="70"/>
      <c r="E133" s="70"/>
      <c r="F133" s="70"/>
      <c r="G133" s="70"/>
      <c r="I133" s="73"/>
    </row>
    <row r="134" spans="3:9" s="65" customFormat="1" ht="12.75" customHeight="1">
      <c r="C134" s="70"/>
      <c r="D134" s="70"/>
      <c r="E134" s="70"/>
      <c r="F134" s="70"/>
      <c r="G134" s="70"/>
      <c r="I134" s="73"/>
    </row>
    <row r="135" spans="3:9" s="65" customFormat="1" ht="12.75" customHeight="1">
      <c r="C135" s="70"/>
      <c r="D135" s="70"/>
      <c r="E135" s="70"/>
      <c r="F135" s="70"/>
      <c r="G135" s="70"/>
      <c r="I135" s="73"/>
    </row>
    <row r="136" spans="3:9" s="65" customFormat="1" ht="12.75" customHeight="1">
      <c r="C136" s="70"/>
      <c r="D136" s="70"/>
      <c r="E136" s="70"/>
      <c r="F136" s="70"/>
      <c r="G136" s="70"/>
      <c r="I136" s="73"/>
    </row>
    <row r="137" spans="3:9" s="65" customFormat="1" ht="12.75" customHeight="1">
      <c r="C137" s="70"/>
      <c r="D137" s="70"/>
      <c r="E137" s="70"/>
      <c r="F137" s="70"/>
      <c r="G137" s="70"/>
      <c r="I137" s="73"/>
    </row>
    <row r="138" spans="3:9" s="65" customFormat="1" ht="12.75" customHeight="1">
      <c r="C138" s="70"/>
      <c r="D138" s="70"/>
      <c r="E138" s="70"/>
      <c r="F138" s="70"/>
      <c r="G138" s="70"/>
      <c r="I138" s="73"/>
    </row>
    <row r="139" spans="3:9" s="65" customFormat="1" ht="12.75" customHeight="1">
      <c r="C139" s="70"/>
      <c r="D139" s="70"/>
      <c r="E139" s="70"/>
      <c r="F139" s="70"/>
      <c r="G139" s="70"/>
      <c r="I139" s="73"/>
    </row>
    <row r="140" spans="3:9" s="65" customFormat="1" ht="12.75" customHeight="1">
      <c r="C140" s="70"/>
      <c r="D140" s="70"/>
      <c r="E140" s="70"/>
      <c r="F140" s="70"/>
      <c r="G140" s="70"/>
      <c r="I140" s="73"/>
    </row>
    <row r="141" spans="3:9" s="65" customFormat="1" ht="12.75" customHeight="1">
      <c r="C141" s="70"/>
      <c r="D141" s="70"/>
      <c r="E141" s="70"/>
      <c r="F141" s="70"/>
      <c r="G141" s="70"/>
      <c r="I141" s="73"/>
    </row>
    <row r="142" spans="3:9" s="65" customFormat="1" ht="12.75" customHeight="1">
      <c r="C142" s="70"/>
      <c r="D142" s="70"/>
      <c r="E142" s="70"/>
      <c r="F142" s="70"/>
      <c r="G142" s="70"/>
      <c r="I142" s="73"/>
    </row>
  </sheetData>
  <mergeCells count="2">
    <mergeCell ref="A8:I8"/>
    <mergeCell ref="G5:I5"/>
  </mergeCells>
  <phoneticPr fontId="0" type="noConversion"/>
  <conditionalFormatting sqref="G43">
    <cfRule type="cellIs" dxfId="2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K667"/>
  <sheetViews>
    <sheetView topLeftCell="A12" zoomScaleNormal="100" workbookViewId="0">
      <selection activeCell="C36" sqref="C36"/>
    </sheetView>
  </sheetViews>
  <sheetFormatPr defaultColWidth="9.140625" defaultRowHeight="12.75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3.5703125" style="23" bestFit="1" customWidth="1"/>
    <col min="11" max="11" width="12.42578125" style="23" bestFit="1" customWidth="1"/>
    <col min="12" max="16384" width="9.140625" style="23"/>
  </cols>
  <sheetData>
    <row r="1" spans="1:9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9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9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9" s="92" customFormat="1" ht="12.75" customHeight="1">
      <c r="C4" s="95"/>
      <c r="D4" s="95"/>
      <c r="E4" s="95"/>
      <c r="F4" s="95"/>
      <c r="G4" s="95"/>
      <c r="I4" s="97"/>
    </row>
    <row r="5" spans="1:9" s="92" customFormat="1" ht="15.75">
      <c r="C5" s="95"/>
      <c r="D5" s="37"/>
      <c r="E5" s="36" t="s">
        <v>46</v>
      </c>
      <c r="F5" s="199" t="s">
        <v>144</v>
      </c>
      <c r="G5" s="505" t="str">
        <f>VLOOKUP($F5,District,2,FALSE)</f>
        <v>SBCTC Admin</v>
      </c>
      <c r="H5" s="505"/>
      <c r="I5" s="505"/>
    </row>
    <row r="6" spans="1:9" ht="12.75" customHeight="1" thickBot="1"/>
    <row r="7" spans="1:9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9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9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9" ht="12.75" customHeight="1">
      <c r="A10" s="46"/>
      <c r="B10" s="47"/>
      <c r="C10" s="48">
        <f>IF(ISNA(VLOOKUP($F$5,Student,8,FALSE)),0,VLOOKUP($F$5,Student,8,FALSE))</f>
        <v>0</v>
      </c>
      <c r="D10" s="48"/>
      <c r="E10" s="48">
        <f>IF(ISNA(VLOOKUP($F$5,Student,14,FALSE)),0,VLOOKUP($F$5,Student,14,FALSE))</f>
        <v>0</v>
      </c>
      <c r="F10" s="48"/>
      <c r="G10" s="48">
        <f>$E$10+$C$10+$A$10</f>
        <v>0</v>
      </c>
      <c r="I10" s="49"/>
    </row>
    <row r="11" spans="1:9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9" ht="12.75" customHeight="1" thickTop="1"/>
    <row r="13" spans="1:9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9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9" s="83" customFormat="1">
      <c r="A15" s="114" t="s">
        <v>167</v>
      </c>
      <c r="B15" s="84"/>
      <c r="C15" s="85"/>
      <c r="D15" s="85"/>
      <c r="E15" s="86"/>
      <c r="F15" s="86"/>
      <c r="G15" s="86"/>
      <c r="H15" s="87"/>
      <c r="I15" s="88"/>
    </row>
    <row r="16" spans="1:9" ht="12.75" customHeight="1">
      <c r="A16" s="115" t="s">
        <v>186</v>
      </c>
      <c r="B16" s="35" t="s">
        <v>51</v>
      </c>
      <c r="C16" s="21">
        <f t="shared" ref="C16:C22" si="0">IF(ISNA(VLOOKUP($F$5 &amp;A16, AllocSched,12,FALSE)),"-",VLOOKUP($F$5 &amp;A16, AllocSched,12,FALSE))</f>
        <v>14365953</v>
      </c>
      <c r="D16" s="112" t="s">
        <v>51</v>
      </c>
      <c r="E16" s="21">
        <f t="shared" ref="E16:E22" si="1">IF(ISNA(VLOOKUP($F$5 &amp; A16, AllocSched,13,FALSE)),"-",VLOOKUP($F$5 &amp; A16, AllocSched,13,FALSE))</f>
        <v>1141270</v>
      </c>
      <c r="F16" s="16" t="s">
        <v>51</v>
      </c>
      <c r="G16" s="21">
        <f t="shared" ref="G16:G22" si="2">IF(C16="-",E16,C16+E16)</f>
        <v>15507223</v>
      </c>
      <c r="H16" s="55" t="str">
        <f t="shared" ref="H16:H31" si="3">IF(ISNA(VLOOKUP($F$5 &amp; A16, AllocSched,9,FALSE))," ",VLOOKUP($F$5 &amp; A16, AllocSched,9,FALSE))</f>
        <v>001-011</v>
      </c>
      <c r="I16" s="56">
        <f t="shared" ref="I16:I31" si="4">IF(ISNA(VLOOKUP($F$5 &amp; A16, AllocSched,14,FALSE))," ",VLOOKUP($F$5 &amp; A16, AllocSched,14,FALSE))</f>
        <v>101</v>
      </c>
    </row>
    <row r="17" spans="1:11" s="272" customFormat="1" ht="12.75" customHeight="1">
      <c r="A17" s="115" t="s">
        <v>448</v>
      </c>
      <c r="B17" s="35"/>
      <c r="C17" s="21">
        <f t="shared" si="0"/>
        <v>0</v>
      </c>
      <c r="D17" s="112"/>
      <c r="E17" s="21">
        <f t="shared" si="1"/>
        <v>119589</v>
      </c>
      <c r="F17" s="16" t="s">
        <v>51</v>
      </c>
      <c r="G17" s="21">
        <f t="shared" si="2"/>
        <v>119589</v>
      </c>
      <c r="H17" s="55" t="str">
        <f>IF(ISNA(VLOOKUP($F$5 &amp; A17, AllocSched,9,FALSE))," ",VLOOKUP($F$5 &amp; A17, AllocSched,9,FALSE))</f>
        <v>001-011</v>
      </c>
      <c r="I17" s="56">
        <f t="shared" si="4"/>
        <v>101</v>
      </c>
    </row>
    <row r="18" spans="1:11" s="269" customFormat="1" ht="12.75" customHeight="1">
      <c r="A18" s="115" t="s">
        <v>340</v>
      </c>
      <c r="B18" s="54"/>
      <c r="C18" s="21">
        <f t="shared" si="0"/>
        <v>0</v>
      </c>
      <c r="D18" s="112"/>
      <c r="E18" s="21">
        <f t="shared" si="1"/>
        <v>282414</v>
      </c>
      <c r="F18" s="16"/>
      <c r="G18" s="21">
        <f t="shared" si="2"/>
        <v>282414</v>
      </c>
      <c r="H18" s="55" t="str">
        <f>IF(ISNA(VLOOKUP($F$5 &amp; A18, AllocSched,9,FALSE))," ",VLOOKUP($F$5 &amp; A18, AllocSched,9,FALSE))</f>
        <v>001-011</v>
      </c>
      <c r="I18" s="56">
        <f t="shared" si="4"/>
        <v>101</v>
      </c>
      <c r="J18" s="25"/>
      <c r="K18" s="25"/>
    </row>
    <row r="19" spans="1:11" s="272" customFormat="1" ht="12.75" customHeight="1">
      <c r="A19" s="115" t="s">
        <v>455</v>
      </c>
      <c r="B19" s="54"/>
      <c r="C19" s="21">
        <f t="shared" si="0"/>
        <v>0</v>
      </c>
      <c r="D19" s="112"/>
      <c r="E19" s="21">
        <f t="shared" si="1"/>
        <v>2673</v>
      </c>
      <c r="F19" s="16"/>
      <c r="G19" s="21">
        <f t="shared" si="2"/>
        <v>2673</v>
      </c>
      <c r="H19" s="55" t="str">
        <f>IF(ISNA(VLOOKUP($F$5 &amp; A19, AllocSched,9,FALSE))," ",VLOOKUP($F$5 &amp; A19, AllocSched,9,FALSE))</f>
        <v>001-011</v>
      </c>
      <c r="I19" s="56">
        <f t="shared" si="4"/>
        <v>101</v>
      </c>
      <c r="J19" s="25"/>
      <c r="K19" s="25"/>
    </row>
    <row r="20" spans="1:11" ht="12.75" customHeight="1">
      <c r="A20" s="115" t="s">
        <v>207</v>
      </c>
      <c r="B20" s="54"/>
      <c r="C20" s="21">
        <f t="shared" si="0"/>
        <v>0</v>
      </c>
      <c r="D20" s="112"/>
      <c r="E20" s="21">
        <f t="shared" si="1"/>
        <v>54899</v>
      </c>
      <c r="F20" s="16"/>
      <c r="G20" s="21">
        <f t="shared" si="2"/>
        <v>54899</v>
      </c>
      <c r="H20" s="55" t="str">
        <f t="shared" si="3"/>
        <v>001-011</v>
      </c>
      <c r="I20" s="56">
        <f t="shared" si="4"/>
        <v>101</v>
      </c>
    </row>
    <row r="21" spans="1:11" s="272" customFormat="1" ht="12.75" customHeight="1">
      <c r="A21" s="115" t="s">
        <v>203</v>
      </c>
      <c r="B21" s="54"/>
      <c r="C21" s="21">
        <f t="shared" si="0"/>
        <v>0</v>
      </c>
      <c r="D21" s="112"/>
      <c r="E21" s="21">
        <f t="shared" si="1"/>
        <v>-4448</v>
      </c>
      <c r="F21" s="16"/>
      <c r="G21" s="21">
        <f t="shared" si="2"/>
        <v>-4448</v>
      </c>
      <c r="H21" s="55" t="str">
        <f>IF(ISNA(VLOOKUP($F$5 &amp; A21, AllocSched,9,FALSE))," ",VLOOKUP($F$5 &amp; A21, AllocSched,9,FALSE))</f>
        <v>001-011</v>
      </c>
      <c r="I21" s="56">
        <f t="shared" si="4"/>
        <v>101</v>
      </c>
    </row>
    <row r="22" spans="1:11" s="272" customFormat="1" ht="12.75" customHeight="1">
      <c r="A22" s="115" t="s">
        <v>454</v>
      </c>
      <c r="B22" s="54"/>
      <c r="C22" s="21">
        <f t="shared" si="0"/>
        <v>0</v>
      </c>
      <c r="D22" s="112"/>
      <c r="E22" s="21">
        <f t="shared" si="1"/>
        <v>1591</v>
      </c>
      <c r="F22" s="16"/>
      <c r="G22" s="21">
        <f t="shared" si="2"/>
        <v>1591</v>
      </c>
      <c r="H22" s="55" t="str">
        <f>IF(ISNA(VLOOKUP($F$5 &amp; A22, AllocSched,9,FALSE))," ",VLOOKUP($F$5 &amp; A22, AllocSched,9,FALSE))</f>
        <v>001-011</v>
      </c>
      <c r="I22" s="56">
        <f t="shared" si="4"/>
        <v>101</v>
      </c>
    </row>
    <row r="23" spans="1:11" ht="12.75" customHeight="1">
      <c r="A23" s="115"/>
      <c r="B23" s="54"/>
      <c r="C23" s="21"/>
      <c r="D23" s="112"/>
      <c r="E23" s="21"/>
      <c r="F23" s="16"/>
      <c r="G23" s="21"/>
      <c r="H23" s="55" t="str">
        <f t="shared" si="3"/>
        <v xml:space="preserve"> </v>
      </c>
      <c r="I23" s="56" t="str">
        <f t="shared" si="4"/>
        <v xml:space="preserve"> </v>
      </c>
    </row>
    <row r="24" spans="1:11" s="83" customFormat="1">
      <c r="A24" s="114" t="s">
        <v>168</v>
      </c>
      <c r="B24" s="84"/>
      <c r="C24" s="21"/>
      <c r="D24" s="112"/>
      <c r="E24" s="21"/>
      <c r="F24" s="16"/>
      <c r="G24" s="21"/>
      <c r="H24" s="55" t="str">
        <f t="shared" si="3"/>
        <v xml:space="preserve"> </v>
      </c>
      <c r="I24" s="56" t="str">
        <f t="shared" si="4"/>
        <v xml:space="preserve"> </v>
      </c>
    </row>
    <row r="25" spans="1:11" ht="12.75" customHeight="1">
      <c r="A25" s="115" t="s">
        <v>160</v>
      </c>
      <c r="B25" s="54"/>
      <c r="C25" s="21">
        <f t="shared" ref="C25:C31" si="5">IF(ISNA(VLOOKUP($F$5 &amp;A25, AllocSched,12,FALSE)),"-",VLOOKUP($F$5 &amp;A25, AllocSched,12,FALSE))</f>
        <v>25411</v>
      </c>
      <c r="D25" s="112"/>
      <c r="E25" s="21">
        <f t="shared" ref="E25:E31" si="6">IF(ISNA(VLOOKUP($F$5 &amp; A25, AllocSched,13,FALSE)),"-",VLOOKUP($F$5 &amp; A25, AllocSched,13,FALSE))</f>
        <v>-25411</v>
      </c>
      <c r="F25" s="16"/>
      <c r="G25" s="21">
        <f t="shared" ref="G25:G31" si="7">IF(C25="-",E25,C25+E25)</f>
        <v>0</v>
      </c>
      <c r="H25" s="55" t="str">
        <f t="shared" si="3"/>
        <v>001-011</v>
      </c>
      <c r="I25" s="56">
        <f t="shared" si="4"/>
        <v>101</v>
      </c>
    </row>
    <row r="26" spans="1:11" ht="12.75" customHeight="1">
      <c r="A26" s="115" t="s">
        <v>52</v>
      </c>
      <c r="B26" s="54"/>
      <c r="C26" s="21">
        <f t="shared" si="5"/>
        <v>55000</v>
      </c>
      <c r="D26" s="112"/>
      <c r="E26" s="21">
        <f t="shared" si="6"/>
        <v>0</v>
      </c>
      <c r="F26" s="16"/>
      <c r="G26" s="21">
        <f t="shared" si="7"/>
        <v>55000</v>
      </c>
      <c r="H26" s="55" t="str">
        <f t="shared" si="3"/>
        <v>08A-430</v>
      </c>
      <c r="I26" s="56" t="str">
        <f t="shared" si="4"/>
        <v>430</v>
      </c>
    </row>
    <row r="27" spans="1:11" ht="12.75" customHeight="1">
      <c r="A27" s="115" t="s">
        <v>162</v>
      </c>
      <c r="B27" s="54"/>
      <c r="C27" s="21">
        <f t="shared" si="5"/>
        <v>42074</v>
      </c>
      <c r="D27" s="112"/>
      <c r="E27" s="21">
        <f t="shared" si="6"/>
        <v>-42074</v>
      </c>
      <c r="F27" s="16"/>
      <c r="G27" s="21">
        <f t="shared" si="7"/>
        <v>0</v>
      </c>
      <c r="H27" s="55" t="str">
        <f t="shared" si="3"/>
        <v>001-011</v>
      </c>
      <c r="I27" s="56">
        <f t="shared" si="4"/>
        <v>101</v>
      </c>
    </row>
    <row r="28" spans="1:11" ht="12.75" customHeight="1">
      <c r="A28" s="115" t="s">
        <v>151</v>
      </c>
      <c r="B28" s="54"/>
      <c r="C28" s="21">
        <f t="shared" si="5"/>
        <v>118300</v>
      </c>
      <c r="D28" s="112"/>
      <c r="E28" s="16">
        <f t="shared" si="6"/>
        <v>0</v>
      </c>
      <c r="F28" s="16"/>
      <c r="G28" s="21">
        <f t="shared" si="7"/>
        <v>118300</v>
      </c>
      <c r="H28" s="55" t="str">
        <f t="shared" si="3"/>
        <v>08A-3E0</v>
      </c>
      <c r="I28" s="56" t="str">
        <f t="shared" si="4"/>
        <v>3E0</v>
      </c>
    </row>
    <row r="29" spans="1:11" ht="12.75" customHeight="1">
      <c r="A29" s="115" t="s">
        <v>221</v>
      </c>
      <c r="B29" s="54"/>
      <c r="C29" s="21">
        <f t="shared" si="5"/>
        <v>1009270</v>
      </c>
      <c r="D29" s="112"/>
      <c r="E29" s="16">
        <f t="shared" si="6"/>
        <v>-1009270</v>
      </c>
      <c r="F29" s="16"/>
      <c r="G29" s="21">
        <f t="shared" si="7"/>
        <v>0</v>
      </c>
      <c r="H29" s="55" t="str">
        <f>IF(ISNA(VLOOKUP($F$5 &amp; A29, AllocSched,9,FALSE))," ",VLOOKUP($F$5 &amp; A29, AllocSched,9,FALSE))</f>
        <v>001-011</v>
      </c>
      <c r="I29" s="56">
        <f t="shared" si="4"/>
        <v>101</v>
      </c>
    </row>
    <row r="30" spans="1:11" ht="12.75" customHeight="1">
      <c r="A30" s="115" t="s">
        <v>333</v>
      </c>
      <c r="B30" s="54"/>
      <c r="C30" s="21">
        <f t="shared" si="5"/>
        <v>497555</v>
      </c>
      <c r="D30" s="112"/>
      <c r="E30" s="16">
        <f t="shared" si="6"/>
        <v>0</v>
      </c>
      <c r="F30" s="16"/>
      <c r="G30" s="21">
        <f t="shared" si="7"/>
        <v>497555</v>
      </c>
      <c r="H30" s="55" t="str">
        <f>IF(ISNA(VLOOKUP($F$5 &amp; A30, AllocSched,9,FALSE))," ",VLOOKUP($F$5 &amp; A30, AllocSched,9,FALSE))</f>
        <v>001-011</v>
      </c>
      <c r="I30" s="56">
        <f t="shared" si="4"/>
        <v>101</v>
      </c>
    </row>
    <row r="31" spans="1:11" ht="12.75" customHeight="1">
      <c r="A31" s="115" t="s">
        <v>228</v>
      </c>
      <c r="B31" s="54"/>
      <c r="C31" s="21">
        <f t="shared" si="5"/>
        <v>132000</v>
      </c>
      <c r="D31" s="112"/>
      <c r="E31" s="16">
        <f t="shared" si="6"/>
        <v>-132000</v>
      </c>
      <c r="F31" s="16"/>
      <c r="G31" s="21">
        <f t="shared" si="7"/>
        <v>0</v>
      </c>
      <c r="H31" s="55" t="str">
        <f t="shared" si="3"/>
        <v>001-011</v>
      </c>
      <c r="I31" s="56">
        <f t="shared" si="4"/>
        <v>101</v>
      </c>
    </row>
    <row r="32" spans="1:11" ht="12.75" customHeight="1">
      <c r="A32" s="54"/>
      <c r="B32" s="54"/>
      <c r="C32" s="16"/>
      <c r="D32" s="112"/>
      <c r="E32" s="16"/>
      <c r="F32" s="16"/>
      <c r="G32" s="16"/>
      <c r="H32" s="55"/>
      <c r="I32" s="56"/>
    </row>
    <row r="33" spans="1:11" ht="13.5" thickBot="1">
      <c r="A33" s="89" t="s">
        <v>174</v>
      </c>
      <c r="B33" s="57" t="s">
        <v>51</v>
      </c>
      <c r="C33" s="111">
        <f>SUM(C16:C31)</f>
        <v>16245563</v>
      </c>
      <c r="D33" s="113" t="s">
        <v>51</v>
      </c>
      <c r="E33" s="111">
        <f>SUM(E16:E31)</f>
        <v>389233</v>
      </c>
      <c r="F33" s="113" t="s">
        <v>51</v>
      </c>
      <c r="G33" s="111">
        <f>SUM(G16:G31)</f>
        <v>16634796</v>
      </c>
      <c r="J33" s="25"/>
      <c r="K33" s="30"/>
    </row>
    <row r="34" spans="1:11" s="65" customFormat="1" ht="12.75" customHeight="1" thickTop="1">
      <c r="C34" s="70"/>
      <c r="D34" s="70"/>
      <c r="E34" s="70"/>
      <c r="F34" s="70"/>
      <c r="G34" s="70"/>
      <c r="I34" s="73"/>
    </row>
    <row r="35" spans="1:11" s="65" customFormat="1" ht="12.75" customHeight="1">
      <c r="C35" s="70"/>
      <c r="D35" s="70"/>
      <c r="E35" s="70"/>
      <c r="F35" s="70"/>
      <c r="G35" s="70"/>
      <c r="I35" s="73"/>
    </row>
    <row r="36" spans="1:11" s="65" customFormat="1" ht="12.75" customHeight="1">
      <c r="C36" s="70"/>
      <c r="D36" s="70"/>
      <c r="E36" s="70"/>
      <c r="F36" s="70"/>
      <c r="G36" s="70"/>
      <c r="I36" s="73"/>
    </row>
    <row r="37" spans="1:11" s="65" customFormat="1" ht="12.75" customHeight="1">
      <c r="C37" s="70"/>
      <c r="D37" s="70"/>
      <c r="E37" s="70"/>
      <c r="F37" s="70"/>
      <c r="G37" s="70"/>
      <c r="I37" s="73"/>
    </row>
    <row r="38" spans="1:11" s="65" customFormat="1" ht="12.75" customHeight="1">
      <c r="C38" s="70"/>
      <c r="D38" s="70"/>
      <c r="E38" s="70"/>
      <c r="F38" s="70"/>
      <c r="G38" s="70"/>
      <c r="I38" s="73"/>
    </row>
    <row r="39" spans="1:11" s="65" customFormat="1" ht="12.75" customHeight="1">
      <c r="C39" s="70"/>
      <c r="D39" s="70"/>
      <c r="E39" s="70"/>
      <c r="F39" s="70"/>
      <c r="G39" s="70"/>
      <c r="I39" s="73"/>
    </row>
    <row r="40" spans="1:11" s="65" customFormat="1" ht="12.75" customHeight="1">
      <c r="C40" s="70"/>
      <c r="D40" s="70"/>
      <c r="E40" s="70"/>
      <c r="F40" s="70"/>
      <c r="G40" s="70"/>
      <c r="I40" s="73"/>
    </row>
    <row r="41" spans="1:11" s="65" customFormat="1" ht="12.75" customHeight="1">
      <c r="C41" s="70"/>
      <c r="D41" s="70"/>
      <c r="E41" s="70"/>
      <c r="F41" s="70"/>
      <c r="G41" s="70"/>
      <c r="I41" s="73"/>
    </row>
    <row r="42" spans="1:11" s="65" customFormat="1" ht="12.75" customHeight="1">
      <c r="C42" s="70"/>
      <c r="D42" s="70"/>
      <c r="E42" s="70"/>
      <c r="F42" s="70"/>
      <c r="G42" s="70"/>
      <c r="I42" s="73"/>
    </row>
    <row r="43" spans="1:11" s="65" customFormat="1" ht="12.75" customHeight="1">
      <c r="C43" s="70"/>
      <c r="D43" s="70"/>
      <c r="E43" s="70"/>
      <c r="F43" s="70"/>
      <c r="G43" s="70"/>
      <c r="I43" s="73"/>
    </row>
    <row r="44" spans="1:11" s="65" customFormat="1" ht="12.75" customHeight="1">
      <c r="C44" s="70"/>
      <c r="D44" s="70"/>
      <c r="E44" s="70"/>
      <c r="F44" s="70"/>
      <c r="G44" s="70"/>
      <c r="I44" s="73"/>
    </row>
    <row r="45" spans="1:11" s="65" customFormat="1" ht="12.75" customHeight="1">
      <c r="C45" s="70"/>
      <c r="D45" s="70"/>
      <c r="E45" s="70"/>
      <c r="F45" s="70"/>
      <c r="G45" s="70"/>
      <c r="I45" s="73"/>
    </row>
    <row r="46" spans="1:11" s="65" customFormat="1" ht="12.75" customHeight="1">
      <c r="C46" s="70"/>
      <c r="D46" s="70"/>
      <c r="E46" s="70"/>
      <c r="F46" s="70"/>
      <c r="G46" s="70"/>
      <c r="I46" s="73"/>
    </row>
    <row r="47" spans="1:11" s="65" customFormat="1" ht="12.75" customHeight="1">
      <c r="C47" s="70"/>
      <c r="D47" s="70"/>
      <c r="E47" s="70"/>
      <c r="F47" s="70"/>
      <c r="G47" s="70"/>
      <c r="I47" s="73"/>
    </row>
    <row r="48" spans="1:11" s="65" customFormat="1" ht="12.75" customHeight="1">
      <c r="C48" s="70"/>
      <c r="D48" s="70"/>
      <c r="E48" s="70"/>
      <c r="F48" s="70"/>
      <c r="G48" s="70"/>
      <c r="I48" s="73"/>
    </row>
    <row r="49" spans="3:9" s="65" customFormat="1" ht="12.75" customHeight="1">
      <c r="C49" s="70"/>
      <c r="D49" s="70"/>
      <c r="E49" s="70"/>
      <c r="F49" s="70"/>
      <c r="G49" s="70"/>
      <c r="I49" s="73"/>
    </row>
    <row r="50" spans="3:9" s="65" customFormat="1" ht="12.75" customHeight="1">
      <c r="C50" s="70"/>
      <c r="D50" s="70"/>
      <c r="E50" s="70"/>
      <c r="F50" s="70"/>
      <c r="G50" s="70"/>
      <c r="I50" s="73"/>
    </row>
    <row r="51" spans="3:9" s="65" customFormat="1" ht="12.75" customHeight="1">
      <c r="C51" s="70"/>
      <c r="D51" s="70"/>
      <c r="E51" s="70"/>
      <c r="F51" s="70"/>
      <c r="G51" s="70"/>
      <c r="I51" s="73"/>
    </row>
    <row r="52" spans="3:9" s="65" customFormat="1" ht="12.75" customHeight="1">
      <c r="C52" s="70"/>
      <c r="D52" s="70"/>
      <c r="E52" s="70"/>
      <c r="F52" s="70"/>
      <c r="G52" s="70"/>
      <c r="I52" s="73"/>
    </row>
    <row r="53" spans="3:9" s="65" customFormat="1" ht="12.75" customHeight="1">
      <c r="C53" s="70"/>
      <c r="D53" s="70"/>
      <c r="E53" s="70"/>
      <c r="F53" s="70"/>
      <c r="G53" s="70"/>
      <c r="I53" s="73"/>
    </row>
    <row r="54" spans="3:9" s="65" customFormat="1" ht="12.75" customHeight="1">
      <c r="C54" s="70"/>
      <c r="D54" s="70"/>
      <c r="E54" s="70"/>
      <c r="F54" s="70"/>
      <c r="G54" s="70"/>
      <c r="I54" s="73"/>
    </row>
    <row r="55" spans="3:9" s="65" customFormat="1" ht="12.75" customHeight="1">
      <c r="C55" s="70"/>
      <c r="D55" s="70"/>
      <c r="E55" s="70"/>
      <c r="F55" s="70"/>
      <c r="G55" s="70"/>
      <c r="I55" s="73"/>
    </row>
    <row r="56" spans="3:9" s="65" customFormat="1" ht="12.75" customHeight="1">
      <c r="C56" s="70"/>
      <c r="D56" s="70"/>
      <c r="E56" s="70"/>
      <c r="F56" s="70"/>
      <c r="G56" s="70"/>
      <c r="I56" s="73"/>
    </row>
    <row r="57" spans="3:9" s="65" customFormat="1" ht="12.75" customHeight="1">
      <c r="C57" s="70"/>
      <c r="D57" s="70"/>
      <c r="E57" s="70"/>
      <c r="F57" s="70"/>
      <c r="G57" s="70"/>
      <c r="I57" s="73"/>
    </row>
    <row r="58" spans="3:9" s="65" customFormat="1" ht="12.75" customHeight="1">
      <c r="C58" s="70"/>
      <c r="D58" s="70"/>
      <c r="E58" s="70"/>
      <c r="F58" s="70"/>
      <c r="G58" s="70"/>
      <c r="I58" s="73"/>
    </row>
    <row r="59" spans="3:9" s="65" customFormat="1" ht="12.75" customHeight="1">
      <c r="C59" s="70"/>
      <c r="D59" s="70"/>
      <c r="E59" s="70"/>
      <c r="F59" s="70"/>
      <c r="G59" s="70"/>
      <c r="I59" s="73"/>
    </row>
    <row r="60" spans="3:9" s="65" customFormat="1" ht="12.75" customHeight="1">
      <c r="C60" s="70"/>
      <c r="D60" s="70"/>
      <c r="E60" s="70"/>
      <c r="F60" s="70"/>
      <c r="G60" s="70"/>
      <c r="I60" s="73"/>
    </row>
    <row r="61" spans="3:9" s="65" customFormat="1" ht="12.75" customHeight="1">
      <c r="C61" s="70"/>
      <c r="D61" s="70"/>
      <c r="E61" s="70"/>
      <c r="F61" s="70"/>
      <c r="G61" s="70"/>
      <c r="I61" s="73"/>
    </row>
    <row r="62" spans="3:9" s="65" customFormat="1" ht="12.75" customHeight="1">
      <c r="C62" s="70"/>
      <c r="D62" s="70"/>
      <c r="E62" s="70"/>
      <c r="F62" s="70"/>
      <c r="G62" s="70"/>
      <c r="I62" s="73"/>
    </row>
    <row r="63" spans="3:9" s="65" customFormat="1" ht="12.75" customHeight="1">
      <c r="C63" s="70"/>
      <c r="D63" s="70"/>
      <c r="E63" s="70"/>
      <c r="F63" s="70"/>
      <c r="G63" s="70"/>
      <c r="I63" s="73"/>
    </row>
    <row r="64" spans="3:9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ht="12.75" customHeight="1"/>
    <row r="102" spans="3:9" ht="12.75" customHeight="1"/>
    <row r="103" spans="3:9" ht="12.75" customHeight="1"/>
    <row r="104" spans="3:9" ht="12.75" customHeight="1"/>
    <row r="105" spans="3:9" ht="12.75" customHeight="1"/>
    <row r="106" spans="3:9" ht="12.75" customHeight="1"/>
    <row r="107" spans="3:9" ht="12.75" customHeight="1"/>
    <row r="108" spans="3:9" ht="12.75" customHeight="1"/>
    <row r="109" spans="3:9" ht="12.75" customHeight="1">
      <c r="C109" s="23"/>
      <c r="D109" s="23"/>
      <c r="E109" s="23"/>
      <c r="F109" s="23"/>
      <c r="G109" s="23"/>
      <c r="I109" s="23"/>
    </row>
    <row r="110" spans="3:9" ht="12.75" customHeight="1">
      <c r="C110" s="23"/>
      <c r="D110" s="23"/>
      <c r="E110" s="23"/>
      <c r="F110" s="23"/>
      <c r="G110" s="23"/>
      <c r="I110" s="23"/>
    </row>
    <row r="111" spans="3:9" ht="12.75" customHeight="1">
      <c r="C111" s="23"/>
      <c r="D111" s="23"/>
      <c r="E111" s="23"/>
      <c r="F111" s="23"/>
      <c r="G111" s="23"/>
      <c r="I111" s="23"/>
    </row>
    <row r="112" spans="3:9" ht="12.75" customHeight="1">
      <c r="C112" s="23"/>
      <c r="D112" s="23"/>
      <c r="E112" s="23"/>
      <c r="F112" s="23"/>
      <c r="G112" s="23"/>
      <c r="I112" s="23"/>
    </row>
    <row r="113" spans="3:9" ht="12.75" customHeight="1">
      <c r="C113" s="23"/>
      <c r="D113" s="23"/>
      <c r="E113" s="23"/>
      <c r="F113" s="23"/>
      <c r="G113" s="23"/>
      <c r="I113" s="23"/>
    </row>
    <row r="114" spans="3:9" ht="12.75" customHeight="1">
      <c r="C114" s="23"/>
      <c r="D114" s="23"/>
      <c r="E114" s="23"/>
      <c r="F114" s="23"/>
      <c r="G114" s="23"/>
      <c r="I114" s="23"/>
    </row>
    <row r="115" spans="3:9" ht="12.75" customHeight="1">
      <c r="C115" s="23"/>
      <c r="D115" s="23"/>
      <c r="E115" s="23"/>
      <c r="F115" s="23"/>
      <c r="G115" s="23"/>
      <c r="I115" s="23"/>
    </row>
    <row r="116" spans="3:9" ht="12.75" customHeight="1">
      <c r="C116" s="23"/>
      <c r="D116" s="23"/>
      <c r="E116" s="23"/>
      <c r="F116" s="23"/>
      <c r="G116" s="23"/>
      <c r="I116" s="23"/>
    </row>
    <row r="117" spans="3:9" ht="12.75" customHeight="1">
      <c r="C117" s="23"/>
      <c r="D117" s="23"/>
      <c r="E117" s="23"/>
      <c r="F117" s="23"/>
      <c r="G117" s="23"/>
      <c r="I117" s="23"/>
    </row>
    <row r="118" spans="3:9" ht="12.75" customHeight="1">
      <c r="C118" s="23"/>
      <c r="D118" s="23"/>
      <c r="E118" s="23"/>
      <c r="F118" s="23"/>
      <c r="G118" s="23"/>
      <c r="I118" s="23"/>
    </row>
    <row r="119" spans="3:9" ht="12.75" customHeight="1">
      <c r="C119" s="23"/>
      <c r="D119" s="23"/>
      <c r="E119" s="23"/>
      <c r="F119" s="23"/>
      <c r="G119" s="23"/>
      <c r="I119" s="23"/>
    </row>
    <row r="120" spans="3:9" ht="12.75" customHeight="1">
      <c r="C120" s="23"/>
      <c r="D120" s="23"/>
      <c r="E120" s="23"/>
      <c r="F120" s="23"/>
      <c r="G120" s="23"/>
      <c r="I120" s="23"/>
    </row>
    <row r="121" spans="3:9" ht="12.75" customHeight="1">
      <c r="C121" s="23"/>
      <c r="D121" s="23"/>
      <c r="E121" s="23"/>
      <c r="F121" s="23"/>
      <c r="G121" s="23"/>
      <c r="I121" s="23"/>
    </row>
    <row r="122" spans="3:9" ht="12.75" customHeight="1">
      <c r="C122" s="23"/>
      <c r="D122" s="23"/>
      <c r="E122" s="23"/>
      <c r="F122" s="23"/>
      <c r="G122" s="23"/>
      <c r="I122" s="23"/>
    </row>
    <row r="123" spans="3:9" ht="12.75" customHeight="1">
      <c r="C123" s="23"/>
      <c r="D123" s="23"/>
      <c r="E123" s="23"/>
      <c r="F123" s="23"/>
      <c r="G123" s="23"/>
      <c r="I123" s="23"/>
    </row>
    <row r="124" spans="3:9" ht="12.75" customHeight="1">
      <c r="C124" s="23"/>
      <c r="D124" s="23"/>
      <c r="E124" s="23"/>
      <c r="F124" s="23"/>
      <c r="G124" s="23"/>
      <c r="I124" s="23"/>
    </row>
    <row r="125" spans="3:9" ht="12.75" customHeight="1">
      <c r="C125" s="23"/>
      <c r="D125" s="23"/>
      <c r="E125" s="23"/>
      <c r="F125" s="23"/>
      <c r="G125" s="23"/>
      <c r="I125" s="23"/>
    </row>
    <row r="126" spans="3:9" ht="12.75" customHeight="1">
      <c r="C126" s="23"/>
      <c r="D126" s="23"/>
      <c r="E126" s="23"/>
      <c r="F126" s="23"/>
      <c r="G126" s="23"/>
      <c r="I126" s="23"/>
    </row>
    <row r="127" spans="3:9" ht="12.75" customHeight="1">
      <c r="C127" s="23"/>
      <c r="D127" s="23"/>
      <c r="E127" s="23"/>
      <c r="F127" s="23"/>
      <c r="G127" s="23"/>
      <c r="I127" s="23"/>
    </row>
    <row r="128" spans="3:9" ht="12.75" customHeight="1">
      <c r="C128" s="23"/>
      <c r="D128" s="23"/>
      <c r="E128" s="23"/>
      <c r="F128" s="23"/>
      <c r="G128" s="23"/>
      <c r="I128" s="23"/>
    </row>
    <row r="129" spans="3:9" ht="12.75" customHeight="1">
      <c r="C129" s="23"/>
      <c r="D129" s="23"/>
      <c r="E129" s="23"/>
      <c r="F129" s="23"/>
      <c r="G129" s="23"/>
      <c r="I129" s="23"/>
    </row>
    <row r="130" spans="3:9" ht="12.75" customHeight="1">
      <c r="C130" s="23"/>
      <c r="D130" s="23"/>
      <c r="E130" s="23"/>
      <c r="F130" s="23"/>
      <c r="G130" s="23"/>
      <c r="I130" s="23"/>
    </row>
    <row r="131" spans="3:9" ht="12.75" customHeight="1">
      <c r="C131" s="23"/>
      <c r="D131" s="23"/>
      <c r="E131" s="23"/>
      <c r="F131" s="23"/>
      <c r="G131" s="23"/>
      <c r="I131" s="23"/>
    </row>
    <row r="132" spans="3:9" ht="12.75" customHeight="1">
      <c r="C132" s="23"/>
      <c r="D132" s="23"/>
      <c r="E132" s="23"/>
      <c r="F132" s="23"/>
      <c r="G132" s="23"/>
      <c r="I132" s="23"/>
    </row>
    <row r="133" spans="3:9" ht="12.75" customHeight="1">
      <c r="C133" s="23"/>
      <c r="D133" s="23"/>
      <c r="E133" s="23"/>
      <c r="F133" s="23"/>
      <c r="G133" s="23"/>
      <c r="I133" s="23"/>
    </row>
    <row r="134" spans="3:9" ht="12.75" customHeight="1">
      <c r="C134" s="23"/>
      <c r="D134" s="23"/>
      <c r="E134" s="23"/>
      <c r="F134" s="23"/>
      <c r="G134" s="23"/>
      <c r="I134" s="23"/>
    </row>
    <row r="135" spans="3:9" ht="12.75" customHeight="1">
      <c r="C135" s="23"/>
      <c r="D135" s="23"/>
      <c r="E135" s="23"/>
      <c r="F135" s="23"/>
      <c r="G135" s="23"/>
      <c r="I135" s="23"/>
    </row>
    <row r="136" spans="3:9" ht="12.75" customHeight="1">
      <c r="C136" s="23"/>
      <c r="D136" s="23"/>
      <c r="E136" s="23"/>
      <c r="F136" s="23"/>
      <c r="G136" s="23"/>
      <c r="I136" s="23"/>
    </row>
    <row r="137" spans="3:9" ht="12.75" customHeight="1">
      <c r="C137" s="23"/>
      <c r="D137" s="23"/>
      <c r="E137" s="23"/>
      <c r="F137" s="23"/>
      <c r="G137" s="23"/>
      <c r="I137" s="23"/>
    </row>
    <row r="138" spans="3:9" ht="12.75" customHeight="1">
      <c r="C138" s="23"/>
      <c r="D138" s="23"/>
      <c r="E138" s="23"/>
      <c r="F138" s="23"/>
      <c r="G138" s="23"/>
      <c r="I138" s="23"/>
    </row>
    <row r="139" spans="3:9" ht="12.75" customHeight="1">
      <c r="C139" s="23"/>
      <c r="D139" s="23"/>
      <c r="E139" s="23"/>
      <c r="F139" s="23"/>
      <c r="G139" s="23"/>
      <c r="I139" s="23"/>
    </row>
    <row r="140" spans="3:9" ht="12.75" customHeight="1">
      <c r="C140" s="23"/>
      <c r="D140" s="23"/>
      <c r="E140" s="23"/>
      <c r="F140" s="23"/>
      <c r="G140" s="23"/>
      <c r="I140" s="23"/>
    </row>
    <row r="141" spans="3:9" ht="12.75" customHeight="1">
      <c r="C141" s="23"/>
      <c r="D141" s="23"/>
      <c r="E141" s="23"/>
      <c r="F141" s="23"/>
      <c r="G141" s="23"/>
      <c r="I141" s="23"/>
    </row>
    <row r="142" spans="3:9" ht="12.75" customHeight="1">
      <c r="C142" s="23"/>
      <c r="D142" s="23"/>
      <c r="E142" s="23"/>
      <c r="F142" s="23"/>
      <c r="G142" s="23"/>
      <c r="I142" s="23"/>
    </row>
    <row r="143" spans="3:9" ht="12.75" customHeight="1">
      <c r="C143" s="23"/>
      <c r="D143" s="23"/>
      <c r="E143" s="23"/>
      <c r="F143" s="23"/>
      <c r="G143" s="23"/>
      <c r="I143" s="23"/>
    </row>
    <row r="144" spans="3:9" ht="12.75" customHeight="1">
      <c r="C144" s="23"/>
      <c r="D144" s="23"/>
      <c r="E144" s="23"/>
      <c r="F144" s="23"/>
      <c r="G144" s="23"/>
      <c r="I144" s="23"/>
    </row>
    <row r="145" spans="3:9" ht="12.75" customHeight="1">
      <c r="C145" s="23"/>
      <c r="D145" s="23"/>
      <c r="E145" s="23"/>
      <c r="F145" s="23"/>
      <c r="G145" s="23"/>
      <c r="I145" s="23"/>
    </row>
    <row r="146" spans="3:9" ht="12.75" customHeight="1">
      <c r="C146" s="23"/>
      <c r="D146" s="23"/>
      <c r="E146" s="23"/>
      <c r="F146" s="23"/>
      <c r="G146" s="23"/>
      <c r="I146" s="23"/>
    </row>
    <row r="147" spans="3:9" ht="12.75" customHeight="1">
      <c r="C147" s="23"/>
      <c r="D147" s="23"/>
      <c r="E147" s="23"/>
      <c r="F147" s="23"/>
      <c r="G147" s="23"/>
      <c r="I147" s="23"/>
    </row>
    <row r="148" spans="3:9" ht="12.75" customHeight="1">
      <c r="C148" s="23"/>
      <c r="D148" s="23"/>
      <c r="E148" s="23"/>
      <c r="F148" s="23"/>
      <c r="G148" s="23"/>
      <c r="I148" s="23"/>
    </row>
    <row r="149" spans="3:9" ht="12.75" customHeight="1">
      <c r="C149" s="23"/>
      <c r="D149" s="23"/>
      <c r="E149" s="23"/>
      <c r="F149" s="23"/>
      <c r="G149" s="23"/>
      <c r="I149" s="23"/>
    </row>
    <row r="150" spans="3:9" ht="12.75" customHeight="1">
      <c r="C150" s="23"/>
      <c r="D150" s="23"/>
      <c r="E150" s="23"/>
      <c r="F150" s="23"/>
      <c r="G150" s="23"/>
      <c r="I150" s="23"/>
    </row>
    <row r="151" spans="3:9" ht="12.75" customHeight="1">
      <c r="C151" s="23"/>
      <c r="D151" s="23"/>
      <c r="E151" s="23"/>
      <c r="F151" s="23"/>
      <c r="G151" s="23"/>
      <c r="I151" s="23"/>
    </row>
    <row r="152" spans="3:9" ht="12.75" customHeight="1">
      <c r="C152" s="23"/>
      <c r="D152" s="23"/>
      <c r="E152" s="23"/>
      <c r="F152" s="23"/>
      <c r="G152" s="23"/>
      <c r="I152" s="23"/>
    </row>
    <row r="153" spans="3:9" ht="12.75" customHeight="1">
      <c r="C153" s="23"/>
      <c r="D153" s="23"/>
      <c r="E153" s="23"/>
      <c r="F153" s="23"/>
      <c r="G153" s="23"/>
      <c r="I153" s="23"/>
    </row>
    <row r="154" spans="3:9" ht="12.75" customHeight="1">
      <c r="C154" s="23"/>
      <c r="D154" s="23"/>
      <c r="E154" s="23"/>
      <c r="F154" s="23"/>
      <c r="G154" s="23"/>
      <c r="I154" s="23"/>
    </row>
    <row r="155" spans="3:9" ht="12.75" customHeight="1">
      <c r="C155" s="23"/>
      <c r="D155" s="23"/>
      <c r="E155" s="23"/>
      <c r="F155" s="23"/>
      <c r="G155" s="23"/>
      <c r="I155" s="23"/>
    </row>
    <row r="156" spans="3:9" ht="12.75" customHeight="1">
      <c r="C156" s="23"/>
      <c r="D156" s="23"/>
      <c r="E156" s="23"/>
      <c r="F156" s="23"/>
      <c r="G156" s="23"/>
      <c r="I156" s="23"/>
    </row>
    <row r="157" spans="3:9" ht="12.75" customHeight="1">
      <c r="C157" s="23"/>
      <c r="D157" s="23"/>
      <c r="E157" s="23"/>
      <c r="F157" s="23"/>
      <c r="G157" s="23"/>
      <c r="I157" s="23"/>
    </row>
    <row r="158" spans="3:9" ht="12.75" customHeight="1">
      <c r="C158" s="23"/>
      <c r="D158" s="23"/>
      <c r="E158" s="23"/>
      <c r="F158" s="23"/>
      <c r="G158" s="23"/>
      <c r="I158" s="23"/>
    </row>
    <row r="159" spans="3:9" ht="12.75" customHeight="1">
      <c r="C159" s="23"/>
      <c r="D159" s="23"/>
      <c r="E159" s="23"/>
      <c r="F159" s="23"/>
      <c r="G159" s="23"/>
      <c r="I159" s="23"/>
    </row>
    <row r="160" spans="3:9" ht="12.75" customHeight="1">
      <c r="C160" s="23"/>
      <c r="D160" s="23"/>
      <c r="E160" s="23"/>
      <c r="F160" s="23"/>
      <c r="G160" s="23"/>
      <c r="I160" s="23"/>
    </row>
    <row r="161" spans="3:9" ht="12.75" customHeight="1">
      <c r="C161" s="23"/>
      <c r="D161" s="23"/>
      <c r="E161" s="23"/>
      <c r="F161" s="23"/>
      <c r="G161" s="23"/>
      <c r="I161" s="23"/>
    </row>
    <row r="162" spans="3:9" ht="12.75" customHeight="1">
      <c r="C162" s="23"/>
      <c r="D162" s="23"/>
      <c r="E162" s="23"/>
      <c r="F162" s="23"/>
      <c r="G162" s="23"/>
      <c r="I162" s="23"/>
    </row>
    <row r="163" spans="3:9" ht="12.75" customHeight="1">
      <c r="C163" s="23"/>
      <c r="D163" s="23"/>
      <c r="E163" s="23"/>
      <c r="F163" s="23"/>
      <c r="G163" s="23"/>
      <c r="I163" s="23"/>
    </row>
    <row r="164" spans="3:9" ht="12.75" customHeight="1">
      <c r="C164" s="23"/>
      <c r="D164" s="23"/>
      <c r="E164" s="23"/>
      <c r="F164" s="23"/>
      <c r="G164" s="23"/>
      <c r="I164" s="23"/>
    </row>
    <row r="165" spans="3:9" ht="12.75" customHeight="1">
      <c r="C165" s="23"/>
      <c r="D165" s="23"/>
      <c r="E165" s="23"/>
      <c r="F165" s="23"/>
      <c r="G165" s="23"/>
      <c r="I165" s="23"/>
    </row>
    <row r="166" spans="3:9" ht="12.75" customHeight="1">
      <c r="C166" s="23"/>
      <c r="D166" s="23"/>
      <c r="E166" s="23"/>
      <c r="F166" s="23"/>
      <c r="G166" s="23"/>
      <c r="I166" s="23"/>
    </row>
    <row r="167" spans="3:9" ht="12.75" customHeight="1">
      <c r="C167" s="23"/>
      <c r="D167" s="23"/>
      <c r="E167" s="23"/>
      <c r="F167" s="23"/>
      <c r="G167" s="23"/>
      <c r="I167" s="23"/>
    </row>
    <row r="168" spans="3:9" ht="12.75" customHeight="1">
      <c r="C168" s="23"/>
      <c r="D168" s="23"/>
      <c r="E168" s="23"/>
      <c r="F168" s="23"/>
      <c r="G168" s="23"/>
      <c r="I168" s="23"/>
    </row>
    <row r="169" spans="3:9" ht="12.75" customHeight="1">
      <c r="C169" s="23"/>
      <c r="D169" s="23"/>
      <c r="E169" s="23"/>
      <c r="F169" s="23"/>
      <c r="G169" s="23"/>
      <c r="I169" s="23"/>
    </row>
    <row r="170" spans="3:9" ht="12.75" customHeight="1">
      <c r="C170" s="23"/>
      <c r="D170" s="23"/>
      <c r="E170" s="23"/>
      <c r="F170" s="23"/>
      <c r="G170" s="23"/>
      <c r="I170" s="23"/>
    </row>
    <row r="171" spans="3:9" ht="12.75" customHeight="1">
      <c r="C171" s="23"/>
      <c r="D171" s="23"/>
      <c r="E171" s="23"/>
      <c r="F171" s="23"/>
      <c r="G171" s="23"/>
      <c r="I171" s="23"/>
    </row>
    <row r="172" spans="3:9" ht="12.75" customHeight="1">
      <c r="C172" s="23"/>
      <c r="D172" s="23"/>
      <c r="E172" s="23"/>
      <c r="F172" s="23"/>
      <c r="G172" s="23"/>
      <c r="I172" s="23"/>
    </row>
    <row r="173" spans="3:9" ht="12.75" customHeight="1">
      <c r="C173" s="23"/>
      <c r="D173" s="23"/>
      <c r="E173" s="23"/>
      <c r="F173" s="23"/>
      <c r="G173" s="23"/>
      <c r="I173" s="23"/>
    </row>
    <row r="174" spans="3:9" ht="12.75" customHeight="1">
      <c r="C174" s="23"/>
      <c r="D174" s="23"/>
      <c r="E174" s="23"/>
      <c r="F174" s="23"/>
      <c r="G174" s="23"/>
      <c r="I174" s="23"/>
    </row>
    <row r="175" spans="3:9" ht="12.75" customHeight="1">
      <c r="C175" s="23"/>
      <c r="D175" s="23"/>
      <c r="E175" s="23"/>
      <c r="F175" s="23"/>
      <c r="G175" s="23"/>
      <c r="I175" s="23"/>
    </row>
    <row r="176" spans="3:9" ht="12.75" customHeight="1">
      <c r="C176" s="23"/>
      <c r="D176" s="23"/>
      <c r="E176" s="23"/>
      <c r="F176" s="23"/>
      <c r="G176" s="23"/>
      <c r="I176" s="23"/>
    </row>
    <row r="177" spans="3:9" ht="12.75" customHeight="1">
      <c r="C177" s="23"/>
      <c r="D177" s="23"/>
      <c r="E177" s="23"/>
      <c r="F177" s="23"/>
      <c r="G177" s="23"/>
      <c r="I177" s="23"/>
    </row>
    <row r="178" spans="3:9" ht="12.75" customHeight="1">
      <c r="C178" s="23"/>
      <c r="D178" s="23"/>
      <c r="E178" s="23"/>
      <c r="F178" s="23"/>
      <c r="G178" s="23"/>
      <c r="I178" s="23"/>
    </row>
    <row r="179" spans="3:9" ht="12.75" customHeight="1">
      <c r="C179" s="23"/>
      <c r="D179" s="23"/>
      <c r="E179" s="23"/>
      <c r="F179" s="23"/>
      <c r="G179" s="23"/>
      <c r="I179" s="23"/>
    </row>
    <row r="180" spans="3:9" ht="12.75" customHeight="1">
      <c r="C180" s="23"/>
      <c r="D180" s="23"/>
      <c r="E180" s="23"/>
      <c r="F180" s="23"/>
      <c r="G180" s="23"/>
      <c r="I180" s="23"/>
    </row>
    <row r="181" spans="3:9" ht="12.75" customHeight="1">
      <c r="C181" s="23"/>
      <c r="D181" s="23"/>
      <c r="E181" s="23"/>
      <c r="F181" s="23"/>
      <c r="G181" s="23"/>
      <c r="I181" s="23"/>
    </row>
    <row r="182" spans="3:9" ht="12.75" customHeight="1">
      <c r="C182" s="23"/>
      <c r="D182" s="23"/>
      <c r="E182" s="23"/>
      <c r="F182" s="23"/>
      <c r="G182" s="23"/>
      <c r="I182" s="23"/>
    </row>
    <row r="183" spans="3:9" ht="12.75" customHeight="1">
      <c r="C183" s="23"/>
      <c r="D183" s="23"/>
      <c r="E183" s="23"/>
      <c r="F183" s="23"/>
      <c r="G183" s="23"/>
      <c r="I183" s="23"/>
    </row>
    <row r="184" spans="3:9" ht="12.75" customHeight="1">
      <c r="C184" s="23"/>
      <c r="D184" s="23"/>
      <c r="E184" s="23"/>
      <c r="F184" s="23"/>
      <c r="G184" s="23"/>
      <c r="I184" s="23"/>
    </row>
    <row r="185" spans="3:9" ht="12.75" customHeight="1">
      <c r="C185" s="23"/>
      <c r="D185" s="23"/>
      <c r="E185" s="23"/>
      <c r="F185" s="23"/>
      <c r="G185" s="23"/>
      <c r="I185" s="23"/>
    </row>
    <row r="186" spans="3:9" ht="12.75" customHeight="1">
      <c r="C186" s="23"/>
      <c r="D186" s="23"/>
      <c r="E186" s="23"/>
      <c r="F186" s="23"/>
      <c r="G186" s="23"/>
      <c r="I186" s="23"/>
    </row>
    <row r="187" spans="3:9" ht="12.75" customHeight="1">
      <c r="C187" s="23"/>
      <c r="D187" s="23"/>
      <c r="E187" s="23"/>
      <c r="F187" s="23"/>
      <c r="G187" s="23"/>
      <c r="I187" s="23"/>
    </row>
    <row r="188" spans="3:9" ht="12.75" customHeight="1">
      <c r="C188" s="23"/>
      <c r="D188" s="23"/>
      <c r="E188" s="23"/>
      <c r="F188" s="23"/>
      <c r="G188" s="23"/>
      <c r="I188" s="23"/>
    </row>
    <row r="189" spans="3:9" ht="12.75" customHeight="1">
      <c r="C189" s="23"/>
      <c r="D189" s="23"/>
      <c r="E189" s="23"/>
      <c r="F189" s="23"/>
      <c r="G189" s="23"/>
      <c r="I189" s="23"/>
    </row>
    <row r="190" spans="3:9" ht="12.75" customHeight="1">
      <c r="C190" s="23"/>
      <c r="D190" s="23"/>
      <c r="E190" s="23"/>
      <c r="F190" s="23"/>
      <c r="G190" s="23"/>
      <c r="I190" s="23"/>
    </row>
    <row r="191" spans="3:9" ht="12.75" customHeight="1">
      <c r="C191" s="23"/>
      <c r="D191" s="23"/>
      <c r="E191" s="23"/>
      <c r="F191" s="23"/>
      <c r="G191" s="23"/>
      <c r="I191" s="23"/>
    </row>
    <row r="192" spans="3:9" ht="12.75" customHeight="1">
      <c r="C192" s="23"/>
      <c r="D192" s="23"/>
      <c r="E192" s="23"/>
      <c r="F192" s="23"/>
      <c r="G192" s="23"/>
      <c r="I192" s="23"/>
    </row>
    <row r="193" spans="3:9" ht="12.75" customHeight="1">
      <c r="C193" s="23"/>
      <c r="D193" s="23"/>
      <c r="E193" s="23"/>
      <c r="F193" s="23"/>
      <c r="G193" s="23"/>
      <c r="I193" s="23"/>
    </row>
    <row r="194" spans="3:9" ht="12.75" customHeight="1">
      <c r="C194" s="23"/>
      <c r="D194" s="23"/>
      <c r="E194" s="23"/>
      <c r="F194" s="23"/>
      <c r="G194" s="23"/>
      <c r="I194" s="23"/>
    </row>
    <row r="195" spans="3:9" ht="12.75" customHeight="1">
      <c r="C195" s="23"/>
      <c r="D195" s="23"/>
      <c r="E195" s="23"/>
      <c r="F195" s="23"/>
      <c r="G195" s="23"/>
      <c r="I195" s="23"/>
    </row>
    <row r="196" spans="3:9" ht="12.75" customHeight="1">
      <c r="C196" s="23"/>
      <c r="D196" s="23"/>
      <c r="E196" s="23"/>
      <c r="F196" s="23"/>
      <c r="G196" s="23"/>
      <c r="I196" s="23"/>
    </row>
    <row r="197" spans="3:9" ht="12.75" customHeight="1">
      <c r="C197" s="23"/>
      <c r="D197" s="23"/>
      <c r="E197" s="23"/>
      <c r="F197" s="23"/>
      <c r="G197" s="23"/>
      <c r="I197" s="23"/>
    </row>
    <row r="198" spans="3:9" ht="12.75" customHeight="1">
      <c r="C198" s="23"/>
      <c r="D198" s="23"/>
      <c r="E198" s="23"/>
      <c r="F198" s="23"/>
      <c r="G198" s="23"/>
      <c r="I198" s="23"/>
    </row>
    <row r="199" spans="3:9" ht="12.75" customHeight="1">
      <c r="C199" s="23"/>
      <c r="D199" s="23"/>
      <c r="E199" s="23"/>
      <c r="F199" s="23"/>
      <c r="G199" s="23"/>
      <c r="I199" s="23"/>
    </row>
    <row r="200" spans="3:9" ht="12.75" customHeight="1">
      <c r="C200" s="23"/>
      <c r="D200" s="23"/>
      <c r="E200" s="23"/>
      <c r="F200" s="23"/>
      <c r="G200" s="23"/>
      <c r="I200" s="23"/>
    </row>
    <row r="201" spans="3:9" ht="12.75" customHeight="1">
      <c r="C201" s="23"/>
      <c r="D201" s="23"/>
      <c r="E201" s="23"/>
      <c r="F201" s="23"/>
      <c r="G201" s="23"/>
      <c r="I201" s="23"/>
    </row>
    <row r="202" spans="3:9" ht="12.75" customHeight="1">
      <c r="C202" s="23"/>
      <c r="D202" s="23"/>
      <c r="E202" s="23"/>
      <c r="F202" s="23"/>
      <c r="G202" s="23"/>
      <c r="I202" s="23"/>
    </row>
    <row r="203" spans="3:9" ht="12.75" customHeight="1">
      <c r="C203" s="23"/>
      <c r="D203" s="23"/>
      <c r="E203" s="23"/>
      <c r="F203" s="23"/>
      <c r="G203" s="23"/>
      <c r="I203" s="23"/>
    </row>
    <row r="204" spans="3:9" ht="12.75" customHeight="1">
      <c r="C204" s="23"/>
      <c r="D204" s="23"/>
      <c r="E204" s="23"/>
      <c r="F204" s="23"/>
      <c r="G204" s="23"/>
      <c r="I204" s="23"/>
    </row>
    <row r="205" spans="3:9" ht="12.75" customHeight="1">
      <c r="C205" s="23"/>
      <c r="D205" s="23"/>
      <c r="E205" s="23"/>
      <c r="F205" s="23"/>
      <c r="G205" s="23"/>
      <c r="I205" s="23"/>
    </row>
    <row r="206" spans="3:9" ht="12.75" customHeight="1">
      <c r="C206" s="23"/>
      <c r="D206" s="23"/>
      <c r="E206" s="23"/>
      <c r="F206" s="23"/>
      <c r="G206" s="23"/>
      <c r="I206" s="23"/>
    </row>
    <row r="207" spans="3:9" ht="12.75" customHeight="1">
      <c r="C207" s="23"/>
      <c r="D207" s="23"/>
      <c r="E207" s="23"/>
      <c r="F207" s="23"/>
      <c r="G207" s="23"/>
      <c r="I207" s="23"/>
    </row>
    <row r="208" spans="3:9" ht="12.75" customHeight="1">
      <c r="C208" s="23"/>
      <c r="D208" s="23"/>
      <c r="E208" s="23"/>
      <c r="F208" s="23"/>
      <c r="G208" s="23"/>
      <c r="I208" s="23"/>
    </row>
    <row r="209" spans="3:9" ht="12.75" customHeight="1">
      <c r="C209" s="23"/>
      <c r="D209" s="23"/>
      <c r="E209" s="23"/>
      <c r="F209" s="23"/>
      <c r="G209" s="23"/>
      <c r="I209" s="23"/>
    </row>
    <row r="210" spans="3:9" ht="12.75" customHeight="1">
      <c r="C210" s="23"/>
      <c r="D210" s="23"/>
      <c r="E210" s="23"/>
      <c r="F210" s="23"/>
      <c r="G210" s="23"/>
      <c r="I210" s="23"/>
    </row>
    <row r="211" spans="3:9" ht="12.75" customHeight="1">
      <c r="C211" s="23"/>
      <c r="D211" s="23"/>
      <c r="E211" s="23"/>
      <c r="F211" s="23"/>
      <c r="G211" s="23"/>
      <c r="I211" s="23"/>
    </row>
    <row r="212" spans="3:9" ht="12.75" customHeight="1">
      <c r="C212" s="23"/>
      <c r="D212" s="23"/>
      <c r="E212" s="23"/>
      <c r="F212" s="23"/>
      <c r="G212" s="23"/>
      <c r="I212" s="23"/>
    </row>
    <row r="213" spans="3:9" ht="12.75" customHeight="1">
      <c r="C213" s="23"/>
      <c r="D213" s="23"/>
      <c r="E213" s="23"/>
      <c r="F213" s="23"/>
      <c r="G213" s="23"/>
      <c r="I213" s="23"/>
    </row>
    <row r="214" spans="3:9" ht="12.75" customHeight="1">
      <c r="C214" s="23"/>
      <c r="D214" s="23"/>
      <c r="E214" s="23"/>
      <c r="F214" s="23"/>
      <c r="G214" s="23"/>
      <c r="I214" s="23"/>
    </row>
    <row r="215" spans="3:9" ht="12.75" customHeight="1">
      <c r="C215" s="23"/>
      <c r="D215" s="23"/>
      <c r="E215" s="23"/>
      <c r="F215" s="23"/>
      <c r="G215" s="23"/>
      <c r="I215" s="23"/>
    </row>
    <row r="216" spans="3:9" ht="12.75" customHeight="1">
      <c r="C216" s="23"/>
      <c r="D216" s="23"/>
      <c r="E216" s="23"/>
      <c r="F216" s="23"/>
      <c r="G216" s="23"/>
      <c r="I216" s="23"/>
    </row>
    <row r="217" spans="3:9" ht="12.75" customHeight="1">
      <c r="C217" s="23"/>
      <c r="D217" s="23"/>
      <c r="E217" s="23"/>
      <c r="F217" s="23"/>
      <c r="G217" s="23"/>
      <c r="I217" s="23"/>
    </row>
    <row r="218" spans="3:9" ht="12.75" customHeight="1">
      <c r="C218" s="23"/>
      <c r="D218" s="23"/>
      <c r="E218" s="23"/>
      <c r="F218" s="23"/>
      <c r="G218" s="23"/>
      <c r="I218" s="23"/>
    </row>
    <row r="219" spans="3:9" ht="12.75" customHeight="1">
      <c r="C219" s="23"/>
      <c r="D219" s="23"/>
      <c r="E219" s="23"/>
      <c r="F219" s="23"/>
      <c r="G219" s="23"/>
      <c r="I219" s="23"/>
    </row>
    <row r="220" spans="3:9" ht="12.75" customHeight="1">
      <c r="C220" s="23"/>
      <c r="D220" s="23"/>
      <c r="E220" s="23"/>
      <c r="F220" s="23"/>
      <c r="G220" s="23"/>
      <c r="I220" s="23"/>
    </row>
    <row r="221" spans="3:9" ht="12.75" customHeight="1">
      <c r="C221" s="23"/>
      <c r="D221" s="23"/>
      <c r="E221" s="23"/>
      <c r="F221" s="23"/>
      <c r="G221" s="23"/>
      <c r="I221" s="23"/>
    </row>
    <row r="222" spans="3:9" ht="12.75" customHeight="1">
      <c r="C222" s="23"/>
      <c r="D222" s="23"/>
      <c r="E222" s="23"/>
      <c r="F222" s="23"/>
      <c r="G222" s="23"/>
      <c r="I222" s="23"/>
    </row>
    <row r="223" spans="3:9" ht="12.75" customHeight="1">
      <c r="C223" s="23"/>
      <c r="D223" s="23"/>
      <c r="E223" s="23"/>
      <c r="F223" s="23"/>
      <c r="G223" s="23"/>
      <c r="I223" s="23"/>
    </row>
    <row r="224" spans="3:9" ht="12.75" customHeight="1">
      <c r="C224" s="23"/>
      <c r="D224" s="23"/>
      <c r="E224" s="23"/>
      <c r="F224" s="23"/>
      <c r="G224" s="23"/>
      <c r="I224" s="23"/>
    </row>
    <row r="225" spans="3:9" ht="12.75" customHeight="1">
      <c r="C225" s="23"/>
      <c r="D225" s="23"/>
      <c r="E225" s="23"/>
      <c r="F225" s="23"/>
      <c r="G225" s="23"/>
      <c r="I225" s="23"/>
    </row>
    <row r="226" spans="3:9" ht="12.75" customHeight="1">
      <c r="C226" s="23"/>
      <c r="D226" s="23"/>
      <c r="E226" s="23"/>
      <c r="F226" s="23"/>
      <c r="G226" s="23"/>
      <c r="I226" s="23"/>
    </row>
    <row r="227" spans="3:9" ht="12.75" customHeight="1">
      <c r="C227" s="23"/>
      <c r="D227" s="23"/>
      <c r="E227" s="23"/>
      <c r="F227" s="23"/>
      <c r="G227" s="23"/>
      <c r="I227" s="23"/>
    </row>
    <row r="228" spans="3:9" ht="12.75" customHeight="1">
      <c r="C228" s="23"/>
      <c r="D228" s="23"/>
      <c r="E228" s="23"/>
      <c r="F228" s="23"/>
      <c r="G228" s="23"/>
      <c r="I228" s="23"/>
    </row>
    <row r="229" spans="3:9" ht="12.75" customHeight="1">
      <c r="C229" s="23"/>
      <c r="D229" s="23"/>
      <c r="E229" s="23"/>
      <c r="F229" s="23"/>
      <c r="G229" s="23"/>
      <c r="I229" s="23"/>
    </row>
    <row r="230" spans="3:9" ht="12.75" customHeight="1">
      <c r="C230" s="23"/>
      <c r="D230" s="23"/>
      <c r="E230" s="23"/>
      <c r="F230" s="23"/>
      <c r="G230" s="23"/>
      <c r="I230" s="23"/>
    </row>
    <row r="231" spans="3:9" ht="12.75" customHeight="1">
      <c r="C231" s="23"/>
      <c r="D231" s="23"/>
      <c r="E231" s="23"/>
      <c r="F231" s="23"/>
      <c r="G231" s="23"/>
      <c r="I231" s="23"/>
    </row>
    <row r="232" spans="3:9" ht="12.75" customHeight="1">
      <c r="C232" s="23"/>
      <c r="D232" s="23"/>
      <c r="E232" s="23"/>
      <c r="F232" s="23"/>
      <c r="G232" s="23"/>
      <c r="I232" s="23"/>
    </row>
    <row r="233" spans="3:9" ht="12.75" customHeight="1">
      <c r="C233" s="23"/>
      <c r="D233" s="23"/>
      <c r="E233" s="23"/>
      <c r="F233" s="23"/>
      <c r="G233" s="23"/>
      <c r="I233" s="23"/>
    </row>
    <row r="234" spans="3:9" ht="12.75" customHeight="1">
      <c r="C234" s="23"/>
      <c r="D234" s="23"/>
      <c r="E234" s="23"/>
      <c r="F234" s="23"/>
      <c r="G234" s="23"/>
      <c r="I234" s="23"/>
    </row>
    <row r="235" spans="3:9" ht="12.75" customHeight="1">
      <c r="C235" s="23"/>
      <c r="D235" s="23"/>
      <c r="E235" s="23"/>
      <c r="F235" s="23"/>
      <c r="G235" s="23"/>
      <c r="I235" s="23"/>
    </row>
    <row r="236" spans="3:9" ht="12.75" customHeight="1">
      <c r="C236" s="23"/>
      <c r="D236" s="23"/>
      <c r="E236" s="23"/>
      <c r="F236" s="23"/>
      <c r="G236" s="23"/>
      <c r="I236" s="23"/>
    </row>
    <row r="237" spans="3:9" ht="12.75" customHeight="1">
      <c r="C237" s="23"/>
      <c r="D237" s="23"/>
      <c r="E237" s="23"/>
      <c r="F237" s="23"/>
      <c r="G237" s="23"/>
      <c r="I237" s="23"/>
    </row>
    <row r="238" spans="3:9" ht="12.75" customHeight="1">
      <c r="C238" s="23"/>
      <c r="D238" s="23"/>
      <c r="E238" s="23"/>
      <c r="F238" s="23"/>
      <c r="G238" s="23"/>
      <c r="I238" s="23"/>
    </row>
    <row r="239" spans="3:9" ht="12.75" customHeight="1">
      <c r="C239" s="23"/>
      <c r="D239" s="23"/>
      <c r="E239" s="23"/>
      <c r="F239" s="23"/>
      <c r="G239" s="23"/>
      <c r="I239" s="23"/>
    </row>
    <row r="240" spans="3:9" ht="12.75" customHeight="1">
      <c r="C240" s="23"/>
      <c r="D240" s="23"/>
      <c r="E240" s="23"/>
      <c r="F240" s="23"/>
      <c r="G240" s="23"/>
      <c r="I240" s="23"/>
    </row>
    <row r="241" spans="3:9" ht="12.75" customHeight="1">
      <c r="C241" s="23"/>
      <c r="D241" s="23"/>
      <c r="E241" s="23"/>
      <c r="F241" s="23"/>
      <c r="G241" s="23"/>
      <c r="I241" s="23"/>
    </row>
    <row r="242" spans="3:9" ht="12.75" customHeight="1">
      <c r="C242" s="23"/>
      <c r="D242" s="23"/>
      <c r="E242" s="23"/>
      <c r="F242" s="23"/>
      <c r="G242" s="23"/>
      <c r="I242" s="23"/>
    </row>
    <row r="243" spans="3:9" ht="12.75" customHeight="1">
      <c r="C243" s="23"/>
      <c r="D243" s="23"/>
      <c r="E243" s="23"/>
      <c r="F243" s="23"/>
      <c r="G243" s="23"/>
      <c r="I243" s="23"/>
    </row>
    <row r="244" spans="3:9" ht="12.75" customHeight="1">
      <c r="C244" s="23"/>
      <c r="D244" s="23"/>
      <c r="E244" s="23"/>
      <c r="F244" s="23"/>
      <c r="G244" s="23"/>
      <c r="I244" s="23"/>
    </row>
    <row r="245" spans="3:9" ht="12.75" customHeight="1">
      <c r="C245" s="23"/>
      <c r="D245" s="23"/>
      <c r="E245" s="23"/>
      <c r="F245" s="23"/>
      <c r="G245" s="23"/>
      <c r="I245" s="23"/>
    </row>
    <row r="246" spans="3:9" ht="12.75" customHeight="1">
      <c r="C246" s="23"/>
      <c r="D246" s="23"/>
      <c r="E246" s="23"/>
      <c r="F246" s="23"/>
      <c r="G246" s="23"/>
      <c r="I246" s="23"/>
    </row>
    <row r="247" spans="3:9" ht="12.75" customHeight="1">
      <c r="C247" s="23"/>
      <c r="D247" s="23"/>
      <c r="E247" s="23"/>
      <c r="F247" s="23"/>
      <c r="G247" s="23"/>
      <c r="I247" s="23"/>
    </row>
    <row r="248" spans="3:9" ht="12.75" customHeight="1">
      <c r="C248" s="23"/>
      <c r="D248" s="23"/>
      <c r="E248" s="23"/>
      <c r="F248" s="23"/>
      <c r="G248" s="23"/>
      <c r="I248" s="23"/>
    </row>
    <row r="249" spans="3:9" ht="12.75" customHeight="1">
      <c r="C249" s="23"/>
      <c r="D249" s="23"/>
      <c r="E249" s="23"/>
      <c r="F249" s="23"/>
      <c r="G249" s="23"/>
      <c r="I249" s="23"/>
    </row>
    <row r="250" spans="3:9" ht="12.75" customHeight="1">
      <c r="C250" s="23"/>
      <c r="D250" s="23"/>
      <c r="E250" s="23"/>
      <c r="F250" s="23"/>
      <c r="G250" s="23"/>
      <c r="I250" s="23"/>
    </row>
    <row r="251" spans="3:9" ht="12.75" customHeight="1">
      <c r="C251" s="23"/>
      <c r="D251" s="23"/>
      <c r="E251" s="23"/>
      <c r="F251" s="23"/>
      <c r="G251" s="23"/>
      <c r="I251" s="23"/>
    </row>
    <row r="252" spans="3:9" ht="12.75" customHeight="1">
      <c r="C252" s="23"/>
      <c r="D252" s="23"/>
      <c r="E252" s="23"/>
      <c r="F252" s="23"/>
      <c r="G252" s="23"/>
      <c r="I252" s="23"/>
    </row>
    <row r="253" spans="3:9" ht="12.75" customHeight="1">
      <c r="C253" s="23"/>
      <c r="D253" s="23"/>
      <c r="E253" s="23"/>
      <c r="F253" s="23"/>
      <c r="G253" s="23"/>
      <c r="I253" s="23"/>
    </row>
    <row r="254" spans="3:9" ht="12.75" customHeight="1">
      <c r="C254" s="23"/>
      <c r="D254" s="23"/>
      <c r="E254" s="23"/>
      <c r="F254" s="23"/>
      <c r="G254" s="23"/>
      <c r="I254" s="23"/>
    </row>
    <row r="255" spans="3:9" ht="12.75" customHeight="1">
      <c r="C255" s="23"/>
      <c r="D255" s="23"/>
      <c r="E255" s="23"/>
      <c r="F255" s="23"/>
      <c r="G255" s="23"/>
      <c r="I255" s="23"/>
    </row>
    <row r="256" spans="3:9" ht="12.75" customHeight="1">
      <c r="C256" s="23"/>
      <c r="D256" s="23"/>
      <c r="E256" s="23"/>
      <c r="F256" s="23"/>
      <c r="G256" s="23"/>
      <c r="I256" s="23"/>
    </row>
    <row r="257" spans="3:9" ht="12.75" customHeight="1">
      <c r="C257" s="23"/>
      <c r="D257" s="23"/>
      <c r="E257" s="23"/>
      <c r="F257" s="23"/>
      <c r="G257" s="23"/>
      <c r="I257" s="23"/>
    </row>
    <row r="258" spans="3:9" ht="12.75" customHeight="1">
      <c r="C258" s="23"/>
      <c r="D258" s="23"/>
      <c r="E258" s="23"/>
      <c r="F258" s="23"/>
      <c r="G258" s="23"/>
      <c r="I258" s="23"/>
    </row>
    <row r="259" spans="3:9" ht="12.75" customHeight="1">
      <c r="C259" s="23"/>
      <c r="D259" s="23"/>
      <c r="E259" s="23"/>
      <c r="F259" s="23"/>
      <c r="G259" s="23"/>
      <c r="I259" s="23"/>
    </row>
    <row r="260" spans="3:9" ht="12.75" customHeight="1">
      <c r="C260" s="23"/>
      <c r="D260" s="23"/>
      <c r="E260" s="23"/>
      <c r="F260" s="23"/>
      <c r="G260" s="23"/>
      <c r="I260" s="23"/>
    </row>
    <row r="261" spans="3:9" ht="12.75" customHeight="1">
      <c r="C261" s="23"/>
      <c r="D261" s="23"/>
      <c r="E261" s="23"/>
      <c r="F261" s="23"/>
      <c r="G261" s="23"/>
      <c r="I261" s="23"/>
    </row>
    <row r="262" spans="3:9" ht="12.75" customHeight="1">
      <c r="C262" s="23"/>
      <c r="D262" s="23"/>
      <c r="E262" s="23"/>
      <c r="F262" s="23"/>
      <c r="G262" s="23"/>
      <c r="I262" s="23"/>
    </row>
    <row r="263" spans="3:9" ht="12.75" customHeight="1">
      <c r="C263" s="23"/>
      <c r="D263" s="23"/>
      <c r="E263" s="23"/>
      <c r="F263" s="23"/>
      <c r="G263" s="23"/>
      <c r="I263" s="23"/>
    </row>
    <row r="264" spans="3:9" ht="12.75" customHeight="1">
      <c r="C264" s="23"/>
      <c r="D264" s="23"/>
      <c r="E264" s="23"/>
      <c r="F264" s="23"/>
      <c r="G264" s="23"/>
      <c r="I264" s="23"/>
    </row>
    <row r="265" spans="3:9" ht="12.75" customHeight="1">
      <c r="C265" s="23"/>
      <c r="D265" s="23"/>
      <c r="E265" s="23"/>
      <c r="F265" s="23"/>
      <c r="G265" s="23"/>
      <c r="I265" s="23"/>
    </row>
    <row r="266" spans="3:9" ht="12.75" customHeight="1">
      <c r="C266" s="23"/>
      <c r="D266" s="23"/>
      <c r="E266" s="23"/>
      <c r="F266" s="23"/>
      <c r="G266" s="23"/>
      <c r="I266" s="23"/>
    </row>
    <row r="267" spans="3:9" ht="12.75" customHeight="1">
      <c r="C267" s="23"/>
      <c r="D267" s="23"/>
      <c r="E267" s="23"/>
      <c r="F267" s="23"/>
      <c r="G267" s="23"/>
      <c r="I267" s="23"/>
    </row>
    <row r="268" spans="3:9" ht="12.75" customHeight="1">
      <c r="C268" s="23"/>
      <c r="D268" s="23"/>
      <c r="E268" s="23"/>
      <c r="F268" s="23"/>
      <c r="G268" s="23"/>
      <c r="I268" s="23"/>
    </row>
    <row r="269" spans="3:9" ht="12.75" customHeight="1">
      <c r="C269" s="23"/>
      <c r="D269" s="23"/>
      <c r="E269" s="23"/>
      <c r="F269" s="23"/>
      <c r="G269" s="23"/>
      <c r="I269" s="23"/>
    </row>
    <row r="270" spans="3:9" ht="12.75" customHeight="1">
      <c r="C270" s="23"/>
      <c r="D270" s="23"/>
      <c r="E270" s="23"/>
      <c r="F270" s="23"/>
      <c r="G270" s="23"/>
      <c r="I270" s="23"/>
    </row>
    <row r="271" spans="3:9" ht="12.75" customHeight="1">
      <c r="C271" s="23"/>
      <c r="D271" s="23"/>
      <c r="E271" s="23"/>
      <c r="F271" s="23"/>
      <c r="G271" s="23"/>
      <c r="I271" s="23"/>
    </row>
    <row r="272" spans="3:9" ht="12.75" customHeight="1">
      <c r="C272" s="23"/>
      <c r="D272" s="23"/>
      <c r="E272" s="23"/>
      <c r="F272" s="23"/>
      <c r="G272" s="23"/>
      <c r="I272" s="23"/>
    </row>
    <row r="273" spans="3:9" ht="12.75" customHeight="1">
      <c r="C273" s="23"/>
      <c r="D273" s="23"/>
      <c r="E273" s="23"/>
      <c r="F273" s="23"/>
      <c r="G273" s="23"/>
      <c r="I273" s="23"/>
    </row>
    <row r="274" spans="3:9" ht="12.75" customHeight="1">
      <c r="C274" s="23"/>
      <c r="D274" s="23"/>
      <c r="E274" s="23"/>
      <c r="F274" s="23"/>
      <c r="G274" s="23"/>
      <c r="I274" s="23"/>
    </row>
    <row r="275" spans="3:9" ht="12.75" customHeight="1">
      <c r="C275" s="23"/>
      <c r="D275" s="23"/>
      <c r="E275" s="23"/>
      <c r="F275" s="23"/>
      <c r="G275" s="23"/>
      <c r="I275" s="23"/>
    </row>
    <row r="276" spans="3:9" ht="12.75" customHeight="1">
      <c r="C276" s="23"/>
      <c r="D276" s="23"/>
      <c r="E276" s="23"/>
      <c r="F276" s="23"/>
      <c r="G276" s="23"/>
      <c r="I276" s="23"/>
    </row>
    <row r="277" spans="3:9" ht="12.75" customHeight="1">
      <c r="C277" s="23"/>
      <c r="D277" s="23"/>
      <c r="E277" s="23"/>
      <c r="F277" s="23"/>
      <c r="G277" s="23"/>
      <c r="I277" s="23"/>
    </row>
    <row r="278" spans="3:9" ht="12.75" customHeight="1">
      <c r="C278" s="23"/>
      <c r="D278" s="23"/>
      <c r="E278" s="23"/>
      <c r="F278" s="23"/>
      <c r="G278" s="23"/>
      <c r="I278" s="23"/>
    </row>
    <row r="279" spans="3:9" ht="12.75" customHeight="1">
      <c r="C279" s="23"/>
      <c r="D279" s="23"/>
      <c r="E279" s="23"/>
      <c r="F279" s="23"/>
      <c r="G279" s="23"/>
      <c r="I279" s="23"/>
    </row>
    <row r="280" spans="3:9" ht="12.75" customHeight="1">
      <c r="C280" s="23"/>
      <c r="D280" s="23"/>
      <c r="E280" s="23"/>
      <c r="F280" s="23"/>
      <c r="G280" s="23"/>
      <c r="I280" s="23"/>
    </row>
    <row r="281" spans="3:9" ht="12.75" customHeight="1">
      <c r="C281" s="23"/>
      <c r="D281" s="23"/>
      <c r="E281" s="23"/>
      <c r="F281" s="23"/>
      <c r="G281" s="23"/>
      <c r="I281" s="23"/>
    </row>
    <row r="282" spans="3:9" ht="12.75" customHeight="1">
      <c r="C282" s="23"/>
      <c r="D282" s="23"/>
      <c r="E282" s="23"/>
      <c r="F282" s="23"/>
      <c r="G282" s="23"/>
      <c r="I282" s="23"/>
    </row>
    <row r="283" spans="3:9" ht="12.75" customHeight="1">
      <c r="C283" s="23"/>
      <c r="D283" s="23"/>
      <c r="E283" s="23"/>
      <c r="F283" s="23"/>
      <c r="G283" s="23"/>
      <c r="I283" s="23"/>
    </row>
    <row r="284" spans="3:9" ht="12.75" customHeight="1">
      <c r="C284" s="23"/>
      <c r="D284" s="23"/>
      <c r="E284" s="23"/>
      <c r="F284" s="23"/>
      <c r="G284" s="23"/>
      <c r="I284" s="23"/>
    </row>
    <row r="285" spans="3:9" ht="12.75" customHeight="1">
      <c r="C285" s="23"/>
      <c r="D285" s="23"/>
      <c r="E285" s="23"/>
      <c r="F285" s="23"/>
      <c r="G285" s="23"/>
      <c r="I285" s="23"/>
    </row>
    <row r="286" spans="3:9" ht="12.75" customHeight="1">
      <c r="C286" s="23"/>
      <c r="D286" s="23"/>
      <c r="E286" s="23"/>
      <c r="F286" s="23"/>
      <c r="G286" s="23"/>
      <c r="I286" s="23"/>
    </row>
    <row r="287" spans="3:9" ht="12.75" customHeight="1">
      <c r="C287" s="23"/>
      <c r="D287" s="23"/>
      <c r="E287" s="23"/>
      <c r="F287" s="23"/>
      <c r="G287" s="23"/>
      <c r="I287" s="23"/>
    </row>
    <row r="288" spans="3:9" ht="12.75" customHeight="1">
      <c r="C288" s="23"/>
      <c r="D288" s="23"/>
      <c r="E288" s="23"/>
      <c r="F288" s="23"/>
      <c r="G288" s="23"/>
      <c r="I288" s="23"/>
    </row>
    <row r="289" spans="3:9" ht="12.75" customHeight="1">
      <c r="C289" s="23"/>
      <c r="D289" s="23"/>
      <c r="E289" s="23"/>
      <c r="F289" s="23"/>
      <c r="G289" s="23"/>
      <c r="I289" s="23"/>
    </row>
    <row r="290" spans="3:9" ht="12.75" customHeight="1">
      <c r="C290" s="23"/>
      <c r="D290" s="23"/>
      <c r="E290" s="23"/>
      <c r="F290" s="23"/>
      <c r="G290" s="23"/>
      <c r="I290" s="23"/>
    </row>
    <row r="291" spans="3:9" ht="12.75" customHeight="1">
      <c r="C291" s="23"/>
      <c r="D291" s="23"/>
      <c r="E291" s="23"/>
      <c r="F291" s="23"/>
      <c r="G291" s="23"/>
      <c r="I291" s="23"/>
    </row>
    <row r="292" spans="3:9" ht="12.75" customHeight="1">
      <c r="C292" s="23"/>
      <c r="D292" s="23"/>
      <c r="E292" s="23"/>
      <c r="F292" s="23"/>
      <c r="G292" s="23"/>
      <c r="I292" s="23"/>
    </row>
    <row r="293" spans="3:9" ht="12.75" customHeight="1">
      <c r="C293" s="23"/>
      <c r="D293" s="23"/>
      <c r="E293" s="23"/>
      <c r="F293" s="23"/>
      <c r="G293" s="23"/>
      <c r="I293" s="23"/>
    </row>
    <row r="294" spans="3:9" ht="12.75" customHeight="1">
      <c r="C294" s="23"/>
      <c r="D294" s="23"/>
      <c r="E294" s="23"/>
      <c r="F294" s="23"/>
      <c r="G294" s="23"/>
      <c r="I294" s="23"/>
    </row>
    <row r="295" spans="3:9" ht="12.75" customHeight="1">
      <c r="C295" s="23"/>
      <c r="D295" s="23"/>
      <c r="E295" s="23"/>
      <c r="F295" s="23"/>
      <c r="G295" s="23"/>
      <c r="I295" s="23"/>
    </row>
    <row r="296" spans="3:9" ht="12.75" customHeight="1">
      <c r="C296" s="23"/>
      <c r="D296" s="23"/>
      <c r="E296" s="23"/>
      <c r="F296" s="23"/>
      <c r="G296" s="23"/>
      <c r="I296" s="23"/>
    </row>
    <row r="297" spans="3:9" ht="12.75" customHeight="1">
      <c r="C297" s="23"/>
      <c r="D297" s="23"/>
      <c r="E297" s="23"/>
      <c r="F297" s="23"/>
      <c r="G297" s="23"/>
      <c r="I297" s="23"/>
    </row>
    <row r="298" spans="3:9" ht="12.75" customHeight="1">
      <c r="C298" s="23"/>
      <c r="D298" s="23"/>
      <c r="E298" s="23"/>
      <c r="F298" s="23"/>
      <c r="G298" s="23"/>
      <c r="I298" s="23"/>
    </row>
    <row r="299" spans="3:9" ht="12.75" customHeight="1">
      <c r="C299" s="23"/>
      <c r="D299" s="23"/>
      <c r="E299" s="23"/>
      <c r="F299" s="23"/>
      <c r="G299" s="23"/>
      <c r="I299" s="23"/>
    </row>
    <row r="300" spans="3:9" ht="12.75" customHeight="1">
      <c r="C300" s="23"/>
      <c r="D300" s="23"/>
      <c r="E300" s="23"/>
      <c r="F300" s="23"/>
      <c r="G300" s="23"/>
      <c r="I300" s="23"/>
    </row>
    <row r="301" spans="3:9" ht="12.75" customHeight="1">
      <c r="C301" s="23"/>
      <c r="D301" s="23"/>
      <c r="E301" s="23"/>
      <c r="F301" s="23"/>
      <c r="G301" s="23"/>
      <c r="I301" s="23"/>
    </row>
    <row r="302" spans="3:9" ht="12.75" customHeight="1">
      <c r="C302" s="23"/>
      <c r="D302" s="23"/>
      <c r="E302" s="23"/>
      <c r="F302" s="23"/>
      <c r="G302" s="23"/>
      <c r="I302" s="23"/>
    </row>
    <row r="303" spans="3:9" ht="12.75" customHeight="1">
      <c r="C303" s="23"/>
      <c r="D303" s="23"/>
      <c r="E303" s="23"/>
      <c r="F303" s="23"/>
      <c r="G303" s="23"/>
      <c r="I303" s="23"/>
    </row>
    <row r="304" spans="3:9" ht="12.75" customHeight="1">
      <c r="C304" s="23"/>
      <c r="D304" s="23"/>
      <c r="E304" s="23"/>
      <c r="F304" s="23"/>
      <c r="G304" s="23"/>
      <c r="I304" s="23"/>
    </row>
    <row r="305" spans="3:9" ht="12.75" customHeight="1">
      <c r="C305" s="23"/>
      <c r="D305" s="23"/>
      <c r="E305" s="23"/>
      <c r="F305" s="23"/>
      <c r="G305" s="23"/>
      <c r="I305" s="23"/>
    </row>
    <row r="306" spans="3:9" ht="12.75" customHeight="1">
      <c r="C306" s="23"/>
      <c r="D306" s="23"/>
      <c r="E306" s="23"/>
      <c r="F306" s="23"/>
      <c r="G306" s="23"/>
      <c r="I306" s="23"/>
    </row>
    <row r="307" spans="3:9" ht="12.75" customHeight="1">
      <c r="C307" s="23"/>
      <c r="D307" s="23"/>
      <c r="E307" s="23"/>
      <c r="F307" s="23"/>
      <c r="G307" s="23"/>
      <c r="I307" s="23"/>
    </row>
    <row r="308" spans="3:9" ht="12.75" customHeight="1">
      <c r="C308" s="23"/>
      <c r="D308" s="23"/>
      <c r="E308" s="23"/>
      <c r="F308" s="23"/>
      <c r="G308" s="23"/>
      <c r="I308" s="23"/>
    </row>
    <row r="309" spans="3:9" ht="12.75" customHeight="1">
      <c r="C309" s="23"/>
      <c r="D309" s="23"/>
      <c r="E309" s="23"/>
      <c r="F309" s="23"/>
      <c r="G309" s="23"/>
      <c r="I309" s="23"/>
    </row>
    <row r="310" spans="3:9" ht="12.75" customHeight="1">
      <c r="C310" s="23"/>
      <c r="D310" s="23"/>
      <c r="E310" s="23"/>
      <c r="F310" s="23"/>
      <c r="G310" s="23"/>
      <c r="I310" s="23"/>
    </row>
    <row r="311" spans="3:9" ht="12.75" customHeight="1">
      <c r="C311" s="23"/>
      <c r="D311" s="23"/>
      <c r="E311" s="23"/>
      <c r="F311" s="23"/>
      <c r="G311" s="23"/>
      <c r="I311" s="23"/>
    </row>
    <row r="312" spans="3:9" ht="12.75" customHeight="1">
      <c r="C312" s="23"/>
      <c r="D312" s="23"/>
      <c r="E312" s="23"/>
      <c r="F312" s="23"/>
      <c r="G312" s="23"/>
      <c r="I312" s="23"/>
    </row>
    <row r="313" spans="3:9" ht="12.75" customHeight="1">
      <c r="C313" s="23"/>
      <c r="D313" s="23"/>
      <c r="E313" s="23"/>
      <c r="F313" s="23"/>
      <c r="G313" s="23"/>
      <c r="I313" s="23"/>
    </row>
    <row r="314" spans="3:9" ht="12.75" customHeight="1">
      <c r="C314" s="23"/>
      <c r="D314" s="23"/>
      <c r="E314" s="23"/>
      <c r="F314" s="23"/>
      <c r="G314" s="23"/>
      <c r="I314" s="23"/>
    </row>
    <row r="315" spans="3:9" ht="12.75" customHeight="1">
      <c r="C315" s="23"/>
      <c r="D315" s="23"/>
      <c r="E315" s="23"/>
      <c r="F315" s="23"/>
      <c r="G315" s="23"/>
      <c r="I315" s="23"/>
    </row>
    <row r="316" spans="3:9" ht="12.75" customHeight="1">
      <c r="C316" s="23"/>
      <c r="D316" s="23"/>
      <c r="E316" s="23"/>
      <c r="F316" s="23"/>
      <c r="G316" s="23"/>
      <c r="I316" s="23"/>
    </row>
    <row r="317" spans="3:9" ht="12.75" customHeight="1">
      <c r="C317" s="23"/>
      <c r="D317" s="23"/>
      <c r="E317" s="23"/>
      <c r="F317" s="23"/>
      <c r="G317" s="23"/>
      <c r="I317" s="23"/>
    </row>
    <row r="318" spans="3:9" ht="12.75" customHeight="1">
      <c r="C318" s="23"/>
      <c r="D318" s="23"/>
      <c r="E318" s="23"/>
      <c r="F318" s="23"/>
      <c r="G318" s="23"/>
      <c r="I318" s="23"/>
    </row>
    <row r="319" spans="3:9" ht="12.75" customHeight="1">
      <c r="C319" s="23"/>
      <c r="D319" s="23"/>
      <c r="E319" s="23"/>
      <c r="F319" s="23"/>
      <c r="G319" s="23"/>
      <c r="I319" s="23"/>
    </row>
    <row r="320" spans="3:9" ht="12.75" customHeight="1">
      <c r="C320" s="23"/>
      <c r="D320" s="23"/>
      <c r="E320" s="23"/>
      <c r="F320" s="23"/>
      <c r="G320" s="23"/>
      <c r="I320" s="23"/>
    </row>
    <row r="321" spans="3:9" ht="12.75" customHeight="1">
      <c r="C321" s="23"/>
      <c r="D321" s="23"/>
      <c r="E321" s="23"/>
      <c r="F321" s="23"/>
      <c r="G321" s="23"/>
      <c r="I321" s="23"/>
    </row>
    <row r="322" spans="3:9" ht="12.75" customHeight="1">
      <c r="C322" s="23"/>
      <c r="D322" s="23"/>
      <c r="E322" s="23"/>
      <c r="F322" s="23"/>
      <c r="G322" s="23"/>
      <c r="I322" s="23"/>
    </row>
    <row r="323" spans="3:9" ht="12.75" customHeight="1">
      <c r="C323" s="23"/>
      <c r="D323" s="23"/>
      <c r="E323" s="23"/>
      <c r="F323" s="23"/>
      <c r="G323" s="23"/>
      <c r="I323" s="23"/>
    </row>
    <row r="324" spans="3:9" ht="12.75" customHeight="1">
      <c r="C324" s="23"/>
      <c r="D324" s="23"/>
      <c r="E324" s="23"/>
      <c r="F324" s="23"/>
      <c r="G324" s="23"/>
      <c r="I324" s="23"/>
    </row>
    <row r="325" spans="3:9" ht="12.75" customHeight="1">
      <c r="C325" s="23"/>
      <c r="D325" s="23"/>
      <c r="E325" s="23"/>
      <c r="F325" s="23"/>
      <c r="G325" s="23"/>
      <c r="I325" s="23"/>
    </row>
    <row r="326" spans="3:9" ht="12.75" customHeight="1">
      <c r="C326" s="23"/>
      <c r="D326" s="23"/>
      <c r="E326" s="23"/>
      <c r="F326" s="23"/>
      <c r="G326" s="23"/>
      <c r="I326" s="23"/>
    </row>
    <row r="327" spans="3:9" ht="12.75" customHeight="1">
      <c r="C327" s="23"/>
      <c r="D327" s="23"/>
      <c r="E327" s="23"/>
      <c r="F327" s="23"/>
      <c r="G327" s="23"/>
      <c r="I327" s="23"/>
    </row>
    <row r="328" spans="3:9" ht="12.75" customHeight="1">
      <c r="C328" s="23"/>
      <c r="D328" s="23"/>
      <c r="E328" s="23"/>
      <c r="F328" s="23"/>
      <c r="G328" s="23"/>
      <c r="I328" s="23"/>
    </row>
    <row r="329" spans="3:9" ht="12.75" customHeight="1">
      <c r="C329" s="23"/>
      <c r="D329" s="23"/>
      <c r="E329" s="23"/>
      <c r="F329" s="23"/>
      <c r="G329" s="23"/>
      <c r="I329" s="23"/>
    </row>
    <row r="330" spans="3:9" ht="12.75" customHeight="1">
      <c r="C330" s="23"/>
      <c r="D330" s="23"/>
      <c r="E330" s="23"/>
      <c r="F330" s="23"/>
      <c r="G330" s="23"/>
      <c r="I330" s="23"/>
    </row>
    <row r="331" spans="3:9" ht="12.75" customHeight="1">
      <c r="C331" s="23"/>
      <c r="D331" s="23"/>
      <c r="E331" s="23"/>
      <c r="F331" s="23"/>
      <c r="G331" s="23"/>
      <c r="I331" s="23"/>
    </row>
    <row r="332" spans="3:9" ht="12.75" customHeight="1">
      <c r="C332" s="23"/>
      <c r="D332" s="23"/>
      <c r="E332" s="23"/>
      <c r="F332" s="23"/>
      <c r="G332" s="23"/>
      <c r="I332" s="23"/>
    </row>
    <row r="333" spans="3:9" ht="12.75" customHeight="1">
      <c r="C333" s="23"/>
      <c r="D333" s="23"/>
      <c r="E333" s="23"/>
      <c r="F333" s="23"/>
      <c r="G333" s="23"/>
      <c r="I333" s="23"/>
    </row>
    <row r="334" spans="3:9" ht="12.75" customHeight="1">
      <c r="C334" s="23"/>
      <c r="D334" s="23"/>
      <c r="E334" s="23"/>
      <c r="F334" s="23"/>
      <c r="G334" s="23"/>
      <c r="I334" s="23"/>
    </row>
    <row r="335" spans="3:9" ht="12.75" customHeight="1">
      <c r="C335" s="23"/>
      <c r="D335" s="23"/>
      <c r="E335" s="23"/>
      <c r="F335" s="23"/>
      <c r="G335" s="23"/>
      <c r="I335" s="23"/>
    </row>
    <row r="336" spans="3:9" ht="12.75" customHeight="1">
      <c r="C336" s="23"/>
      <c r="D336" s="23"/>
      <c r="E336" s="23"/>
      <c r="F336" s="23"/>
      <c r="G336" s="23"/>
      <c r="I336" s="23"/>
    </row>
    <row r="337" spans="3:9" ht="12.75" customHeight="1">
      <c r="C337" s="23"/>
      <c r="D337" s="23"/>
      <c r="E337" s="23"/>
      <c r="F337" s="23"/>
      <c r="G337" s="23"/>
      <c r="I337" s="23"/>
    </row>
    <row r="338" spans="3:9" ht="12.75" customHeight="1">
      <c r="C338" s="23"/>
      <c r="D338" s="23"/>
      <c r="E338" s="23"/>
      <c r="F338" s="23"/>
      <c r="G338" s="23"/>
      <c r="I338" s="23"/>
    </row>
    <row r="339" spans="3:9" ht="12.75" customHeight="1">
      <c r="C339" s="23"/>
      <c r="D339" s="23"/>
      <c r="E339" s="23"/>
      <c r="F339" s="23"/>
      <c r="G339" s="23"/>
      <c r="I339" s="23"/>
    </row>
    <row r="340" spans="3:9" ht="12.75" customHeight="1">
      <c r="C340" s="23"/>
      <c r="D340" s="23"/>
      <c r="E340" s="23"/>
      <c r="F340" s="23"/>
      <c r="G340" s="23"/>
      <c r="I340" s="23"/>
    </row>
    <row r="341" spans="3:9" ht="12.75" customHeight="1">
      <c r="C341" s="23"/>
      <c r="D341" s="23"/>
      <c r="E341" s="23"/>
      <c r="F341" s="23"/>
      <c r="G341" s="23"/>
      <c r="I341" s="23"/>
    </row>
    <row r="342" spans="3:9" ht="12.75" customHeight="1">
      <c r="C342" s="23"/>
      <c r="D342" s="23"/>
      <c r="E342" s="23"/>
      <c r="F342" s="23"/>
      <c r="G342" s="23"/>
      <c r="I342" s="23"/>
    </row>
    <row r="343" spans="3:9" ht="12.75" customHeight="1">
      <c r="C343" s="23"/>
      <c r="D343" s="23"/>
      <c r="E343" s="23"/>
      <c r="F343" s="23"/>
      <c r="G343" s="23"/>
      <c r="I343" s="23"/>
    </row>
    <row r="344" spans="3:9" ht="12.75" customHeight="1">
      <c r="C344" s="23"/>
      <c r="D344" s="23"/>
      <c r="E344" s="23"/>
      <c r="F344" s="23"/>
      <c r="G344" s="23"/>
      <c r="I344" s="23"/>
    </row>
    <row r="345" spans="3:9" ht="12.75" customHeight="1">
      <c r="C345" s="23"/>
      <c r="D345" s="23"/>
      <c r="E345" s="23"/>
      <c r="F345" s="23"/>
      <c r="G345" s="23"/>
      <c r="I345" s="23"/>
    </row>
    <row r="346" spans="3:9" ht="12.75" customHeight="1">
      <c r="C346" s="23"/>
      <c r="D346" s="23"/>
      <c r="E346" s="23"/>
      <c r="F346" s="23"/>
      <c r="G346" s="23"/>
      <c r="I346" s="23"/>
    </row>
    <row r="347" spans="3:9" ht="12.75" customHeight="1">
      <c r="C347" s="23"/>
      <c r="D347" s="23"/>
      <c r="E347" s="23"/>
      <c r="F347" s="23"/>
      <c r="G347" s="23"/>
      <c r="I347" s="23"/>
    </row>
    <row r="348" spans="3:9" ht="12.75" customHeight="1">
      <c r="C348" s="23"/>
      <c r="D348" s="23"/>
      <c r="E348" s="23"/>
      <c r="F348" s="23"/>
      <c r="G348" s="23"/>
      <c r="I348" s="23"/>
    </row>
    <row r="349" spans="3:9" ht="12.75" customHeight="1">
      <c r="C349" s="23"/>
      <c r="D349" s="23"/>
      <c r="E349" s="23"/>
      <c r="F349" s="23"/>
      <c r="G349" s="23"/>
      <c r="I349" s="23"/>
    </row>
    <row r="350" spans="3:9" ht="12.75" customHeight="1">
      <c r="C350" s="23"/>
      <c r="D350" s="23"/>
      <c r="E350" s="23"/>
      <c r="F350" s="23"/>
      <c r="G350" s="23"/>
      <c r="I350" s="23"/>
    </row>
    <row r="351" spans="3:9" ht="12.75" customHeight="1">
      <c r="C351" s="23"/>
      <c r="D351" s="23"/>
      <c r="E351" s="23"/>
      <c r="F351" s="23"/>
      <c r="G351" s="23"/>
      <c r="I351" s="23"/>
    </row>
    <row r="352" spans="3:9" ht="12.75" customHeight="1">
      <c r="C352" s="23"/>
      <c r="D352" s="23"/>
      <c r="E352" s="23"/>
      <c r="F352" s="23"/>
      <c r="G352" s="23"/>
      <c r="I352" s="23"/>
    </row>
    <row r="353" spans="3:9" ht="12.75" customHeight="1">
      <c r="C353" s="23"/>
      <c r="D353" s="23"/>
      <c r="E353" s="23"/>
      <c r="F353" s="23"/>
      <c r="G353" s="23"/>
      <c r="I353" s="23"/>
    </row>
    <row r="354" spans="3:9" ht="12.75" customHeight="1">
      <c r="C354" s="23"/>
      <c r="D354" s="23"/>
      <c r="E354" s="23"/>
      <c r="F354" s="23"/>
      <c r="G354" s="23"/>
      <c r="I354" s="23"/>
    </row>
    <row r="355" spans="3:9" ht="12.75" customHeight="1">
      <c r="C355" s="23"/>
      <c r="D355" s="23"/>
      <c r="E355" s="23"/>
      <c r="F355" s="23"/>
      <c r="G355" s="23"/>
      <c r="I355" s="23"/>
    </row>
    <row r="356" spans="3:9" ht="12.75" customHeight="1">
      <c r="C356" s="23"/>
      <c r="D356" s="23"/>
      <c r="E356" s="23"/>
      <c r="F356" s="23"/>
      <c r="G356" s="23"/>
      <c r="I356" s="23"/>
    </row>
    <row r="357" spans="3:9" ht="12.75" customHeight="1">
      <c r="C357" s="23"/>
      <c r="D357" s="23"/>
      <c r="E357" s="23"/>
      <c r="F357" s="23"/>
      <c r="G357" s="23"/>
      <c r="I357" s="23"/>
    </row>
    <row r="358" spans="3:9" ht="12.75" customHeight="1">
      <c r="C358" s="23"/>
      <c r="D358" s="23"/>
      <c r="E358" s="23"/>
      <c r="F358" s="23"/>
      <c r="G358" s="23"/>
      <c r="I358" s="23"/>
    </row>
    <row r="359" spans="3:9" ht="12.75" customHeight="1">
      <c r="C359" s="23"/>
      <c r="D359" s="23"/>
      <c r="E359" s="23"/>
      <c r="F359" s="23"/>
      <c r="G359" s="23"/>
      <c r="I359" s="23"/>
    </row>
    <row r="360" spans="3:9" ht="12.75" customHeight="1">
      <c r="C360" s="23"/>
      <c r="D360" s="23"/>
      <c r="E360" s="23"/>
      <c r="F360" s="23"/>
      <c r="G360" s="23"/>
      <c r="I360" s="23"/>
    </row>
    <row r="361" spans="3:9" ht="12.75" customHeight="1">
      <c r="C361" s="23"/>
      <c r="D361" s="23"/>
      <c r="E361" s="23"/>
      <c r="F361" s="23"/>
      <c r="G361" s="23"/>
      <c r="I361" s="23"/>
    </row>
    <row r="362" spans="3:9" ht="12.75" customHeight="1">
      <c r="C362" s="23"/>
      <c r="D362" s="23"/>
      <c r="E362" s="23"/>
      <c r="F362" s="23"/>
      <c r="G362" s="23"/>
      <c r="I362" s="23"/>
    </row>
    <row r="363" spans="3:9" ht="12.75" customHeight="1">
      <c r="C363" s="23"/>
      <c r="D363" s="23"/>
      <c r="E363" s="23"/>
      <c r="F363" s="23"/>
      <c r="G363" s="23"/>
      <c r="I363" s="23"/>
    </row>
    <row r="364" spans="3:9" ht="12.75" customHeight="1">
      <c r="C364" s="23"/>
      <c r="D364" s="23"/>
      <c r="E364" s="23"/>
      <c r="F364" s="23"/>
      <c r="G364" s="23"/>
      <c r="I364" s="23"/>
    </row>
    <row r="365" spans="3:9" ht="12.75" customHeight="1">
      <c r="C365" s="23"/>
      <c r="D365" s="23"/>
      <c r="E365" s="23"/>
      <c r="F365" s="23"/>
      <c r="G365" s="23"/>
      <c r="I365" s="23"/>
    </row>
    <row r="366" spans="3:9" ht="12.75" customHeight="1">
      <c r="C366" s="23"/>
      <c r="D366" s="23"/>
      <c r="E366" s="23"/>
      <c r="F366" s="23"/>
      <c r="G366" s="23"/>
      <c r="I366" s="23"/>
    </row>
    <row r="367" spans="3:9" ht="12.75" customHeight="1">
      <c r="C367" s="23"/>
      <c r="D367" s="23"/>
      <c r="E367" s="23"/>
      <c r="F367" s="23"/>
      <c r="G367" s="23"/>
      <c r="I367" s="23"/>
    </row>
    <row r="368" spans="3:9" ht="12.75" customHeight="1">
      <c r="C368" s="23"/>
      <c r="D368" s="23"/>
      <c r="E368" s="23"/>
      <c r="F368" s="23"/>
      <c r="G368" s="23"/>
      <c r="I368" s="23"/>
    </row>
    <row r="369" spans="3:9" ht="12.75" customHeight="1">
      <c r="C369" s="23"/>
      <c r="D369" s="23"/>
      <c r="E369" s="23"/>
      <c r="F369" s="23"/>
      <c r="G369" s="23"/>
      <c r="I369" s="23"/>
    </row>
    <row r="370" spans="3:9" ht="12.75" customHeight="1">
      <c r="C370" s="23"/>
      <c r="D370" s="23"/>
      <c r="E370" s="23"/>
      <c r="F370" s="23"/>
      <c r="G370" s="23"/>
      <c r="I370" s="23"/>
    </row>
    <row r="371" spans="3:9" ht="12.75" customHeight="1">
      <c r="C371" s="23"/>
      <c r="D371" s="23"/>
      <c r="E371" s="23"/>
      <c r="F371" s="23"/>
      <c r="G371" s="23"/>
      <c r="I371" s="23"/>
    </row>
    <row r="372" spans="3:9" ht="12.75" customHeight="1">
      <c r="C372" s="23"/>
      <c r="D372" s="23"/>
      <c r="E372" s="23"/>
      <c r="F372" s="23"/>
      <c r="G372" s="23"/>
      <c r="I372" s="23"/>
    </row>
    <row r="373" spans="3:9" ht="12.75" customHeight="1">
      <c r="C373" s="23"/>
      <c r="D373" s="23"/>
      <c r="E373" s="23"/>
      <c r="F373" s="23"/>
      <c r="G373" s="23"/>
      <c r="I373" s="23"/>
    </row>
    <row r="374" spans="3:9" ht="12.75" customHeight="1">
      <c r="C374" s="23"/>
      <c r="D374" s="23"/>
      <c r="E374" s="23"/>
      <c r="F374" s="23"/>
      <c r="G374" s="23"/>
      <c r="I374" s="23"/>
    </row>
    <row r="375" spans="3:9" ht="12.75" customHeight="1">
      <c r="C375" s="23"/>
      <c r="D375" s="23"/>
      <c r="E375" s="23"/>
      <c r="F375" s="23"/>
      <c r="G375" s="23"/>
      <c r="I375" s="23"/>
    </row>
    <row r="376" spans="3:9" ht="12.75" customHeight="1">
      <c r="C376" s="23"/>
      <c r="D376" s="23"/>
      <c r="E376" s="23"/>
      <c r="F376" s="23"/>
      <c r="G376" s="23"/>
      <c r="I376" s="23"/>
    </row>
    <row r="377" spans="3:9" ht="12.75" customHeight="1">
      <c r="C377" s="23"/>
      <c r="D377" s="23"/>
      <c r="E377" s="23"/>
      <c r="F377" s="23"/>
      <c r="G377" s="23"/>
      <c r="I377" s="23"/>
    </row>
    <row r="378" spans="3:9" ht="12.75" customHeight="1">
      <c r="C378" s="23"/>
      <c r="D378" s="23"/>
      <c r="E378" s="23"/>
      <c r="F378" s="23"/>
      <c r="G378" s="23"/>
      <c r="I378" s="23"/>
    </row>
    <row r="379" spans="3:9" ht="12.75" customHeight="1">
      <c r="C379" s="23"/>
      <c r="D379" s="23"/>
      <c r="E379" s="23"/>
      <c r="F379" s="23"/>
      <c r="G379" s="23"/>
      <c r="I379" s="23"/>
    </row>
    <row r="380" spans="3:9" ht="12.75" customHeight="1">
      <c r="C380" s="23"/>
      <c r="D380" s="23"/>
      <c r="E380" s="23"/>
      <c r="F380" s="23"/>
      <c r="G380" s="23"/>
      <c r="I380" s="23"/>
    </row>
    <row r="381" spans="3:9" ht="12.75" customHeight="1">
      <c r="C381" s="23"/>
      <c r="D381" s="23"/>
      <c r="E381" s="23"/>
      <c r="F381" s="23"/>
      <c r="G381" s="23"/>
      <c r="I381" s="23"/>
    </row>
    <row r="382" spans="3:9" ht="12.75" customHeight="1">
      <c r="C382" s="23"/>
      <c r="D382" s="23"/>
      <c r="E382" s="23"/>
      <c r="F382" s="23"/>
      <c r="G382" s="23"/>
      <c r="I382" s="23"/>
    </row>
    <row r="383" spans="3:9" ht="12.75" customHeight="1">
      <c r="C383" s="23"/>
      <c r="D383" s="23"/>
      <c r="E383" s="23"/>
      <c r="F383" s="23"/>
      <c r="G383" s="23"/>
      <c r="I383" s="23"/>
    </row>
    <row r="384" spans="3:9" ht="12.75" customHeight="1">
      <c r="C384" s="23"/>
      <c r="D384" s="23"/>
      <c r="E384" s="23"/>
      <c r="F384" s="23"/>
      <c r="G384" s="23"/>
      <c r="I384" s="23"/>
    </row>
    <row r="385" spans="3:9" ht="12.75" customHeight="1">
      <c r="C385" s="23"/>
      <c r="D385" s="23"/>
      <c r="E385" s="23"/>
      <c r="F385" s="23"/>
      <c r="G385" s="23"/>
      <c r="I385" s="23"/>
    </row>
    <row r="386" spans="3:9" ht="12.75" customHeight="1">
      <c r="C386" s="23"/>
      <c r="D386" s="23"/>
      <c r="E386" s="23"/>
      <c r="F386" s="23"/>
      <c r="G386" s="23"/>
      <c r="I386" s="23"/>
    </row>
    <row r="387" spans="3:9" ht="12.75" customHeight="1">
      <c r="C387" s="23"/>
      <c r="D387" s="23"/>
      <c r="E387" s="23"/>
      <c r="F387" s="23"/>
      <c r="G387" s="23"/>
      <c r="I387" s="23"/>
    </row>
    <row r="388" spans="3:9" ht="12.75" customHeight="1">
      <c r="C388" s="23"/>
      <c r="D388" s="23"/>
      <c r="E388" s="23"/>
      <c r="F388" s="23"/>
      <c r="G388" s="23"/>
      <c r="I388" s="23"/>
    </row>
    <row r="389" spans="3:9" ht="12.75" customHeight="1">
      <c r="C389" s="23"/>
      <c r="D389" s="23"/>
      <c r="E389" s="23"/>
      <c r="F389" s="23"/>
      <c r="G389" s="23"/>
      <c r="I389" s="23"/>
    </row>
    <row r="390" spans="3:9" ht="12.75" customHeight="1">
      <c r="C390" s="23"/>
      <c r="D390" s="23"/>
      <c r="E390" s="23"/>
      <c r="F390" s="23"/>
      <c r="G390" s="23"/>
      <c r="I390" s="23"/>
    </row>
    <row r="391" spans="3:9" ht="12.75" customHeight="1">
      <c r="C391" s="23"/>
      <c r="D391" s="23"/>
      <c r="E391" s="23"/>
      <c r="F391" s="23"/>
      <c r="G391" s="23"/>
      <c r="I391" s="23"/>
    </row>
    <row r="392" spans="3:9" ht="12.75" customHeight="1">
      <c r="C392" s="23"/>
      <c r="D392" s="23"/>
      <c r="E392" s="23"/>
      <c r="F392" s="23"/>
      <c r="G392" s="23"/>
      <c r="I392" s="23"/>
    </row>
    <row r="393" spans="3:9" ht="12.75" customHeight="1">
      <c r="C393" s="23"/>
      <c r="D393" s="23"/>
      <c r="E393" s="23"/>
      <c r="F393" s="23"/>
      <c r="G393" s="23"/>
      <c r="I393" s="23"/>
    </row>
    <row r="394" spans="3:9" ht="12.75" customHeight="1">
      <c r="C394" s="23"/>
      <c r="D394" s="23"/>
      <c r="E394" s="23"/>
      <c r="F394" s="23"/>
      <c r="G394" s="23"/>
      <c r="I394" s="23"/>
    </row>
    <row r="395" spans="3:9" ht="12.75" customHeight="1">
      <c r="C395" s="23"/>
      <c r="D395" s="23"/>
      <c r="E395" s="23"/>
      <c r="F395" s="23"/>
      <c r="G395" s="23"/>
      <c r="I395" s="23"/>
    </row>
    <row r="396" spans="3:9" ht="12.75" customHeight="1">
      <c r="C396" s="23"/>
      <c r="D396" s="23"/>
      <c r="E396" s="23"/>
      <c r="F396" s="23"/>
      <c r="G396" s="23"/>
      <c r="I396" s="23"/>
    </row>
    <row r="397" spans="3:9" ht="12.75" customHeight="1">
      <c r="C397" s="23"/>
      <c r="D397" s="23"/>
      <c r="E397" s="23"/>
      <c r="F397" s="23"/>
      <c r="G397" s="23"/>
      <c r="I397" s="23"/>
    </row>
    <row r="398" spans="3:9" ht="12.75" customHeight="1">
      <c r="C398" s="23"/>
      <c r="D398" s="23"/>
      <c r="E398" s="23"/>
      <c r="F398" s="23"/>
      <c r="G398" s="23"/>
      <c r="I398" s="23"/>
    </row>
    <row r="399" spans="3:9" ht="12.75" customHeight="1">
      <c r="C399" s="23"/>
      <c r="D399" s="23"/>
      <c r="E399" s="23"/>
      <c r="F399" s="23"/>
      <c r="G399" s="23"/>
      <c r="I399" s="23"/>
    </row>
    <row r="400" spans="3:9" ht="12.75" customHeight="1">
      <c r="C400" s="23"/>
      <c r="D400" s="23"/>
      <c r="E400" s="23"/>
      <c r="F400" s="23"/>
      <c r="G400" s="23"/>
      <c r="I400" s="23"/>
    </row>
    <row r="401" spans="3:9" ht="12.75" customHeight="1">
      <c r="C401" s="23"/>
      <c r="D401" s="23"/>
      <c r="E401" s="23"/>
      <c r="F401" s="23"/>
      <c r="G401" s="23"/>
      <c r="I401" s="23"/>
    </row>
    <row r="402" spans="3:9" ht="12.75" customHeight="1">
      <c r="C402" s="23"/>
      <c r="D402" s="23"/>
      <c r="E402" s="23"/>
      <c r="F402" s="23"/>
      <c r="G402" s="23"/>
      <c r="I402" s="23"/>
    </row>
    <row r="403" spans="3:9" ht="12.75" customHeight="1">
      <c r="C403" s="23"/>
      <c r="D403" s="23"/>
      <c r="E403" s="23"/>
      <c r="F403" s="23"/>
      <c r="G403" s="23"/>
      <c r="I403" s="23"/>
    </row>
    <row r="404" spans="3:9" ht="12.75" customHeight="1">
      <c r="C404" s="23"/>
      <c r="D404" s="23"/>
      <c r="E404" s="23"/>
      <c r="F404" s="23"/>
      <c r="G404" s="23"/>
      <c r="I404" s="23"/>
    </row>
    <row r="405" spans="3:9" ht="12.75" customHeight="1">
      <c r="C405" s="23"/>
      <c r="D405" s="23"/>
      <c r="E405" s="23"/>
      <c r="F405" s="23"/>
      <c r="G405" s="23"/>
      <c r="I405" s="23"/>
    </row>
    <row r="406" spans="3:9" ht="12.75" customHeight="1">
      <c r="C406" s="23"/>
      <c r="D406" s="23"/>
      <c r="E406" s="23"/>
      <c r="F406" s="23"/>
      <c r="G406" s="23"/>
      <c r="I406" s="23"/>
    </row>
    <row r="407" spans="3:9" ht="12.75" customHeight="1">
      <c r="C407" s="23"/>
      <c r="D407" s="23"/>
      <c r="E407" s="23"/>
      <c r="F407" s="23"/>
      <c r="G407" s="23"/>
      <c r="I407" s="23"/>
    </row>
    <row r="408" spans="3:9" ht="12.75" customHeight="1">
      <c r="C408" s="23"/>
      <c r="D408" s="23"/>
      <c r="E408" s="23"/>
      <c r="F408" s="23"/>
      <c r="G408" s="23"/>
      <c r="I408" s="23"/>
    </row>
    <row r="409" spans="3:9" ht="12.75" customHeight="1">
      <c r="C409" s="23"/>
      <c r="D409" s="23"/>
      <c r="E409" s="23"/>
      <c r="F409" s="23"/>
      <c r="G409" s="23"/>
      <c r="I409" s="23"/>
    </row>
    <row r="410" spans="3:9" ht="12.75" customHeight="1">
      <c r="C410" s="23"/>
      <c r="D410" s="23"/>
      <c r="E410" s="23"/>
      <c r="F410" s="23"/>
      <c r="G410" s="23"/>
      <c r="I410" s="23"/>
    </row>
    <row r="411" spans="3:9" ht="12.75" customHeight="1">
      <c r="C411" s="23"/>
      <c r="D411" s="23"/>
      <c r="E411" s="23"/>
      <c r="F411" s="23"/>
      <c r="G411" s="23"/>
      <c r="I411" s="23"/>
    </row>
    <row r="412" spans="3:9" ht="12.75" customHeight="1">
      <c r="C412" s="23"/>
      <c r="D412" s="23"/>
      <c r="E412" s="23"/>
      <c r="F412" s="23"/>
      <c r="G412" s="23"/>
      <c r="I412" s="23"/>
    </row>
    <row r="413" spans="3:9" ht="12.75" customHeight="1">
      <c r="C413" s="23"/>
      <c r="D413" s="23"/>
      <c r="E413" s="23"/>
      <c r="F413" s="23"/>
      <c r="G413" s="23"/>
      <c r="I413" s="23"/>
    </row>
    <row r="414" spans="3:9" ht="12.75" customHeight="1">
      <c r="C414" s="23"/>
      <c r="D414" s="23"/>
      <c r="E414" s="23"/>
      <c r="F414" s="23"/>
      <c r="G414" s="23"/>
      <c r="I414" s="23"/>
    </row>
    <row r="415" spans="3:9" ht="12.75" customHeight="1">
      <c r="C415" s="23"/>
      <c r="D415" s="23"/>
      <c r="E415" s="23"/>
      <c r="F415" s="23"/>
      <c r="G415" s="23"/>
      <c r="I415" s="23"/>
    </row>
    <row r="416" spans="3:9" ht="12.75" customHeight="1">
      <c r="C416" s="23"/>
      <c r="D416" s="23"/>
      <c r="E416" s="23"/>
      <c r="F416" s="23"/>
      <c r="G416" s="23"/>
      <c r="I416" s="23"/>
    </row>
    <row r="417" spans="3:9" ht="12.75" customHeight="1">
      <c r="C417" s="23"/>
      <c r="D417" s="23"/>
      <c r="E417" s="23"/>
      <c r="F417" s="23"/>
      <c r="G417" s="23"/>
      <c r="I417" s="23"/>
    </row>
    <row r="418" spans="3:9" ht="12.75" customHeight="1">
      <c r="C418" s="23"/>
      <c r="D418" s="23"/>
      <c r="E418" s="23"/>
      <c r="F418" s="23"/>
      <c r="G418" s="23"/>
      <c r="I418" s="23"/>
    </row>
    <row r="419" spans="3:9" ht="12.75" customHeight="1">
      <c r="C419" s="23"/>
      <c r="D419" s="23"/>
      <c r="E419" s="23"/>
      <c r="F419" s="23"/>
      <c r="G419" s="23"/>
      <c r="I419" s="23"/>
    </row>
    <row r="420" spans="3:9" ht="12.75" customHeight="1">
      <c r="C420" s="23"/>
      <c r="D420" s="23"/>
      <c r="E420" s="23"/>
      <c r="F420" s="23"/>
      <c r="G420" s="23"/>
      <c r="I420" s="23"/>
    </row>
    <row r="421" spans="3:9" ht="12.75" customHeight="1">
      <c r="C421" s="23"/>
      <c r="D421" s="23"/>
      <c r="E421" s="23"/>
      <c r="F421" s="23"/>
      <c r="G421" s="23"/>
      <c r="I421" s="23"/>
    </row>
    <row r="422" spans="3:9" ht="12.75" customHeight="1">
      <c r="C422" s="23"/>
      <c r="D422" s="23"/>
      <c r="E422" s="23"/>
      <c r="F422" s="23"/>
      <c r="G422" s="23"/>
      <c r="I422" s="23"/>
    </row>
    <row r="423" spans="3:9" ht="12.75" customHeight="1">
      <c r="C423" s="23"/>
      <c r="D423" s="23"/>
      <c r="E423" s="23"/>
      <c r="F423" s="23"/>
      <c r="G423" s="23"/>
      <c r="I423" s="23"/>
    </row>
    <row r="424" spans="3:9" ht="12.75" customHeight="1">
      <c r="C424" s="23"/>
      <c r="D424" s="23"/>
      <c r="E424" s="23"/>
      <c r="F424" s="23"/>
      <c r="G424" s="23"/>
      <c r="I424" s="23"/>
    </row>
    <row r="425" spans="3:9" ht="12.75" customHeight="1">
      <c r="C425" s="23"/>
      <c r="D425" s="23"/>
      <c r="E425" s="23"/>
      <c r="F425" s="23"/>
      <c r="G425" s="23"/>
      <c r="I425" s="23"/>
    </row>
    <row r="426" spans="3:9" ht="12.75" customHeight="1">
      <c r="C426" s="23"/>
      <c r="D426" s="23"/>
      <c r="E426" s="23"/>
      <c r="F426" s="23"/>
      <c r="G426" s="23"/>
      <c r="I426" s="23"/>
    </row>
    <row r="427" spans="3:9" ht="12.75" customHeight="1">
      <c r="C427" s="23"/>
      <c r="D427" s="23"/>
      <c r="E427" s="23"/>
      <c r="F427" s="23"/>
      <c r="G427" s="23"/>
      <c r="I427" s="23"/>
    </row>
    <row r="428" spans="3:9" ht="12.75" customHeight="1">
      <c r="C428" s="23"/>
      <c r="D428" s="23"/>
      <c r="E428" s="23"/>
      <c r="F428" s="23"/>
      <c r="G428" s="23"/>
      <c r="I428" s="23"/>
    </row>
    <row r="429" spans="3:9" ht="12.75" customHeight="1">
      <c r="C429" s="23"/>
      <c r="D429" s="23"/>
      <c r="E429" s="23"/>
      <c r="F429" s="23"/>
      <c r="G429" s="23"/>
      <c r="I429" s="23"/>
    </row>
    <row r="430" spans="3:9" ht="12.75" customHeight="1">
      <c r="C430" s="23"/>
      <c r="D430" s="23"/>
      <c r="E430" s="23"/>
      <c r="F430" s="23"/>
      <c r="G430" s="23"/>
      <c r="I430" s="23"/>
    </row>
    <row r="431" spans="3:9" ht="12.75" customHeight="1">
      <c r="C431" s="23"/>
      <c r="D431" s="23"/>
      <c r="E431" s="23"/>
      <c r="F431" s="23"/>
      <c r="G431" s="23"/>
      <c r="I431" s="23"/>
    </row>
    <row r="432" spans="3:9" ht="12.75" customHeight="1">
      <c r="C432" s="23"/>
      <c r="D432" s="23"/>
      <c r="E432" s="23"/>
      <c r="F432" s="23"/>
      <c r="G432" s="23"/>
      <c r="I432" s="23"/>
    </row>
    <row r="433" spans="3:9" ht="12.75" customHeight="1">
      <c r="C433" s="23"/>
      <c r="D433" s="23"/>
      <c r="E433" s="23"/>
      <c r="F433" s="23"/>
      <c r="G433" s="23"/>
      <c r="I433" s="23"/>
    </row>
    <row r="434" spans="3:9" ht="12.75" customHeight="1">
      <c r="C434" s="23"/>
      <c r="D434" s="23"/>
      <c r="E434" s="23"/>
      <c r="F434" s="23"/>
      <c r="G434" s="23"/>
      <c r="I434" s="23"/>
    </row>
    <row r="435" spans="3:9" ht="12.75" customHeight="1">
      <c r="C435" s="23"/>
      <c r="D435" s="23"/>
      <c r="E435" s="23"/>
      <c r="F435" s="23"/>
      <c r="G435" s="23"/>
      <c r="I435" s="23"/>
    </row>
    <row r="436" spans="3:9" ht="12.75" customHeight="1">
      <c r="C436" s="23"/>
      <c r="D436" s="23"/>
      <c r="E436" s="23"/>
      <c r="F436" s="23"/>
      <c r="G436" s="23"/>
      <c r="I436" s="23"/>
    </row>
    <row r="437" spans="3:9" ht="12.75" customHeight="1">
      <c r="C437" s="23"/>
      <c r="D437" s="23"/>
      <c r="E437" s="23"/>
      <c r="F437" s="23"/>
      <c r="G437" s="23"/>
      <c r="I437" s="23"/>
    </row>
    <row r="438" spans="3:9" ht="12.75" customHeight="1">
      <c r="C438" s="23"/>
      <c r="D438" s="23"/>
      <c r="E438" s="23"/>
      <c r="F438" s="23"/>
      <c r="G438" s="23"/>
      <c r="I438" s="23"/>
    </row>
    <row r="439" spans="3:9" ht="12.75" customHeight="1">
      <c r="C439" s="23"/>
      <c r="D439" s="23"/>
      <c r="E439" s="23"/>
      <c r="F439" s="23"/>
      <c r="G439" s="23"/>
      <c r="I439" s="23"/>
    </row>
    <row r="440" spans="3:9" ht="12.75" customHeight="1">
      <c r="C440" s="23"/>
      <c r="D440" s="23"/>
      <c r="E440" s="23"/>
      <c r="F440" s="23"/>
      <c r="G440" s="23"/>
      <c r="I440" s="23"/>
    </row>
    <row r="441" spans="3:9" ht="12.75" customHeight="1">
      <c r="C441" s="23"/>
      <c r="D441" s="23"/>
      <c r="E441" s="23"/>
      <c r="F441" s="23"/>
      <c r="G441" s="23"/>
      <c r="I441" s="23"/>
    </row>
    <row r="442" spans="3:9" ht="12.75" customHeight="1">
      <c r="C442" s="23"/>
      <c r="D442" s="23"/>
      <c r="E442" s="23"/>
      <c r="F442" s="23"/>
      <c r="G442" s="23"/>
      <c r="I442" s="23"/>
    </row>
    <row r="443" spans="3:9" ht="12.75" customHeight="1">
      <c r="C443" s="23"/>
      <c r="D443" s="23"/>
      <c r="E443" s="23"/>
      <c r="F443" s="23"/>
      <c r="G443" s="23"/>
      <c r="I443" s="23"/>
    </row>
    <row r="444" spans="3:9" ht="12.75" customHeight="1">
      <c r="C444" s="23"/>
      <c r="D444" s="23"/>
      <c r="E444" s="23"/>
      <c r="F444" s="23"/>
      <c r="G444" s="23"/>
      <c r="I444" s="23"/>
    </row>
    <row r="445" spans="3:9" ht="12.75" customHeight="1">
      <c r="C445" s="23"/>
      <c r="D445" s="23"/>
      <c r="E445" s="23"/>
      <c r="F445" s="23"/>
      <c r="G445" s="23"/>
      <c r="I445" s="23"/>
    </row>
    <row r="446" spans="3:9" ht="12.75" customHeight="1">
      <c r="C446" s="23"/>
      <c r="D446" s="23"/>
      <c r="E446" s="23"/>
      <c r="F446" s="23"/>
      <c r="G446" s="23"/>
      <c r="I446" s="23"/>
    </row>
    <row r="447" spans="3:9" ht="12.75" customHeight="1">
      <c r="C447" s="23"/>
      <c r="D447" s="23"/>
      <c r="E447" s="23"/>
      <c r="F447" s="23"/>
      <c r="G447" s="23"/>
      <c r="I447" s="23"/>
    </row>
    <row r="448" spans="3:9" ht="12.75" customHeight="1">
      <c r="C448" s="23"/>
      <c r="D448" s="23"/>
      <c r="E448" s="23"/>
      <c r="F448" s="23"/>
      <c r="G448" s="23"/>
      <c r="I448" s="23"/>
    </row>
    <row r="449" spans="3:9" ht="12.75" customHeight="1">
      <c r="C449" s="23"/>
      <c r="D449" s="23"/>
      <c r="E449" s="23"/>
      <c r="F449" s="23"/>
      <c r="G449" s="23"/>
      <c r="I449" s="23"/>
    </row>
    <row r="450" spans="3:9" ht="12.75" customHeight="1">
      <c r="C450" s="23"/>
      <c r="D450" s="23"/>
      <c r="E450" s="23"/>
      <c r="F450" s="23"/>
      <c r="G450" s="23"/>
      <c r="I450" s="23"/>
    </row>
    <row r="451" spans="3:9" ht="12.75" customHeight="1">
      <c r="C451" s="23"/>
      <c r="D451" s="23"/>
      <c r="E451" s="23"/>
      <c r="F451" s="23"/>
      <c r="G451" s="23"/>
      <c r="I451" s="23"/>
    </row>
    <row r="452" spans="3:9" ht="12.75" customHeight="1">
      <c r="C452" s="23"/>
      <c r="D452" s="23"/>
      <c r="E452" s="23"/>
      <c r="F452" s="23"/>
      <c r="G452" s="23"/>
      <c r="I452" s="23"/>
    </row>
    <row r="453" spans="3:9" ht="12.75" customHeight="1">
      <c r="C453" s="23"/>
      <c r="D453" s="23"/>
      <c r="E453" s="23"/>
      <c r="F453" s="23"/>
      <c r="G453" s="23"/>
      <c r="I453" s="23"/>
    </row>
    <row r="454" spans="3:9" ht="12.75" customHeight="1">
      <c r="C454" s="23"/>
      <c r="D454" s="23"/>
      <c r="E454" s="23"/>
      <c r="F454" s="23"/>
      <c r="G454" s="23"/>
      <c r="I454" s="23"/>
    </row>
    <row r="455" spans="3:9" ht="12.75" customHeight="1">
      <c r="C455" s="23"/>
      <c r="D455" s="23"/>
      <c r="E455" s="23"/>
      <c r="F455" s="23"/>
      <c r="G455" s="23"/>
      <c r="I455" s="23"/>
    </row>
    <row r="456" spans="3:9" ht="12.75" customHeight="1">
      <c r="C456" s="23"/>
      <c r="D456" s="23"/>
      <c r="E456" s="23"/>
      <c r="F456" s="23"/>
      <c r="G456" s="23"/>
      <c r="I456" s="23"/>
    </row>
    <row r="457" spans="3:9" ht="12.75" customHeight="1">
      <c r="C457" s="23"/>
      <c r="D457" s="23"/>
      <c r="E457" s="23"/>
      <c r="F457" s="23"/>
      <c r="G457" s="23"/>
      <c r="I457" s="23"/>
    </row>
    <row r="458" spans="3:9" ht="12.75" customHeight="1">
      <c r="C458" s="23"/>
      <c r="D458" s="23"/>
      <c r="E458" s="23"/>
      <c r="F458" s="23"/>
      <c r="G458" s="23"/>
      <c r="I458" s="23"/>
    </row>
    <row r="459" spans="3:9" ht="12.75" customHeight="1">
      <c r="C459" s="23"/>
      <c r="D459" s="23"/>
      <c r="E459" s="23"/>
      <c r="F459" s="23"/>
      <c r="G459" s="23"/>
      <c r="I459" s="23"/>
    </row>
    <row r="460" spans="3:9" ht="12.75" customHeight="1">
      <c r="C460" s="23"/>
      <c r="D460" s="23"/>
      <c r="E460" s="23"/>
      <c r="F460" s="23"/>
      <c r="G460" s="23"/>
      <c r="I460" s="23"/>
    </row>
    <row r="461" spans="3:9" ht="12.75" customHeight="1">
      <c r="C461" s="23"/>
      <c r="D461" s="23"/>
      <c r="E461" s="23"/>
      <c r="F461" s="23"/>
      <c r="G461" s="23"/>
      <c r="I461" s="23"/>
    </row>
    <row r="462" spans="3:9" ht="12.75" customHeight="1">
      <c r="C462" s="23"/>
      <c r="D462" s="23"/>
      <c r="E462" s="23"/>
      <c r="F462" s="23"/>
      <c r="G462" s="23"/>
      <c r="I462" s="23"/>
    </row>
    <row r="463" spans="3:9" ht="12.75" customHeight="1">
      <c r="C463" s="23"/>
      <c r="D463" s="23"/>
      <c r="E463" s="23"/>
      <c r="F463" s="23"/>
      <c r="G463" s="23"/>
      <c r="I463" s="23"/>
    </row>
    <row r="464" spans="3:9" ht="12.75" customHeight="1">
      <c r="C464" s="23"/>
      <c r="D464" s="23"/>
      <c r="E464" s="23"/>
      <c r="F464" s="23"/>
      <c r="G464" s="23"/>
      <c r="I464" s="23"/>
    </row>
    <row r="465" spans="3:9" ht="12.75" customHeight="1">
      <c r="C465" s="23"/>
      <c r="D465" s="23"/>
      <c r="E465" s="23"/>
      <c r="F465" s="23"/>
      <c r="G465" s="23"/>
      <c r="I465" s="23"/>
    </row>
    <row r="466" spans="3:9" ht="12.75" customHeight="1">
      <c r="C466" s="23"/>
      <c r="D466" s="23"/>
      <c r="E466" s="23"/>
      <c r="F466" s="23"/>
      <c r="G466" s="23"/>
      <c r="I466" s="23"/>
    </row>
    <row r="467" spans="3:9" ht="12.75" customHeight="1">
      <c r="C467" s="23"/>
      <c r="D467" s="23"/>
      <c r="E467" s="23"/>
      <c r="F467" s="23"/>
      <c r="G467" s="23"/>
      <c r="I467" s="23"/>
    </row>
    <row r="468" spans="3:9" ht="12.75" customHeight="1">
      <c r="C468" s="23"/>
      <c r="D468" s="23"/>
      <c r="E468" s="23"/>
      <c r="F468" s="23"/>
      <c r="G468" s="23"/>
      <c r="I468" s="23"/>
    </row>
    <row r="469" spans="3:9" ht="12.75" customHeight="1">
      <c r="C469" s="23"/>
      <c r="D469" s="23"/>
      <c r="E469" s="23"/>
      <c r="F469" s="23"/>
      <c r="G469" s="23"/>
      <c r="I469" s="23"/>
    </row>
    <row r="470" spans="3:9" ht="12.75" customHeight="1">
      <c r="C470" s="23"/>
      <c r="D470" s="23"/>
      <c r="E470" s="23"/>
      <c r="F470" s="23"/>
      <c r="G470" s="23"/>
      <c r="I470" s="23"/>
    </row>
    <row r="471" spans="3:9" ht="12.75" customHeight="1">
      <c r="C471" s="23"/>
      <c r="D471" s="23"/>
      <c r="E471" s="23"/>
      <c r="F471" s="23"/>
      <c r="G471" s="23"/>
      <c r="I471" s="23"/>
    </row>
    <row r="472" spans="3:9" ht="12.75" customHeight="1">
      <c r="C472" s="23"/>
      <c r="D472" s="23"/>
      <c r="E472" s="23"/>
      <c r="F472" s="23"/>
      <c r="G472" s="23"/>
      <c r="I472" s="23"/>
    </row>
    <row r="473" spans="3:9" ht="12.75" customHeight="1">
      <c r="C473" s="23"/>
      <c r="D473" s="23"/>
      <c r="E473" s="23"/>
      <c r="F473" s="23"/>
      <c r="G473" s="23"/>
      <c r="I473" s="23"/>
    </row>
    <row r="474" spans="3:9" ht="12.75" customHeight="1">
      <c r="C474" s="23"/>
      <c r="D474" s="23"/>
      <c r="E474" s="23"/>
      <c r="F474" s="23"/>
      <c r="G474" s="23"/>
      <c r="I474" s="23"/>
    </row>
    <row r="475" spans="3:9" ht="12.75" customHeight="1">
      <c r="C475" s="23"/>
      <c r="D475" s="23"/>
      <c r="E475" s="23"/>
      <c r="F475" s="23"/>
      <c r="G475" s="23"/>
      <c r="I475" s="23"/>
    </row>
    <row r="476" spans="3:9" ht="12.75" customHeight="1">
      <c r="C476" s="23"/>
      <c r="D476" s="23"/>
      <c r="E476" s="23"/>
      <c r="F476" s="23"/>
      <c r="G476" s="23"/>
      <c r="I476" s="23"/>
    </row>
    <row r="477" spans="3:9" ht="12.75" customHeight="1">
      <c r="C477" s="23"/>
      <c r="D477" s="23"/>
      <c r="E477" s="23"/>
      <c r="F477" s="23"/>
      <c r="G477" s="23"/>
      <c r="I477" s="23"/>
    </row>
    <row r="478" spans="3:9" ht="12.75" customHeight="1">
      <c r="C478" s="23"/>
      <c r="D478" s="23"/>
      <c r="E478" s="23"/>
      <c r="F478" s="23"/>
      <c r="G478" s="23"/>
      <c r="I478" s="23"/>
    </row>
    <row r="479" spans="3:9" ht="12.75" customHeight="1">
      <c r="C479" s="23"/>
      <c r="D479" s="23"/>
      <c r="E479" s="23"/>
      <c r="F479" s="23"/>
      <c r="G479" s="23"/>
      <c r="I479" s="23"/>
    </row>
    <row r="480" spans="3:9" ht="12.75" customHeight="1">
      <c r="C480" s="23"/>
      <c r="D480" s="23"/>
      <c r="E480" s="23"/>
      <c r="F480" s="23"/>
      <c r="G480" s="23"/>
      <c r="I480" s="23"/>
    </row>
    <row r="481" spans="3:9" ht="12.75" customHeight="1">
      <c r="C481" s="23"/>
      <c r="D481" s="23"/>
      <c r="E481" s="23"/>
      <c r="F481" s="23"/>
      <c r="G481" s="23"/>
      <c r="I481" s="23"/>
    </row>
    <row r="482" spans="3:9" ht="12.75" customHeight="1">
      <c r="C482" s="23"/>
      <c r="D482" s="23"/>
      <c r="E482" s="23"/>
      <c r="F482" s="23"/>
      <c r="G482" s="23"/>
      <c r="I482" s="23"/>
    </row>
    <row r="483" spans="3:9" ht="12.75" customHeight="1">
      <c r="C483" s="23"/>
      <c r="D483" s="23"/>
      <c r="E483" s="23"/>
      <c r="F483" s="23"/>
      <c r="G483" s="23"/>
      <c r="I483" s="23"/>
    </row>
    <row r="484" spans="3:9" ht="12.75" customHeight="1">
      <c r="C484" s="23"/>
      <c r="D484" s="23"/>
      <c r="E484" s="23"/>
      <c r="F484" s="23"/>
      <c r="G484" s="23"/>
      <c r="I484" s="23"/>
    </row>
    <row r="485" spans="3:9" ht="12.75" customHeight="1">
      <c r="C485" s="23"/>
      <c r="D485" s="23"/>
      <c r="E485" s="23"/>
      <c r="F485" s="23"/>
      <c r="G485" s="23"/>
      <c r="I485" s="23"/>
    </row>
    <row r="486" spans="3:9" ht="12.75" customHeight="1">
      <c r="C486" s="23"/>
      <c r="D486" s="23"/>
      <c r="E486" s="23"/>
      <c r="F486" s="23"/>
      <c r="G486" s="23"/>
      <c r="I486" s="23"/>
    </row>
    <row r="487" spans="3:9" ht="12.75" customHeight="1">
      <c r="C487" s="23"/>
      <c r="D487" s="23"/>
      <c r="E487" s="23"/>
      <c r="F487" s="23"/>
      <c r="G487" s="23"/>
      <c r="I487" s="23"/>
    </row>
    <row r="488" spans="3:9" ht="12.75" customHeight="1">
      <c r="C488" s="23"/>
      <c r="D488" s="23"/>
      <c r="E488" s="23"/>
      <c r="F488" s="23"/>
      <c r="G488" s="23"/>
      <c r="I488" s="23"/>
    </row>
    <row r="489" spans="3:9" ht="12.75" customHeight="1">
      <c r="C489" s="23"/>
      <c r="D489" s="23"/>
      <c r="E489" s="23"/>
      <c r="F489" s="23"/>
      <c r="G489" s="23"/>
      <c r="I489" s="23"/>
    </row>
    <row r="490" spans="3:9" ht="12.75" customHeight="1">
      <c r="C490" s="23"/>
      <c r="D490" s="23"/>
      <c r="E490" s="23"/>
      <c r="F490" s="23"/>
      <c r="G490" s="23"/>
      <c r="I490" s="23"/>
    </row>
    <row r="491" spans="3:9" ht="12.75" customHeight="1">
      <c r="C491" s="23"/>
      <c r="D491" s="23"/>
      <c r="E491" s="23"/>
      <c r="F491" s="23"/>
      <c r="G491" s="23"/>
      <c r="I491" s="23"/>
    </row>
    <row r="492" spans="3:9" ht="12.75" customHeight="1">
      <c r="C492" s="23"/>
      <c r="D492" s="23"/>
      <c r="E492" s="23"/>
      <c r="F492" s="23"/>
      <c r="G492" s="23"/>
      <c r="I492" s="23"/>
    </row>
    <row r="493" spans="3:9" ht="12.75" customHeight="1">
      <c r="C493" s="23"/>
      <c r="D493" s="23"/>
      <c r="E493" s="23"/>
      <c r="F493" s="23"/>
      <c r="G493" s="23"/>
      <c r="I493" s="23"/>
    </row>
    <row r="494" spans="3:9" ht="12.75" customHeight="1">
      <c r="C494" s="23"/>
      <c r="D494" s="23"/>
      <c r="E494" s="23"/>
      <c r="F494" s="23"/>
      <c r="G494" s="23"/>
      <c r="I494" s="23"/>
    </row>
    <row r="495" spans="3:9" ht="12.75" customHeight="1">
      <c r="C495" s="23"/>
      <c r="D495" s="23"/>
      <c r="E495" s="23"/>
      <c r="F495" s="23"/>
      <c r="G495" s="23"/>
      <c r="I495" s="23"/>
    </row>
    <row r="496" spans="3:9" ht="12.75" customHeight="1">
      <c r="C496" s="23"/>
      <c r="D496" s="23"/>
      <c r="E496" s="23"/>
      <c r="F496" s="23"/>
      <c r="G496" s="23"/>
      <c r="I496" s="23"/>
    </row>
    <row r="497" spans="3:9" ht="12.75" customHeight="1">
      <c r="C497" s="23"/>
      <c r="D497" s="23"/>
      <c r="E497" s="23"/>
      <c r="F497" s="23"/>
      <c r="G497" s="23"/>
      <c r="I497" s="23"/>
    </row>
    <row r="498" spans="3:9" ht="12.75" customHeight="1">
      <c r="C498" s="23"/>
      <c r="D498" s="23"/>
      <c r="E498" s="23"/>
      <c r="F498" s="23"/>
      <c r="G498" s="23"/>
      <c r="I498" s="23"/>
    </row>
    <row r="499" spans="3:9" ht="12.75" customHeight="1">
      <c r="C499" s="23"/>
      <c r="D499" s="23"/>
      <c r="E499" s="23"/>
      <c r="F499" s="23"/>
      <c r="G499" s="23"/>
      <c r="I499" s="23"/>
    </row>
    <row r="500" spans="3:9" ht="12.75" customHeight="1">
      <c r="C500" s="23"/>
      <c r="D500" s="23"/>
      <c r="E500" s="23"/>
      <c r="F500" s="23"/>
      <c r="G500" s="23"/>
      <c r="I500" s="23"/>
    </row>
    <row r="501" spans="3:9" ht="12.75" customHeight="1">
      <c r="C501" s="23"/>
      <c r="D501" s="23"/>
      <c r="E501" s="23"/>
      <c r="F501" s="23"/>
      <c r="G501" s="23"/>
      <c r="I501" s="23"/>
    </row>
    <row r="502" spans="3:9" ht="12.75" customHeight="1">
      <c r="C502" s="23"/>
      <c r="D502" s="23"/>
      <c r="E502" s="23"/>
      <c r="F502" s="23"/>
      <c r="G502" s="23"/>
      <c r="I502" s="23"/>
    </row>
    <row r="503" spans="3:9" ht="12.75" customHeight="1">
      <c r="C503" s="23"/>
      <c r="D503" s="23"/>
      <c r="E503" s="23"/>
      <c r="F503" s="23"/>
      <c r="G503" s="23"/>
      <c r="I503" s="23"/>
    </row>
    <row r="504" spans="3:9" ht="12.75" customHeight="1">
      <c r="C504" s="23"/>
      <c r="D504" s="23"/>
      <c r="E504" s="23"/>
      <c r="F504" s="23"/>
      <c r="G504" s="23"/>
      <c r="I504" s="23"/>
    </row>
    <row r="505" spans="3:9" ht="12.75" customHeight="1">
      <c r="C505" s="23"/>
      <c r="D505" s="23"/>
      <c r="E505" s="23"/>
      <c r="F505" s="23"/>
      <c r="G505" s="23"/>
      <c r="I505" s="23"/>
    </row>
    <row r="506" spans="3:9" ht="12.75" customHeight="1">
      <c r="C506" s="23"/>
      <c r="D506" s="23"/>
      <c r="E506" s="23"/>
      <c r="F506" s="23"/>
      <c r="G506" s="23"/>
      <c r="I506" s="23"/>
    </row>
    <row r="507" spans="3:9" ht="12.75" customHeight="1">
      <c r="C507" s="23"/>
      <c r="D507" s="23"/>
      <c r="E507" s="23"/>
      <c r="F507" s="23"/>
      <c r="G507" s="23"/>
      <c r="I507" s="23"/>
    </row>
    <row r="508" spans="3:9" ht="12.75" customHeight="1">
      <c r="C508" s="23"/>
      <c r="D508" s="23"/>
      <c r="E508" s="23"/>
      <c r="F508" s="23"/>
      <c r="G508" s="23"/>
      <c r="I508" s="23"/>
    </row>
    <row r="509" spans="3:9" ht="12.75" customHeight="1">
      <c r="C509" s="23"/>
      <c r="D509" s="23"/>
      <c r="E509" s="23"/>
      <c r="F509" s="23"/>
      <c r="G509" s="23"/>
      <c r="I509" s="23"/>
    </row>
    <row r="510" spans="3:9" ht="12.75" customHeight="1">
      <c r="C510" s="23"/>
      <c r="D510" s="23"/>
      <c r="E510" s="23"/>
      <c r="F510" s="23"/>
      <c r="G510" s="23"/>
      <c r="I510" s="23"/>
    </row>
    <row r="511" spans="3:9" ht="12.75" customHeight="1">
      <c r="C511" s="23"/>
      <c r="D511" s="23"/>
      <c r="E511" s="23"/>
      <c r="F511" s="23"/>
      <c r="G511" s="23"/>
      <c r="I511" s="23"/>
    </row>
    <row r="512" spans="3:9" ht="12.75" customHeight="1">
      <c r="C512" s="23"/>
      <c r="D512" s="23"/>
      <c r="E512" s="23"/>
      <c r="F512" s="23"/>
      <c r="G512" s="23"/>
      <c r="I512" s="23"/>
    </row>
    <row r="513" spans="3:9" ht="12.75" customHeight="1">
      <c r="C513" s="23"/>
      <c r="D513" s="23"/>
      <c r="E513" s="23"/>
      <c r="F513" s="23"/>
      <c r="G513" s="23"/>
      <c r="I513" s="23"/>
    </row>
    <row r="514" spans="3:9" ht="12.75" customHeight="1">
      <c r="C514" s="23"/>
      <c r="D514" s="23"/>
      <c r="E514" s="23"/>
      <c r="F514" s="23"/>
      <c r="G514" s="23"/>
      <c r="I514" s="23"/>
    </row>
    <row r="515" spans="3:9" ht="12.75" customHeight="1">
      <c r="C515" s="23"/>
      <c r="D515" s="23"/>
      <c r="E515" s="23"/>
      <c r="F515" s="23"/>
      <c r="G515" s="23"/>
      <c r="I515" s="23"/>
    </row>
    <row r="516" spans="3:9" ht="12.75" customHeight="1">
      <c r="C516" s="23"/>
      <c r="D516" s="23"/>
      <c r="E516" s="23"/>
      <c r="F516" s="23"/>
      <c r="G516" s="23"/>
      <c r="I516" s="23"/>
    </row>
    <row r="517" spans="3:9" ht="12.75" customHeight="1">
      <c r="C517" s="23"/>
      <c r="D517" s="23"/>
      <c r="E517" s="23"/>
      <c r="F517" s="23"/>
      <c r="G517" s="23"/>
      <c r="I517" s="23"/>
    </row>
    <row r="518" spans="3:9" ht="12.75" customHeight="1">
      <c r="C518" s="23"/>
      <c r="D518" s="23"/>
      <c r="E518" s="23"/>
      <c r="F518" s="23"/>
      <c r="G518" s="23"/>
      <c r="I518" s="23"/>
    </row>
    <row r="519" spans="3:9" ht="12.75" customHeight="1">
      <c r="C519" s="23"/>
      <c r="D519" s="23"/>
      <c r="E519" s="23"/>
      <c r="F519" s="23"/>
      <c r="G519" s="23"/>
      <c r="I519" s="23"/>
    </row>
    <row r="520" spans="3:9" ht="12.75" customHeight="1">
      <c r="C520" s="23"/>
      <c r="D520" s="23"/>
      <c r="E520" s="23"/>
      <c r="F520" s="23"/>
      <c r="G520" s="23"/>
      <c r="I520" s="23"/>
    </row>
    <row r="521" spans="3:9" ht="12.75" customHeight="1">
      <c r="C521" s="23"/>
      <c r="D521" s="23"/>
      <c r="E521" s="23"/>
      <c r="F521" s="23"/>
      <c r="G521" s="23"/>
      <c r="I521" s="23"/>
    </row>
    <row r="522" spans="3:9" ht="12.75" customHeight="1">
      <c r="C522" s="23"/>
      <c r="D522" s="23"/>
      <c r="E522" s="23"/>
      <c r="F522" s="23"/>
      <c r="G522" s="23"/>
      <c r="I522" s="23"/>
    </row>
    <row r="523" spans="3:9" ht="12.75" customHeight="1">
      <c r="C523" s="23"/>
      <c r="D523" s="23"/>
      <c r="E523" s="23"/>
      <c r="F523" s="23"/>
      <c r="G523" s="23"/>
      <c r="I523" s="23"/>
    </row>
    <row r="524" spans="3:9" ht="12.75" customHeight="1">
      <c r="C524" s="23"/>
      <c r="D524" s="23"/>
      <c r="E524" s="23"/>
      <c r="F524" s="23"/>
      <c r="G524" s="23"/>
      <c r="I524" s="23"/>
    </row>
    <row r="525" spans="3:9" ht="12.75" customHeight="1">
      <c r="C525" s="23"/>
      <c r="D525" s="23"/>
      <c r="E525" s="23"/>
      <c r="F525" s="23"/>
      <c r="G525" s="23"/>
      <c r="I525" s="23"/>
    </row>
    <row r="526" spans="3:9" ht="12.75" customHeight="1">
      <c r="C526" s="23"/>
      <c r="D526" s="23"/>
      <c r="E526" s="23"/>
      <c r="F526" s="23"/>
      <c r="G526" s="23"/>
      <c r="I526" s="23"/>
    </row>
    <row r="527" spans="3:9" ht="12.75" customHeight="1">
      <c r="C527" s="23"/>
      <c r="D527" s="23"/>
      <c r="E527" s="23"/>
      <c r="F527" s="23"/>
      <c r="G527" s="23"/>
      <c r="I527" s="23"/>
    </row>
    <row r="528" spans="3:9" ht="12.75" customHeight="1">
      <c r="C528" s="23"/>
      <c r="D528" s="23"/>
      <c r="E528" s="23"/>
      <c r="F528" s="23"/>
      <c r="G528" s="23"/>
      <c r="I528" s="23"/>
    </row>
    <row r="529" spans="3:9" ht="12.75" customHeight="1">
      <c r="C529" s="23"/>
      <c r="D529" s="23"/>
      <c r="E529" s="23"/>
      <c r="F529" s="23"/>
      <c r="G529" s="23"/>
      <c r="I529" s="23"/>
    </row>
    <row r="530" spans="3:9" ht="12.75" customHeight="1">
      <c r="C530" s="23"/>
      <c r="D530" s="23"/>
      <c r="E530" s="23"/>
      <c r="F530" s="23"/>
      <c r="G530" s="23"/>
      <c r="I530" s="23"/>
    </row>
    <row r="531" spans="3:9" ht="12.75" customHeight="1">
      <c r="C531" s="23"/>
      <c r="D531" s="23"/>
      <c r="E531" s="23"/>
      <c r="F531" s="23"/>
      <c r="G531" s="23"/>
      <c r="I531" s="23"/>
    </row>
    <row r="532" spans="3:9" ht="12.75" customHeight="1">
      <c r="C532" s="23"/>
      <c r="D532" s="23"/>
      <c r="E532" s="23"/>
      <c r="F532" s="23"/>
      <c r="G532" s="23"/>
      <c r="I532" s="23"/>
    </row>
    <row r="533" spans="3:9" ht="12.75" customHeight="1">
      <c r="C533" s="23"/>
      <c r="D533" s="23"/>
      <c r="E533" s="23"/>
      <c r="F533" s="23"/>
      <c r="G533" s="23"/>
      <c r="I533" s="23"/>
    </row>
    <row r="534" spans="3:9" ht="12.75" customHeight="1">
      <c r="C534" s="23"/>
      <c r="D534" s="23"/>
      <c r="E534" s="23"/>
      <c r="F534" s="23"/>
      <c r="G534" s="23"/>
      <c r="I534" s="23"/>
    </row>
    <row r="535" spans="3:9" ht="12.75" customHeight="1">
      <c r="C535" s="23"/>
      <c r="D535" s="23"/>
      <c r="E535" s="23"/>
      <c r="F535" s="23"/>
      <c r="G535" s="23"/>
      <c r="I535" s="23"/>
    </row>
    <row r="536" spans="3:9" ht="12.75" customHeight="1">
      <c r="C536" s="23"/>
      <c r="D536" s="23"/>
      <c r="E536" s="23"/>
      <c r="F536" s="23"/>
      <c r="G536" s="23"/>
      <c r="I536" s="23"/>
    </row>
    <row r="537" spans="3:9" ht="12.75" customHeight="1">
      <c r="C537" s="23"/>
      <c r="D537" s="23"/>
      <c r="E537" s="23"/>
      <c r="F537" s="23"/>
      <c r="G537" s="23"/>
      <c r="I537" s="23"/>
    </row>
    <row r="538" spans="3:9" ht="12.75" customHeight="1">
      <c r="C538" s="23"/>
      <c r="D538" s="23"/>
      <c r="E538" s="23"/>
      <c r="F538" s="23"/>
      <c r="G538" s="23"/>
      <c r="I538" s="23"/>
    </row>
    <row r="539" spans="3:9" ht="12.75" customHeight="1">
      <c r="C539" s="23"/>
      <c r="D539" s="23"/>
      <c r="E539" s="23"/>
      <c r="F539" s="23"/>
      <c r="G539" s="23"/>
      <c r="I539" s="23"/>
    </row>
    <row r="540" spans="3:9" ht="12.75" customHeight="1">
      <c r="C540" s="23"/>
      <c r="D540" s="23"/>
      <c r="E540" s="23"/>
      <c r="F540" s="23"/>
      <c r="G540" s="23"/>
      <c r="I540" s="23"/>
    </row>
    <row r="541" spans="3:9" ht="12.75" customHeight="1">
      <c r="C541" s="23"/>
      <c r="D541" s="23"/>
      <c r="E541" s="23"/>
      <c r="F541" s="23"/>
      <c r="G541" s="23"/>
      <c r="I541" s="23"/>
    </row>
    <row r="542" spans="3:9" ht="12.75" customHeight="1">
      <c r="C542" s="23"/>
      <c r="D542" s="23"/>
      <c r="E542" s="23"/>
      <c r="F542" s="23"/>
      <c r="G542" s="23"/>
      <c r="I542" s="23"/>
    </row>
    <row r="543" spans="3:9" ht="12.75" customHeight="1">
      <c r="C543" s="23"/>
      <c r="D543" s="23"/>
      <c r="E543" s="23"/>
      <c r="F543" s="23"/>
      <c r="G543" s="23"/>
      <c r="I543" s="23"/>
    </row>
    <row r="544" spans="3:9" ht="12.75" customHeight="1">
      <c r="C544" s="23"/>
      <c r="D544" s="23"/>
      <c r="E544" s="23"/>
      <c r="F544" s="23"/>
      <c r="G544" s="23"/>
      <c r="I544" s="23"/>
    </row>
    <row r="545" spans="3:9" ht="12.75" customHeight="1">
      <c r="C545" s="23"/>
      <c r="D545" s="23"/>
      <c r="E545" s="23"/>
      <c r="F545" s="23"/>
      <c r="G545" s="23"/>
      <c r="I545" s="23"/>
    </row>
    <row r="546" spans="3:9" ht="12.75" customHeight="1">
      <c r="C546" s="23"/>
      <c r="D546" s="23"/>
      <c r="E546" s="23"/>
      <c r="F546" s="23"/>
      <c r="G546" s="23"/>
      <c r="I546" s="23"/>
    </row>
    <row r="547" spans="3:9" ht="12.75" customHeight="1">
      <c r="C547" s="23"/>
      <c r="D547" s="23"/>
      <c r="E547" s="23"/>
      <c r="F547" s="23"/>
      <c r="G547" s="23"/>
      <c r="I547" s="23"/>
    </row>
    <row r="548" spans="3:9" ht="12.75" customHeight="1">
      <c r="C548" s="23"/>
      <c r="D548" s="23"/>
      <c r="E548" s="23"/>
      <c r="F548" s="23"/>
      <c r="G548" s="23"/>
      <c r="I548" s="23"/>
    </row>
    <row r="549" spans="3:9" ht="12.75" customHeight="1">
      <c r="C549" s="23"/>
      <c r="D549" s="23"/>
      <c r="E549" s="23"/>
      <c r="F549" s="23"/>
      <c r="G549" s="23"/>
      <c r="I549" s="23"/>
    </row>
    <row r="550" spans="3:9" ht="12.75" customHeight="1">
      <c r="C550" s="23"/>
      <c r="D550" s="23"/>
      <c r="E550" s="23"/>
      <c r="F550" s="23"/>
      <c r="G550" s="23"/>
      <c r="I550" s="23"/>
    </row>
    <row r="551" spans="3:9" ht="12.75" customHeight="1">
      <c r="C551" s="23"/>
      <c r="D551" s="23"/>
      <c r="E551" s="23"/>
      <c r="F551" s="23"/>
      <c r="G551" s="23"/>
      <c r="I551" s="23"/>
    </row>
    <row r="552" spans="3:9" ht="12.75" customHeight="1">
      <c r="C552" s="23"/>
      <c r="D552" s="23"/>
      <c r="E552" s="23"/>
      <c r="F552" s="23"/>
      <c r="G552" s="23"/>
      <c r="I552" s="23"/>
    </row>
    <row r="553" spans="3:9" ht="12.75" customHeight="1">
      <c r="C553" s="23"/>
      <c r="D553" s="23"/>
      <c r="E553" s="23"/>
      <c r="F553" s="23"/>
      <c r="G553" s="23"/>
      <c r="I553" s="23"/>
    </row>
    <row r="554" spans="3:9" ht="12.75" customHeight="1">
      <c r="C554" s="23"/>
      <c r="D554" s="23"/>
      <c r="E554" s="23"/>
      <c r="F554" s="23"/>
      <c r="G554" s="23"/>
      <c r="I554" s="23"/>
    </row>
    <row r="555" spans="3:9" ht="12.75" customHeight="1">
      <c r="C555" s="23"/>
      <c r="D555" s="23"/>
      <c r="E555" s="23"/>
      <c r="F555" s="23"/>
      <c r="G555" s="23"/>
      <c r="I555" s="23"/>
    </row>
    <row r="556" spans="3:9" ht="12.75" customHeight="1">
      <c r="C556" s="23"/>
      <c r="D556" s="23"/>
      <c r="E556" s="23"/>
      <c r="F556" s="23"/>
      <c r="G556" s="23"/>
      <c r="I556" s="23"/>
    </row>
    <row r="557" spans="3:9" ht="12.75" customHeight="1">
      <c r="C557" s="23"/>
      <c r="D557" s="23"/>
      <c r="E557" s="23"/>
      <c r="F557" s="23"/>
      <c r="G557" s="23"/>
      <c r="I557" s="23"/>
    </row>
    <row r="558" spans="3:9" ht="12.75" customHeight="1">
      <c r="C558" s="23"/>
      <c r="D558" s="23"/>
      <c r="E558" s="23"/>
      <c r="F558" s="23"/>
      <c r="G558" s="23"/>
      <c r="I558" s="23"/>
    </row>
    <row r="559" spans="3:9" ht="12.75" customHeight="1">
      <c r="C559" s="23"/>
      <c r="D559" s="23"/>
      <c r="E559" s="23"/>
      <c r="F559" s="23"/>
      <c r="G559" s="23"/>
      <c r="I559" s="23"/>
    </row>
    <row r="560" spans="3:9" ht="12.75" customHeight="1">
      <c r="C560" s="23"/>
      <c r="D560" s="23"/>
      <c r="E560" s="23"/>
      <c r="F560" s="23"/>
      <c r="G560" s="23"/>
      <c r="I560" s="23"/>
    </row>
    <row r="561" spans="3:9" ht="12.75" customHeight="1">
      <c r="C561" s="23"/>
      <c r="D561" s="23"/>
      <c r="E561" s="23"/>
      <c r="F561" s="23"/>
      <c r="G561" s="23"/>
      <c r="I561" s="23"/>
    </row>
    <row r="562" spans="3:9" ht="12.75" customHeight="1">
      <c r="C562" s="23"/>
      <c r="D562" s="23"/>
      <c r="E562" s="23"/>
      <c r="F562" s="23"/>
      <c r="G562" s="23"/>
      <c r="I562" s="23"/>
    </row>
    <row r="563" spans="3:9" ht="12.75" customHeight="1">
      <c r="C563" s="23"/>
      <c r="D563" s="23"/>
      <c r="E563" s="23"/>
      <c r="F563" s="23"/>
      <c r="G563" s="23"/>
      <c r="I563" s="23"/>
    </row>
    <row r="564" spans="3:9" ht="12.75" customHeight="1">
      <c r="C564" s="23"/>
      <c r="D564" s="23"/>
      <c r="E564" s="23"/>
      <c r="F564" s="23"/>
      <c r="G564" s="23"/>
      <c r="I564" s="23"/>
    </row>
    <row r="565" spans="3:9" ht="12.75" customHeight="1">
      <c r="C565" s="23"/>
      <c r="D565" s="23"/>
      <c r="E565" s="23"/>
      <c r="F565" s="23"/>
      <c r="G565" s="23"/>
      <c r="I565" s="23"/>
    </row>
    <row r="566" spans="3:9" ht="12.75" customHeight="1">
      <c r="C566" s="23"/>
      <c r="D566" s="23"/>
      <c r="E566" s="23"/>
      <c r="F566" s="23"/>
      <c r="G566" s="23"/>
      <c r="I566" s="23"/>
    </row>
    <row r="567" spans="3:9" ht="12.75" customHeight="1">
      <c r="C567" s="23"/>
      <c r="D567" s="23"/>
      <c r="E567" s="23"/>
      <c r="F567" s="23"/>
      <c r="G567" s="23"/>
      <c r="I567" s="23"/>
    </row>
    <row r="568" spans="3:9" ht="12.75" customHeight="1">
      <c r="C568" s="23"/>
      <c r="D568" s="23"/>
      <c r="E568" s="23"/>
      <c r="F568" s="23"/>
      <c r="G568" s="23"/>
      <c r="I568" s="23"/>
    </row>
    <row r="569" spans="3:9" ht="12.75" customHeight="1">
      <c r="C569" s="23"/>
      <c r="D569" s="23"/>
      <c r="E569" s="23"/>
      <c r="F569" s="23"/>
      <c r="G569" s="23"/>
      <c r="I569" s="23"/>
    </row>
    <row r="570" spans="3:9" ht="12.75" customHeight="1">
      <c r="C570" s="23"/>
      <c r="D570" s="23"/>
      <c r="E570" s="23"/>
      <c r="F570" s="23"/>
      <c r="G570" s="23"/>
      <c r="I570" s="23"/>
    </row>
    <row r="571" spans="3:9" ht="12.75" customHeight="1">
      <c r="C571" s="23"/>
      <c r="D571" s="23"/>
      <c r="E571" s="23"/>
      <c r="F571" s="23"/>
      <c r="G571" s="23"/>
      <c r="I571" s="23"/>
    </row>
    <row r="572" spans="3:9" ht="12.75" customHeight="1">
      <c r="C572" s="23"/>
      <c r="D572" s="23"/>
      <c r="E572" s="23"/>
      <c r="F572" s="23"/>
      <c r="G572" s="23"/>
      <c r="I572" s="23"/>
    </row>
    <row r="573" spans="3:9" ht="12.75" customHeight="1">
      <c r="C573" s="23"/>
      <c r="D573" s="23"/>
      <c r="E573" s="23"/>
      <c r="F573" s="23"/>
      <c r="G573" s="23"/>
      <c r="I573" s="23"/>
    </row>
    <row r="574" spans="3:9" ht="12.75" customHeight="1">
      <c r="C574" s="23"/>
      <c r="D574" s="23"/>
      <c r="E574" s="23"/>
      <c r="F574" s="23"/>
      <c r="G574" s="23"/>
      <c r="I574" s="23"/>
    </row>
    <row r="575" spans="3:9" ht="12.75" customHeight="1">
      <c r="C575" s="23"/>
      <c r="D575" s="23"/>
      <c r="E575" s="23"/>
      <c r="F575" s="23"/>
      <c r="G575" s="23"/>
      <c r="I575" s="23"/>
    </row>
    <row r="576" spans="3:9" ht="12.75" customHeight="1">
      <c r="C576" s="23"/>
      <c r="D576" s="23"/>
      <c r="E576" s="23"/>
      <c r="F576" s="23"/>
      <c r="G576" s="23"/>
      <c r="I576" s="23"/>
    </row>
    <row r="577" spans="3:9" ht="12.75" customHeight="1">
      <c r="C577" s="23"/>
      <c r="D577" s="23"/>
      <c r="E577" s="23"/>
      <c r="F577" s="23"/>
      <c r="G577" s="23"/>
      <c r="I577" s="23"/>
    </row>
    <row r="578" spans="3:9" ht="12.75" customHeight="1">
      <c r="C578" s="23"/>
      <c r="D578" s="23"/>
      <c r="E578" s="23"/>
      <c r="F578" s="23"/>
      <c r="G578" s="23"/>
      <c r="I578" s="23"/>
    </row>
    <row r="579" spans="3:9" ht="12.75" customHeight="1">
      <c r="C579" s="23"/>
      <c r="D579" s="23"/>
      <c r="E579" s="23"/>
      <c r="F579" s="23"/>
      <c r="G579" s="23"/>
      <c r="I579" s="23"/>
    </row>
    <row r="580" spans="3:9" ht="12.75" customHeight="1">
      <c r="C580" s="23"/>
      <c r="D580" s="23"/>
      <c r="E580" s="23"/>
      <c r="F580" s="23"/>
      <c r="G580" s="23"/>
      <c r="I580" s="23"/>
    </row>
    <row r="581" spans="3:9" ht="12.75" customHeight="1">
      <c r="C581" s="23"/>
      <c r="D581" s="23"/>
      <c r="E581" s="23"/>
      <c r="F581" s="23"/>
      <c r="G581" s="23"/>
      <c r="I581" s="23"/>
    </row>
    <row r="582" spans="3:9" ht="12.75" customHeight="1">
      <c r="C582" s="23"/>
      <c r="D582" s="23"/>
      <c r="E582" s="23"/>
      <c r="F582" s="23"/>
      <c r="G582" s="23"/>
      <c r="I582" s="23"/>
    </row>
    <row r="583" spans="3:9" ht="12.75" customHeight="1">
      <c r="C583" s="23"/>
      <c r="D583" s="23"/>
      <c r="E583" s="23"/>
      <c r="F583" s="23"/>
      <c r="G583" s="23"/>
      <c r="I583" s="23"/>
    </row>
    <row r="584" spans="3:9" ht="12.75" customHeight="1">
      <c r="C584" s="23"/>
      <c r="D584" s="23"/>
      <c r="E584" s="23"/>
      <c r="F584" s="23"/>
      <c r="G584" s="23"/>
      <c r="I584" s="23"/>
    </row>
    <row r="585" spans="3:9" ht="12.75" customHeight="1">
      <c r="C585" s="23"/>
      <c r="D585" s="23"/>
      <c r="E585" s="23"/>
      <c r="F585" s="23"/>
      <c r="G585" s="23"/>
      <c r="I585" s="23"/>
    </row>
    <row r="586" spans="3:9" ht="12.75" customHeight="1">
      <c r="C586" s="23"/>
      <c r="D586" s="23"/>
      <c r="E586" s="23"/>
      <c r="F586" s="23"/>
      <c r="G586" s="23"/>
      <c r="I586" s="23"/>
    </row>
    <row r="587" spans="3:9" ht="12.75" customHeight="1">
      <c r="C587" s="23"/>
      <c r="D587" s="23"/>
      <c r="E587" s="23"/>
      <c r="F587" s="23"/>
      <c r="G587" s="23"/>
      <c r="I587" s="23"/>
    </row>
    <row r="588" spans="3:9" ht="12.75" customHeight="1">
      <c r="C588" s="23"/>
      <c r="D588" s="23"/>
      <c r="E588" s="23"/>
      <c r="F588" s="23"/>
      <c r="G588" s="23"/>
      <c r="I588" s="23"/>
    </row>
    <row r="589" spans="3:9" ht="12.75" customHeight="1">
      <c r="C589" s="23"/>
      <c r="D589" s="23"/>
      <c r="E589" s="23"/>
      <c r="F589" s="23"/>
      <c r="G589" s="23"/>
      <c r="I589" s="23"/>
    </row>
    <row r="590" spans="3:9" ht="12.75" customHeight="1">
      <c r="C590" s="23"/>
      <c r="D590" s="23"/>
      <c r="E590" s="23"/>
      <c r="F590" s="23"/>
      <c r="G590" s="23"/>
      <c r="I590" s="23"/>
    </row>
    <row r="591" spans="3:9" ht="12.75" customHeight="1">
      <c r="C591" s="23"/>
      <c r="D591" s="23"/>
      <c r="E591" s="23"/>
      <c r="F591" s="23"/>
      <c r="G591" s="23"/>
      <c r="I591" s="23"/>
    </row>
    <row r="592" spans="3:9" ht="12.75" customHeight="1">
      <c r="C592" s="23"/>
      <c r="D592" s="23"/>
      <c r="E592" s="23"/>
      <c r="F592" s="23"/>
      <c r="G592" s="23"/>
      <c r="I592" s="23"/>
    </row>
    <row r="593" spans="3:9" ht="12.75" customHeight="1">
      <c r="C593" s="23"/>
      <c r="D593" s="23"/>
      <c r="E593" s="23"/>
      <c r="F593" s="23"/>
      <c r="G593" s="23"/>
      <c r="I593" s="23"/>
    </row>
    <row r="594" spans="3:9" ht="12.75" customHeight="1">
      <c r="C594" s="23"/>
      <c r="D594" s="23"/>
      <c r="E594" s="23"/>
      <c r="F594" s="23"/>
      <c r="G594" s="23"/>
      <c r="I594" s="23"/>
    </row>
    <row r="595" spans="3:9" ht="12.75" customHeight="1">
      <c r="C595" s="23"/>
      <c r="D595" s="23"/>
      <c r="E595" s="23"/>
      <c r="F595" s="23"/>
      <c r="G595" s="23"/>
      <c r="I595" s="23"/>
    </row>
    <row r="596" spans="3:9" ht="12.75" customHeight="1">
      <c r="C596" s="23"/>
      <c r="D596" s="23"/>
      <c r="E596" s="23"/>
      <c r="F596" s="23"/>
      <c r="G596" s="23"/>
      <c r="I596" s="23"/>
    </row>
    <row r="597" spans="3:9" ht="12.75" customHeight="1">
      <c r="C597" s="23"/>
      <c r="D597" s="23"/>
      <c r="E597" s="23"/>
      <c r="F597" s="23"/>
      <c r="G597" s="23"/>
      <c r="I597" s="23"/>
    </row>
    <row r="598" spans="3:9" ht="12.75" customHeight="1">
      <c r="C598" s="23"/>
      <c r="D598" s="23"/>
      <c r="E598" s="23"/>
      <c r="F598" s="23"/>
      <c r="G598" s="23"/>
      <c r="I598" s="23"/>
    </row>
    <row r="599" spans="3:9" ht="12.75" customHeight="1">
      <c r="C599" s="23"/>
      <c r="D599" s="23"/>
      <c r="E599" s="23"/>
      <c r="F599" s="23"/>
      <c r="G599" s="23"/>
      <c r="I599" s="23"/>
    </row>
    <row r="600" spans="3:9" ht="12.75" customHeight="1">
      <c r="C600" s="23"/>
      <c r="D600" s="23"/>
      <c r="E600" s="23"/>
      <c r="F600" s="23"/>
      <c r="G600" s="23"/>
      <c r="I600" s="23"/>
    </row>
    <row r="601" spans="3:9" ht="12.75" customHeight="1">
      <c r="C601" s="23"/>
      <c r="D601" s="23"/>
      <c r="E601" s="23"/>
      <c r="F601" s="23"/>
      <c r="G601" s="23"/>
      <c r="I601" s="23"/>
    </row>
    <row r="602" spans="3:9" ht="12.75" customHeight="1">
      <c r="C602" s="23"/>
      <c r="D602" s="23"/>
      <c r="E602" s="23"/>
      <c r="F602" s="23"/>
      <c r="G602" s="23"/>
      <c r="I602" s="23"/>
    </row>
    <row r="603" spans="3:9" ht="12.75" customHeight="1">
      <c r="C603" s="23"/>
      <c r="D603" s="23"/>
      <c r="E603" s="23"/>
      <c r="F603" s="23"/>
      <c r="G603" s="23"/>
      <c r="I603" s="23"/>
    </row>
    <row r="604" spans="3:9" ht="12.75" customHeight="1">
      <c r="C604" s="23"/>
      <c r="D604" s="23"/>
      <c r="E604" s="23"/>
      <c r="F604" s="23"/>
      <c r="G604" s="23"/>
      <c r="I604" s="23"/>
    </row>
    <row r="605" spans="3:9" ht="12.75" customHeight="1">
      <c r="C605" s="23"/>
      <c r="D605" s="23"/>
      <c r="E605" s="23"/>
      <c r="F605" s="23"/>
      <c r="G605" s="23"/>
      <c r="I605" s="23"/>
    </row>
    <row r="606" spans="3:9" ht="12.75" customHeight="1">
      <c r="C606" s="23"/>
      <c r="D606" s="23"/>
      <c r="E606" s="23"/>
      <c r="F606" s="23"/>
      <c r="G606" s="23"/>
      <c r="I606" s="23"/>
    </row>
    <row r="607" spans="3:9" ht="12.75" customHeight="1">
      <c r="C607" s="23"/>
      <c r="D607" s="23"/>
      <c r="E607" s="23"/>
      <c r="F607" s="23"/>
      <c r="G607" s="23"/>
      <c r="I607" s="23"/>
    </row>
    <row r="608" spans="3:9" ht="12.75" customHeight="1">
      <c r="C608" s="23"/>
      <c r="D608" s="23"/>
      <c r="E608" s="23"/>
      <c r="F608" s="23"/>
      <c r="G608" s="23"/>
      <c r="I608" s="23"/>
    </row>
    <row r="609" spans="3:9" ht="12.75" customHeight="1">
      <c r="C609" s="23"/>
      <c r="D609" s="23"/>
      <c r="E609" s="23"/>
      <c r="F609" s="23"/>
      <c r="G609" s="23"/>
      <c r="I609" s="23"/>
    </row>
    <row r="610" spans="3:9" ht="12.75" customHeight="1">
      <c r="C610" s="23"/>
      <c r="D610" s="23"/>
      <c r="E610" s="23"/>
      <c r="F610" s="23"/>
      <c r="G610" s="23"/>
      <c r="I610" s="23"/>
    </row>
    <row r="611" spans="3:9" ht="12.75" customHeight="1">
      <c r="C611" s="23"/>
      <c r="D611" s="23"/>
      <c r="E611" s="23"/>
      <c r="F611" s="23"/>
      <c r="G611" s="23"/>
      <c r="I611" s="23"/>
    </row>
    <row r="612" spans="3:9" ht="12.75" customHeight="1">
      <c r="C612" s="23"/>
      <c r="D612" s="23"/>
      <c r="E612" s="23"/>
      <c r="F612" s="23"/>
      <c r="G612" s="23"/>
      <c r="I612" s="23"/>
    </row>
    <row r="613" spans="3:9" ht="12.75" customHeight="1">
      <c r="C613" s="23"/>
      <c r="D613" s="23"/>
      <c r="E613" s="23"/>
      <c r="F613" s="23"/>
      <c r="G613" s="23"/>
      <c r="I613" s="23"/>
    </row>
    <row r="614" spans="3:9" ht="12.75" customHeight="1">
      <c r="C614" s="23"/>
      <c r="D614" s="23"/>
      <c r="E614" s="23"/>
      <c r="F614" s="23"/>
      <c r="G614" s="23"/>
      <c r="I614" s="23"/>
    </row>
    <row r="615" spans="3:9" ht="12.75" customHeight="1">
      <c r="C615" s="23"/>
      <c r="D615" s="23"/>
      <c r="E615" s="23"/>
      <c r="F615" s="23"/>
      <c r="G615" s="23"/>
      <c r="I615" s="23"/>
    </row>
    <row r="616" spans="3:9" ht="12.75" customHeight="1">
      <c r="C616" s="23"/>
      <c r="D616" s="23"/>
      <c r="E616" s="23"/>
      <c r="F616" s="23"/>
      <c r="G616" s="23"/>
      <c r="I616" s="23"/>
    </row>
    <row r="617" spans="3:9" ht="12.75" customHeight="1">
      <c r="C617" s="23"/>
      <c r="D617" s="23"/>
      <c r="E617" s="23"/>
      <c r="F617" s="23"/>
      <c r="G617" s="23"/>
      <c r="I617" s="23"/>
    </row>
    <row r="618" spans="3:9" ht="12.75" customHeight="1">
      <c r="C618" s="23"/>
      <c r="D618" s="23"/>
      <c r="E618" s="23"/>
      <c r="F618" s="23"/>
      <c r="G618" s="23"/>
      <c r="I618" s="23"/>
    </row>
    <row r="619" spans="3:9" ht="12.75" customHeight="1">
      <c r="C619" s="23"/>
      <c r="D619" s="23"/>
      <c r="E619" s="23"/>
      <c r="F619" s="23"/>
      <c r="G619" s="23"/>
      <c r="I619" s="23"/>
    </row>
    <row r="620" spans="3:9" ht="12.75" customHeight="1">
      <c r="C620" s="23"/>
      <c r="D620" s="23"/>
      <c r="E620" s="23"/>
      <c r="F620" s="23"/>
      <c r="G620" s="23"/>
      <c r="I620" s="23"/>
    </row>
    <row r="621" spans="3:9" ht="12.75" customHeight="1">
      <c r="C621" s="23"/>
      <c r="D621" s="23"/>
      <c r="E621" s="23"/>
      <c r="F621" s="23"/>
      <c r="G621" s="23"/>
      <c r="I621" s="23"/>
    </row>
    <row r="622" spans="3:9" ht="12.75" customHeight="1">
      <c r="C622" s="23"/>
      <c r="D622" s="23"/>
      <c r="E622" s="23"/>
      <c r="F622" s="23"/>
      <c r="G622" s="23"/>
      <c r="I622" s="23"/>
    </row>
    <row r="623" spans="3:9" ht="12.75" customHeight="1">
      <c r="C623" s="23"/>
      <c r="D623" s="23"/>
      <c r="E623" s="23"/>
      <c r="F623" s="23"/>
      <c r="G623" s="23"/>
      <c r="I623" s="23"/>
    </row>
    <row r="624" spans="3:9" ht="12.75" customHeight="1">
      <c r="C624" s="23"/>
      <c r="D624" s="23"/>
      <c r="E624" s="23"/>
      <c r="F624" s="23"/>
      <c r="G624" s="23"/>
      <c r="I624" s="23"/>
    </row>
    <row r="625" spans="3:9" ht="12.75" customHeight="1">
      <c r="C625" s="23"/>
      <c r="D625" s="23"/>
      <c r="E625" s="23"/>
      <c r="F625" s="23"/>
      <c r="G625" s="23"/>
      <c r="I625" s="23"/>
    </row>
    <row r="626" spans="3:9" ht="12.75" customHeight="1">
      <c r="C626" s="23"/>
      <c r="D626" s="23"/>
      <c r="E626" s="23"/>
      <c r="F626" s="23"/>
      <c r="G626" s="23"/>
      <c r="I626" s="23"/>
    </row>
    <row r="627" spans="3:9" ht="12.75" customHeight="1">
      <c r="C627" s="23"/>
      <c r="D627" s="23"/>
      <c r="E627" s="23"/>
      <c r="F627" s="23"/>
      <c r="G627" s="23"/>
      <c r="I627" s="23"/>
    </row>
    <row r="628" spans="3:9" ht="12.75" customHeight="1">
      <c r="C628" s="23"/>
      <c r="D628" s="23"/>
      <c r="E628" s="23"/>
      <c r="F628" s="23"/>
      <c r="G628" s="23"/>
      <c r="I628" s="23"/>
    </row>
    <row r="629" spans="3:9" ht="12.75" customHeight="1">
      <c r="C629" s="23"/>
      <c r="D629" s="23"/>
      <c r="E629" s="23"/>
      <c r="F629" s="23"/>
      <c r="G629" s="23"/>
      <c r="I629" s="23"/>
    </row>
    <row r="630" spans="3:9" ht="12.75" customHeight="1">
      <c r="C630" s="23"/>
      <c r="D630" s="23"/>
      <c r="E630" s="23"/>
      <c r="F630" s="23"/>
      <c r="G630" s="23"/>
      <c r="I630" s="23"/>
    </row>
    <row r="631" spans="3:9" ht="12.75" customHeight="1">
      <c r="C631" s="23"/>
      <c r="D631" s="23"/>
      <c r="E631" s="23"/>
      <c r="F631" s="23"/>
      <c r="G631" s="23"/>
      <c r="I631" s="23"/>
    </row>
    <row r="632" spans="3:9" ht="12.75" customHeight="1">
      <c r="C632" s="23"/>
      <c r="D632" s="23"/>
      <c r="E632" s="23"/>
      <c r="F632" s="23"/>
      <c r="G632" s="23"/>
      <c r="I632" s="23"/>
    </row>
    <row r="633" spans="3:9" ht="12.75" customHeight="1">
      <c r="C633" s="23"/>
      <c r="D633" s="23"/>
      <c r="E633" s="23"/>
      <c r="F633" s="23"/>
      <c r="G633" s="23"/>
      <c r="I633" s="23"/>
    </row>
    <row r="634" spans="3:9" ht="12.75" customHeight="1">
      <c r="C634" s="23"/>
      <c r="D634" s="23"/>
      <c r="E634" s="23"/>
      <c r="F634" s="23"/>
      <c r="G634" s="23"/>
      <c r="I634" s="23"/>
    </row>
    <row r="635" spans="3:9" ht="12.75" customHeight="1">
      <c r="C635" s="23"/>
      <c r="D635" s="23"/>
      <c r="E635" s="23"/>
      <c r="F635" s="23"/>
      <c r="G635" s="23"/>
      <c r="I635" s="23"/>
    </row>
    <row r="636" spans="3:9" ht="12.75" customHeight="1">
      <c r="C636" s="23"/>
      <c r="D636" s="23"/>
      <c r="E636" s="23"/>
      <c r="F636" s="23"/>
      <c r="G636" s="23"/>
      <c r="I636" s="23"/>
    </row>
    <row r="637" spans="3:9" ht="12.75" customHeight="1">
      <c r="C637" s="23"/>
      <c r="D637" s="23"/>
      <c r="E637" s="23"/>
      <c r="F637" s="23"/>
      <c r="G637" s="23"/>
      <c r="I637" s="23"/>
    </row>
    <row r="638" spans="3:9" ht="12.75" customHeight="1">
      <c r="C638" s="23"/>
      <c r="D638" s="23"/>
      <c r="E638" s="23"/>
      <c r="F638" s="23"/>
      <c r="G638" s="23"/>
      <c r="I638" s="23"/>
    </row>
    <row r="639" spans="3:9" ht="12.75" customHeight="1">
      <c r="C639" s="23"/>
      <c r="D639" s="23"/>
      <c r="E639" s="23"/>
      <c r="F639" s="23"/>
      <c r="G639" s="23"/>
      <c r="I639" s="23"/>
    </row>
    <row r="640" spans="3:9" ht="12.75" customHeight="1">
      <c r="C640" s="23"/>
      <c r="D640" s="23"/>
      <c r="E640" s="23"/>
      <c r="F640" s="23"/>
      <c r="G640" s="23"/>
      <c r="I640" s="23"/>
    </row>
    <row r="641" spans="3:9" ht="12.75" customHeight="1">
      <c r="C641" s="23"/>
      <c r="D641" s="23"/>
      <c r="E641" s="23"/>
      <c r="F641" s="23"/>
      <c r="G641" s="23"/>
      <c r="I641" s="23"/>
    </row>
    <row r="642" spans="3:9" ht="12.75" customHeight="1">
      <c r="C642" s="23"/>
      <c r="D642" s="23"/>
      <c r="E642" s="23"/>
      <c r="F642" s="23"/>
      <c r="G642" s="23"/>
      <c r="I642" s="23"/>
    </row>
    <row r="643" spans="3:9" ht="12.75" customHeight="1">
      <c r="C643" s="23"/>
      <c r="D643" s="23"/>
      <c r="E643" s="23"/>
      <c r="F643" s="23"/>
      <c r="G643" s="23"/>
      <c r="I643" s="23"/>
    </row>
    <row r="644" spans="3:9" ht="12.75" customHeight="1">
      <c r="C644" s="23"/>
      <c r="D644" s="23"/>
      <c r="E644" s="23"/>
      <c r="F644" s="23"/>
      <c r="G644" s="23"/>
      <c r="I644" s="23"/>
    </row>
    <row r="645" spans="3:9" ht="12.75" customHeight="1">
      <c r="C645" s="23"/>
      <c r="D645" s="23"/>
      <c r="E645" s="23"/>
      <c r="F645" s="23"/>
      <c r="G645" s="23"/>
      <c r="I645" s="23"/>
    </row>
    <row r="646" spans="3:9" ht="12.75" customHeight="1">
      <c r="C646" s="23"/>
      <c r="D646" s="23"/>
      <c r="E646" s="23"/>
      <c r="F646" s="23"/>
      <c r="G646" s="23"/>
      <c r="I646" s="23"/>
    </row>
    <row r="647" spans="3:9" ht="12.75" customHeight="1">
      <c r="C647" s="23"/>
      <c r="D647" s="23"/>
      <c r="E647" s="23"/>
      <c r="F647" s="23"/>
      <c r="G647" s="23"/>
      <c r="I647" s="23"/>
    </row>
    <row r="648" spans="3:9" ht="12.75" customHeight="1">
      <c r="C648" s="23"/>
      <c r="D648" s="23"/>
      <c r="E648" s="23"/>
      <c r="F648" s="23"/>
      <c r="G648" s="23"/>
      <c r="I648" s="23"/>
    </row>
    <row r="649" spans="3:9" ht="12.75" customHeight="1">
      <c r="C649" s="23"/>
      <c r="D649" s="23"/>
      <c r="E649" s="23"/>
      <c r="F649" s="23"/>
      <c r="G649" s="23"/>
      <c r="I649" s="23"/>
    </row>
    <row r="650" spans="3:9" ht="12.75" customHeight="1">
      <c r="C650" s="23"/>
      <c r="D650" s="23"/>
      <c r="E650" s="23"/>
      <c r="F650" s="23"/>
      <c r="G650" s="23"/>
      <c r="I650" s="23"/>
    </row>
    <row r="651" spans="3:9" ht="12.75" customHeight="1">
      <c r="C651" s="23"/>
      <c r="D651" s="23"/>
      <c r="E651" s="23"/>
      <c r="F651" s="23"/>
      <c r="G651" s="23"/>
      <c r="I651" s="23"/>
    </row>
    <row r="652" spans="3:9" ht="12.75" customHeight="1">
      <c r="C652" s="23"/>
      <c r="D652" s="23"/>
      <c r="E652" s="23"/>
      <c r="F652" s="23"/>
      <c r="G652" s="23"/>
      <c r="I652" s="23"/>
    </row>
    <row r="653" spans="3:9" ht="12.75" customHeight="1">
      <c r="C653" s="23"/>
      <c r="D653" s="23"/>
      <c r="E653" s="23"/>
      <c r="F653" s="23"/>
      <c r="G653" s="23"/>
      <c r="I653" s="23"/>
    </row>
    <row r="654" spans="3:9" ht="12.75" customHeight="1">
      <c r="C654" s="23"/>
      <c r="D654" s="23"/>
      <c r="E654" s="23"/>
      <c r="F654" s="23"/>
      <c r="G654" s="23"/>
      <c r="I654" s="23"/>
    </row>
    <row r="655" spans="3:9" ht="12.75" customHeight="1">
      <c r="C655" s="23"/>
      <c r="D655" s="23"/>
      <c r="E655" s="23"/>
      <c r="F655" s="23"/>
      <c r="G655" s="23"/>
      <c r="I655" s="23"/>
    </row>
    <row r="656" spans="3:9" ht="12.75" customHeight="1">
      <c r="C656" s="23"/>
      <c r="D656" s="23"/>
      <c r="E656" s="23"/>
      <c r="F656" s="23"/>
      <c r="G656" s="23"/>
      <c r="I656" s="23"/>
    </row>
    <row r="657" spans="3:9" ht="12.75" customHeight="1">
      <c r="C657" s="23"/>
      <c r="D657" s="23"/>
      <c r="E657" s="23"/>
      <c r="F657" s="23"/>
      <c r="G657" s="23"/>
      <c r="I657" s="23"/>
    </row>
    <row r="658" spans="3:9" ht="12.75" customHeight="1">
      <c r="C658" s="23"/>
      <c r="D658" s="23"/>
      <c r="E658" s="23"/>
      <c r="F658" s="23"/>
      <c r="G658" s="23"/>
      <c r="I658" s="23"/>
    </row>
    <row r="659" spans="3:9" ht="12.75" customHeight="1">
      <c r="C659" s="23"/>
      <c r="D659" s="23"/>
      <c r="E659" s="23"/>
      <c r="F659" s="23"/>
      <c r="G659" s="23"/>
      <c r="I659" s="23"/>
    </row>
    <row r="660" spans="3:9" ht="12.75" customHeight="1">
      <c r="C660" s="23"/>
      <c r="D660" s="23"/>
      <c r="E660" s="23"/>
      <c r="F660" s="23"/>
      <c r="G660" s="23"/>
      <c r="I660" s="23"/>
    </row>
    <row r="661" spans="3:9" ht="12.75" customHeight="1">
      <c r="C661" s="23"/>
      <c r="D661" s="23"/>
      <c r="E661" s="23"/>
      <c r="F661" s="23"/>
      <c r="G661" s="23"/>
      <c r="I661" s="23"/>
    </row>
    <row r="662" spans="3:9" ht="12.75" customHeight="1">
      <c r="C662" s="23"/>
      <c r="D662" s="23"/>
      <c r="E662" s="23"/>
      <c r="F662" s="23"/>
      <c r="G662" s="23"/>
      <c r="I662" s="23"/>
    </row>
    <row r="663" spans="3:9" ht="12.75" customHeight="1">
      <c r="C663" s="23"/>
      <c r="D663" s="23"/>
      <c r="E663" s="23"/>
      <c r="F663" s="23"/>
      <c r="G663" s="23"/>
      <c r="I663" s="23"/>
    </row>
    <row r="664" spans="3:9" ht="12.75" customHeight="1">
      <c r="C664" s="23"/>
      <c r="D664" s="23"/>
      <c r="E664" s="23"/>
      <c r="F664" s="23"/>
      <c r="G664" s="23"/>
      <c r="I664" s="23"/>
    </row>
    <row r="665" spans="3:9" ht="12.75" customHeight="1">
      <c r="C665" s="23"/>
      <c r="D665" s="23"/>
      <c r="E665" s="23"/>
      <c r="F665" s="23"/>
      <c r="G665" s="23"/>
      <c r="I665" s="23"/>
    </row>
    <row r="666" spans="3:9" ht="12.75" customHeight="1">
      <c r="C666" s="23"/>
      <c r="D666" s="23"/>
      <c r="E666" s="23"/>
      <c r="F666" s="23"/>
      <c r="G666" s="23"/>
      <c r="I666" s="23"/>
    </row>
    <row r="667" spans="3:9" ht="12.75" customHeight="1">
      <c r="C667" s="23"/>
      <c r="D667" s="23"/>
      <c r="E667" s="23"/>
      <c r="F667" s="23"/>
      <c r="G667" s="23"/>
      <c r="I667" s="23"/>
    </row>
  </sheetData>
  <mergeCells count="2">
    <mergeCell ref="A8:I8"/>
    <mergeCell ref="G5:I5"/>
  </mergeCells>
  <phoneticPr fontId="0" type="noConversion"/>
  <conditionalFormatting sqref="G33">
    <cfRule type="cellIs" dxfId="1" priority="3" stopIfTrue="1" operator="equal">
      <formula>19279082</formula>
    </cfRule>
  </conditionalFormatting>
  <printOptions horizontalCentered="1"/>
  <pageMargins left="0.25" right="0.25" top="0.25" bottom="0.5" header="0.35" footer="0.25"/>
  <pageSetup scale="96" orientation="portrait" r:id="rId1"/>
  <headerFooter alignWithMargins="0">
    <oddFooter>&amp;L&amp;"Calibri,Regular"Prepared by the SBCTC&amp;R&amp;"Calibri,Regular"&amp;D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K667"/>
  <sheetViews>
    <sheetView zoomScaleNormal="100" workbookViewId="0">
      <selection activeCell="A2" sqref="A2"/>
    </sheetView>
  </sheetViews>
  <sheetFormatPr defaultColWidth="9.140625" defaultRowHeight="12.75"/>
  <cols>
    <col min="1" max="1" width="36.42578125" style="23" customWidth="1"/>
    <col min="2" max="2" width="2.5703125" style="23" customWidth="1"/>
    <col min="3" max="3" width="13.140625" style="25" customWidth="1"/>
    <col min="4" max="4" width="2.5703125" style="25" customWidth="1"/>
    <col min="5" max="5" width="15.140625" style="25" customWidth="1"/>
    <col min="6" max="6" width="2.5703125" style="25" customWidth="1"/>
    <col min="7" max="7" width="13.42578125" style="25" customWidth="1"/>
    <col min="8" max="8" width="10.85546875" style="23" customWidth="1"/>
    <col min="9" max="9" width="10.85546875" style="38" customWidth="1"/>
    <col min="10" max="10" width="12.42578125" style="23" bestFit="1" customWidth="1"/>
    <col min="11" max="11" width="11" style="23" bestFit="1" customWidth="1"/>
    <col min="12" max="16384" width="9.140625" style="23"/>
  </cols>
  <sheetData>
    <row r="1" spans="1:11" s="92" customFormat="1" ht="15.75">
      <c r="A1" s="32" t="s">
        <v>147</v>
      </c>
      <c r="B1" s="32"/>
      <c r="C1" s="22"/>
      <c r="D1" s="22"/>
      <c r="E1" s="22"/>
      <c r="F1" s="22"/>
      <c r="G1" s="22"/>
      <c r="H1" s="32"/>
      <c r="I1" s="91"/>
    </row>
    <row r="2" spans="1:11" s="92" customFormat="1" ht="15.75">
      <c r="A2" s="32" t="s">
        <v>456</v>
      </c>
      <c r="B2" s="93"/>
      <c r="C2" s="32"/>
      <c r="D2" s="32"/>
      <c r="E2" s="32"/>
      <c r="F2" s="32"/>
      <c r="G2" s="32"/>
      <c r="H2" s="32"/>
      <c r="I2" s="91"/>
    </row>
    <row r="3" spans="1:11" s="92" customFormat="1" ht="15.75">
      <c r="B3" s="94"/>
      <c r="C3" s="95"/>
      <c r="D3" s="96"/>
      <c r="E3" s="96"/>
      <c r="F3" s="96"/>
      <c r="G3" s="96"/>
      <c r="H3" s="36" t="s">
        <v>47</v>
      </c>
      <c r="I3" s="31" t="str">
        <f>"# " &amp;'Alloc Sched Data'!B:B</f>
        <v># 1</v>
      </c>
    </row>
    <row r="4" spans="1:11" s="92" customFormat="1" ht="12.75" customHeight="1">
      <c r="C4" s="95"/>
      <c r="D4" s="95"/>
      <c r="E4" s="95"/>
      <c r="F4" s="95"/>
      <c r="G4" s="95"/>
      <c r="I4" s="97"/>
    </row>
    <row r="5" spans="1:11" s="92" customFormat="1" ht="15.75">
      <c r="C5" s="95"/>
      <c r="D5" s="37"/>
      <c r="E5" s="36" t="s">
        <v>46</v>
      </c>
      <c r="F5" s="199" t="s">
        <v>212</v>
      </c>
      <c r="G5" s="505" t="str">
        <f>VLOOKUP($F5,District,2,FALSE)</f>
        <v>SBCTC Program</v>
      </c>
      <c r="H5" s="505"/>
      <c r="I5" s="505"/>
    </row>
    <row r="6" spans="1:11" ht="12.75" customHeight="1" thickBot="1"/>
    <row r="7" spans="1:11" ht="8.25" customHeight="1" thickTop="1">
      <c r="A7" s="39"/>
      <c r="B7" s="40"/>
      <c r="C7" s="41"/>
      <c r="D7" s="41"/>
      <c r="E7" s="41"/>
      <c r="F7" s="41"/>
      <c r="G7" s="41"/>
      <c r="H7" s="40"/>
      <c r="I7" s="42"/>
    </row>
    <row r="8" spans="1:11" ht="12.75" customHeight="1">
      <c r="A8" s="502" t="s">
        <v>169</v>
      </c>
      <c r="B8" s="503"/>
      <c r="C8" s="503"/>
      <c r="D8" s="503"/>
      <c r="E8" s="503"/>
      <c r="F8" s="503"/>
      <c r="G8" s="503"/>
      <c r="H8" s="503"/>
      <c r="I8" s="504"/>
    </row>
    <row r="9" spans="1:11" s="44" customFormat="1" ht="12.75" customHeight="1">
      <c r="A9" s="76"/>
      <c r="B9" s="77"/>
      <c r="C9" s="43" t="s">
        <v>61</v>
      </c>
      <c r="D9" s="43"/>
      <c r="E9" s="43" t="s">
        <v>179</v>
      </c>
      <c r="F9" s="43"/>
      <c r="G9" s="43" t="s">
        <v>0</v>
      </c>
      <c r="I9" s="45"/>
    </row>
    <row r="10" spans="1:11" ht="12.75" customHeight="1">
      <c r="A10" s="46"/>
      <c r="B10" s="47"/>
      <c r="C10" s="48">
        <f>IF(ISNA(VLOOKUP($F$5,Student,8,FALSE)),0,VLOOKUP($F$5,Student,8,FALSE))</f>
        <v>464</v>
      </c>
      <c r="D10" s="48"/>
      <c r="E10" s="48">
        <f>IF(ISNA(VLOOKUP($F$5,Student,14,FALSE)),0,VLOOKUP($F$5,Student,14,FALSE))</f>
        <v>0</v>
      </c>
      <c r="F10" s="48"/>
      <c r="G10" s="48">
        <f>$E$10+$C$10+$A$10</f>
        <v>464</v>
      </c>
      <c r="I10" s="49"/>
    </row>
    <row r="11" spans="1:11" ht="8.25" customHeight="1" thickBot="1">
      <c r="A11" s="50"/>
      <c r="B11" s="51"/>
      <c r="C11" s="52"/>
      <c r="D11" s="52"/>
      <c r="E11" s="52"/>
      <c r="F11" s="52"/>
      <c r="G11" s="52"/>
      <c r="H11" s="51"/>
      <c r="I11" s="53"/>
    </row>
    <row r="12" spans="1:11" ht="12.75" customHeight="1" thickTop="1"/>
    <row r="13" spans="1:11" s="83" customFormat="1" ht="26.25" thickBot="1">
      <c r="A13" s="78" t="s">
        <v>13</v>
      </c>
      <c r="B13" s="78"/>
      <c r="C13" s="79" t="str">
        <f>IF(I3&gt;1,"Prior Allocation","")</f>
        <v>Prior Allocation</v>
      </c>
      <c r="D13" s="80"/>
      <c r="E13" s="79" t="s">
        <v>53</v>
      </c>
      <c r="F13" s="79"/>
      <c r="G13" s="79" t="s">
        <v>44</v>
      </c>
      <c r="H13" s="81" t="s">
        <v>45</v>
      </c>
      <c r="I13" s="82" t="s">
        <v>58</v>
      </c>
    </row>
    <row r="14" spans="1:11" s="83" customFormat="1" ht="12.75" customHeight="1">
      <c r="A14" s="84"/>
      <c r="B14" s="84"/>
      <c r="C14" s="85"/>
      <c r="D14" s="85"/>
      <c r="E14" s="86"/>
      <c r="F14" s="86"/>
      <c r="G14" s="86"/>
      <c r="H14" s="87"/>
      <c r="I14" s="88"/>
    </row>
    <row r="15" spans="1:11" ht="12.75" customHeight="1">
      <c r="A15" s="38" t="s">
        <v>214</v>
      </c>
      <c r="C15" s="16">
        <f>IF(ISNA(VLOOKUP($F$5 &amp;A15, AllocSched,12,FALSE)),"-",VLOOKUP($F$5 &amp;A15, AllocSched,12,FALSE))</f>
        <v>153770</v>
      </c>
      <c r="D15" s="112"/>
      <c r="E15" s="16">
        <f>IF(ISNA(VLOOKUP($F$5 &amp; A15, AllocSched,13,FALSE)),"-",VLOOKUP($F$5 &amp; A15, AllocSched,13,FALSE))</f>
        <v>0</v>
      </c>
      <c r="F15" s="16"/>
      <c r="G15" s="21">
        <f>IF(C15="-",E15,C15+E15)</f>
        <v>153770</v>
      </c>
      <c r="H15" s="55" t="str">
        <f t="shared" ref="H15:H24" si="0">IF(ISNA(VLOOKUP($F$5 &amp; A15, AllocSched,9,FALSE))," ",VLOOKUP($F$5 &amp; A15, AllocSched,9,FALSE))</f>
        <v>001-011</v>
      </c>
      <c r="I15" s="56">
        <f t="shared" ref="I15:I24" si="1">IF(ISNA(VLOOKUP($F$5 &amp; A15, AllocSched,14,FALSE))," ",VLOOKUP($F$5 &amp; A15, AllocSched,14,FALSE))</f>
        <v>101</v>
      </c>
      <c r="K15" s="270" t="s">
        <v>403</v>
      </c>
    </row>
    <row r="16" spans="1:11" ht="12.75" customHeight="1">
      <c r="A16" s="115" t="s">
        <v>213</v>
      </c>
      <c r="C16" s="16">
        <f>IF(ISNA(VLOOKUP($F$5 &amp;A16, AllocSched,12,FALSE)),"-",VLOOKUP($F$5 &amp;A16, AllocSched,12,FALSE))</f>
        <v>597310</v>
      </c>
      <c r="D16" s="112"/>
      <c r="E16" s="16">
        <f>IF(ISNA(VLOOKUP($F$5 &amp; A16, AllocSched,13,FALSE)),"-",VLOOKUP($F$5 &amp; A16, AllocSched,13,FALSE))</f>
        <v>0</v>
      </c>
      <c r="F16" s="16"/>
      <c r="G16" s="21">
        <f>IF(C16="-",E16,C16+E16)</f>
        <v>597310</v>
      </c>
      <c r="H16" s="55" t="str">
        <f t="shared" si="0"/>
        <v>001-011</v>
      </c>
      <c r="I16" s="56">
        <f t="shared" si="1"/>
        <v>101</v>
      </c>
      <c r="K16" s="270" t="s">
        <v>403</v>
      </c>
    </row>
    <row r="17" spans="1:11" s="272" customFormat="1" ht="12.75" customHeight="1">
      <c r="A17" s="115" t="s">
        <v>203</v>
      </c>
      <c r="B17" s="54"/>
      <c r="C17" s="16" t="str">
        <f>IF(ISNA(VLOOKUP($F$5 &amp;A17, AllocSched,12,FALSE)),"-",VLOOKUP($F$5 &amp;A17, AllocSched,12,FALSE))</f>
        <v>-</v>
      </c>
      <c r="D17" s="112"/>
      <c r="E17" s="21" t="str">
        <f>IF(ISNA(VLOOKUP($F$5 &amp; A17, AllocSched,13,FALSE)),"-",VLOOKUP($F$5 &amp; A17, AllocSched,13,FALSE))</f>
        <v>-</v>
      </c>
      <c r="F17" s="16"/>
      <c r="G17" s="21" t="str">
        <f>IF(C17="-",E17,C17+E17)</f>
        <v>-</v>
      </c>
      <c r="H17" s="55" t="str">
        <f>IF(ISNA(VLOOKUP($F$5 &amp; A17, AllocSched,9,FALSE))," ",VLOOKUP($F$5 &amp; A17, AllocSched,9,FALSE))</f>
        <v xml:space="preserve"> </v>
      </c>
      <c r="I17" s="56" t="str">
        <f>IF(ISNA(VLOOKUP($F$5 &amp; A17, AllocSched,14,FALSE))," ",VLOOKUP($F$5 &amp; A17, AllocSched,14,FALSE))</f>
        <v xml:space="preserve"> </v>
      </c>
    </row>
    <row r="18" spans="1:11" ht="12.75" customHeight="1">
      <c r="A18" s="115"/>
      <c r="B18" s="54"/>
      <c r="C18" s="16"/>
      <c r="D18" s="112"/>
      <c r="E18" s="21"/>
      <c r="F18" s="16"/>
      <c r="G18" s="21"/>
      <c r="H18" s="55" t="str">
        <f t="shared" si="0"/>
        <v xml:space="preserve"> </v>
      </c>
      <c r="I18" s="56" t="str">
        <f t="shared" si="1"/>
        <v xml:space="preserve"> </v>
      </c>
    </row>
    <row r="19" spans="1:11" s="83" customFormat="1">
      <c r="A19" s="114" t="s">
        <v>168</v>
      </c>
      <c r="B19" s="84"/>
      <c r="C19" s="16"/>
      <c r="D19" s="112"/>
      <c r="E19" s="21"/>
      <c r="F19" s="16"/>
      <c r="G19" s="21"/>
      <c r="H19" s="55" t="str">
        <f t="shared" si="0"/>
        <v xml:space="preserve"> </v>
      </c>
      <c r="I19" s="56" t="str">
        <f t="shared" si="1"/>
        <v xml:space="preserve"> </v>
      </c>
    </row>
    <row r="20" spans="1:11" ht="12.75" customHeight="1">
      <c r="A20" s="115" t="s">
        <v>160</v>
      </c>
      <c r="C20" s="16">
        <f t="shared" ref="C20:C26" si="2">IF(ISNA(VLOOKUP($F$5 &amp;A20, AllocSched,12,FALSE)),"-",VLOOKUP($F$5 &amp;A20, AllocSched,12,FALSE))</f>
        <v>1921761</v>
      </c>
      <c r="D20" s="112"/>
      <c r="E20" s="21">
        <f t="shared" ref="E20:E25" si="3">IF(ISNA(VLOOKUP($F$5 &amp; A20, AllocSched,13,FALSE)),"-",VLOOKUP($F$5 &amp; A20, AllocSched,13,FALSE))</f>
        <v>-1921761</v>
      </c>
      <c r="F20" s="16"/>
      <c r="G20" s="21">
        <f t="shared" ref="G20:G26" si="4">IF(C20="-",E20,C20+E20)</f>
        <v>0</v>
      </c>
      <c r="H20" s="55" t="str">
        <f>IF(ISNA(VLOOKUP($F$5 &amp; A20, AllocSched,9,FALSE))," ",VLOOKUP($F$5 &amp; A20, AllocSched,9,FALSE))</f>
        <v>001-011</v>
      </c>
      <c r="I20" s="56">
        <f>IF(ISNA(VLOOKUP($F$5 &amp; A20, AllocSched,14,FALSE))," ",VLOOKUP($F$5 &amp; A20, AllocSched,14,FALSE))</f>
        <v>101</v>
      </c>
    </row>
    <row r="21" spans="1:11" ht="12.75" customHeight="1">
      <c r="A21" s="38" t="s">
        <v>409</v>
      </c>
      <c r="C21" s="16">
        <f t="shared" si="2"/>
        <v>396777</v>
      </c>
      <c r="D21" s="112"/>
      <c r="E21" s="21">
        <f t="shared" si="3"/>
        <v>-396777</v>
      </c>
      <c r="F21" s="16"/>
      <c r="G21" s="21">
        <f t="shared" si="4"/>
        <v>0</v>
      </c>
      <c r="H21" s="55" t="str">
        <f>IF(ISNA(VLOOKUP($F$5 &amp; A21, AllocSched,9,FALSE))," ",VLOOKUP($F$5 &amp; A21, AllocSched,9,FALSE))</f>
        <v>001-011</v>
      </c>
      <c r="I21" s="56">
        <f>IF(ISNA(VLOOKUP($F$5 &amp; A21, AllocSched,14,FALSE))," ",VLOOKUP($F$5 &amp; A21, AllocSched,14,FALSE))</f>
        <v>101</v>
      </c>
    </row>
    <row r="22" spans="1:11" ht="12.75" customHeight="1">
      <c r="A22" s="115" t="s">
        <v>52</v>
      </c>
      <c r="C22" s="16">
        <f t="shared" si="2"/>
        <v>2670000</v>
      </c>
      <c r="D22" s="112"/>
      <c r="E22" s="21">
        <f t="shared" si="3"/>
        <v>0</v>
      </c>
      <c r="F22" s="16"/>
      <c r="G22" s="21">
        <f t="shared" si="4"/>
        <v>2670000</v>
      </c>
      <c r="H22" s="55" t="str">
        <f t="shared" si="0"/>
        <v>08A-430</v>
      </c>
      <c r="I22" s="56" t="str">
        <f t="shared" si="1"/>
        <v>430</v>
      </c>
    </row>
    <row r="23" spans="1:11" s="271" customFormat="1" ht="12.75" customHeight="1">
      <c r="A23" s="38" t="s">
        <v>397</v>
      </c>
      <c r="C23" s="16">
        <f t="shared" si="2"/>
        <v>58580</v>
      </c>
      <c r="D23" s="112"/>
      <c r="E23" s="21">
        <f t="shared" si="3"/>
        <v>0</v>
      </c>
      <c r="F23" s="16"/>
      <c r="G23" s="21">
        <f t="shared" si="4"/>
        <v>58580</v>
      </c>
      <c r="H23" s="55" t="str">
        <f>IF(ISNA(VLOOKUP($F$5 &amp; A23, AllocSched,9,FALSE))," ",VLOOKUP($F$5 &amp; A23, AllocSched,9,FALSE))</f>
        <v>001-BK1</v>
      </c>
      <c r="I23" s="56" t="str">
        <f>IF(ISNA(VLOOKUP($F$5 &amp; A23, AllocSched,14,FALSE))," ",VLOOKUP($F$5 &amp; A23, AllocSched,14,FALSE))</f>
        <v>BK1</v>
      </c>
    </row>
    <row r="24" spans="1:11" ht="12.75" customHeight="1">
      <c r="A24" s="115" t="s">
        <v>151</v>
      </c>
      <c r="C24" s="16">
        <f t="shared" si="2"/>
        <v>700000</v>
      </c>
      <c r="D24" s="112"/>
      <c r="E24" s="21">
        <f t="shared" si="3"/>
        <v>0</v>
      </c>
      <c r="F24" s="16"/>
      <c r="G24" s="21">
        <f t="shared" si="4"/>
        <v>700000</v>
      </c>
      <c r="H24" s="55" t="str">
        <f t="shared" si="0"/>
        <v>08A-3E0</v>
      </c>
      <c r="I24" s="56" t="str">
        <f t="shared" si="1"/>
        <v>3E0</v>
      </c>
    </row>
    <row r="25" spans="1:11" s="272" customFormat="1" ht="12.75" customHeight="1">
      <c r="A25" s="115" t="s">
        <v>343</v>
      </c>
      <c r="C25" s="16">
        <f t="shared" si="2"/>
        <v>1989000</v>
      </c>
      <c r="D25" s="112"/>
      <c r="E25" s="16">
        <f t="shared" si="3"/>
        <v>-1989000</v>
      </c>
      <c r="F25" s="16"/>
      <c r="G25" s="21">
        <f t="shared" si="4"/>
        <v>0</v>
      </c>
      <c r="H25" s="55" t="str">
        <f>IF(ISNA(VLOOKUP($F$5 &amp; A25, AllocSched,9,FALSE))," ",VLOOKUP($F$5 &amp; A25, AllocSched,9,FALSE))</f>
        <v>001-011</v>
      </c>
      <c r="I25" s="56">
        <f>IF(ISNA(VLOOKUP($F$5 &amp; A25, AllocSched,14,FALSE))," ",VLOOKUP($F$5 &amp; A25, AllocSched,14,FALSE))</f>
        <v>101</v>
      </c>
    </row>
    <row r="26" spans="1:11" ht="12.75" customHeight="1">
      <c r="A26" s="115" t="s">
        <v>333</v>
      </c>
      <c r="B26" s="54"/>
      <c r="C26" s="16">
        <f t="shared" si="2"/>
        <v>1009563</v>
      </c>
      <c r="D26" s="112"/>
      <c r="E26" s="16">
        <f t="shared" ref="E26" si="5">IF(ISNA(VLOOKUP($F$5 &amp; A26, AllocSched,13,FALSE)),"-",VLOOKUP($F$5 &amp; A26, AllocSched,13,FALSE))</f>
        <v>631317</v>
      </c>
      <c r="F26" s="16"/>
      <c r="G26" s="21">
        <f t="shared" si="4"/>
        <v>1640880</v>
      </c>
      <c r="H26" s="55" t="str">
        <f>IF(ISNA(VLOOKUP($F$5 &amp; A26, AllocSched,9,FALSE))," ",VLOOKUP($F$5 &amp; A26, AllocSched,9,FALSE))</f>
        <v>001-011</v>
      </c>
      <c r="I26" s="56">
        <f>IF(ISNA(VLOOKUP($F$5 &amp; A26, AllocSched,14,FALSE))," ",VLOOKUP($F$5 &amp; A26, AllocSched,14,FALSE))</f>
        <v>101</v>
      </c>
    </row>
    <row r="27" spans="1:11" ht="12.75" customHeight="1">
      <c r="A27" s="54"/>
      <c r="B27" s="54"/>
      <c r="C27" s="16"/>
      <c r="D27" s="112"/>
      <c r="E27" s="16"/>
      <c r="F27" s="16"/>
      <c r="G27" s="16"/>
      <c r="H27" s="55"/>
      <c r="I27" s="56"/>
    </row>
    <row r="28" spans="1:11" ht="13.5" thickBot="1">
      <c r="A28" s="89" t="s">
        <v>174</v>
      </c>
      <c r="B28" s="57" t="s">
        <v>51</v>
      </c>
      <c r="C28" s="111">
        <f>SUM(C15:C26)</f>
        <v>9496761</v>
      </c>
      <c r="D28" s="113" t="s">
        <v>51</v>
      </c>
      <c r="E28" s="111">
        <f>SUM(E15:E26)</f>
        <v>-3676221</v>
      </c>
      <c r="F28" s="113" t="s">
        <v>51</v>
      </c>
      <c r="G28" s="111">
        <f>SUM(G15:G26)</f>
        <v>5820540</v>
      </c>
      <c r="J28" s="25"/>
      <c r="K28" s="30"/>
    </row>
    <row r="29" spans="1:11" ht="12.75" customHeight="1" thickTop="1">
      <c r="A29" s="84"/>
      <c r="B29" s="84"/>
      <c r="C29" s="58">
        <v>0</v>
      </c>
      <c r="D29" s="58"/>
      <c r="E29" s="90"/>
      <c r="F29" s="90"/>
      <c r="G29" s="90"/>
    </row>
    <row r="30" spans="1:11" s="65" customFormat="1" ht="12.75" customHeight="1">
      <c r="C30" s="70"/>
      <c r="D30" s="70"/>
      <c r="E30" s="70"/>
      <c r="F30" s="70"/>
      <c r="G30" s="70"/>
      <c r="I30" s="73"/>
    </row>
    <row r="31" spans="1:11" s="65" customFormat="1" ht="12.75" customHeight="1">
      <c r="C31" s="70"/>
      <c r="D31" s="70"/>
      <c r="E31" s="70"/>
      <c r="F31" s="70"/>
      <c r="G31" s="70"/>
      <c r="I31" s="73"/>
    </row>
    <row r="32" spans="1:11" s="65" customFormat="1" ht="12.75" customHeight="1">
      <c r="C32" s="70"/>
      <c r="D32" s="70"/>
      <c r="E32" s="70"/>
      <c r="F32" s="70"/>
      <c r="G32" s="70"/>
      <c r="I32" s="73"/>
    </row>
    <row r="33" spans="3:9" s="65" customFormat="1" ht="12.75" customHeight="1">
      <c r="C33" s="70"/>
      <c r="D33" s="70"/>
      <c r="E33" s="70"/>
      <c r="F33" s="70"/>
      <c r="G33" s="70"/>
      <c r="I33" s="73"/>
    </row>
    <row r="34" spans="3:9" s="65" customFormat="1" ht="12.75" customHeight="1">
      <c r="C34" s="70"/>
      <c r="D34" s="70"/>
      <c r="E34" s="70"/>
      <c r="F34" s="70"/>
      <c r="G34" s="70"/>
      <c r="I34" s="73"/>
    </row>
    <row r="35" spans="3:9" s="65" customFormat="1" ht="12.75" customHeight="1">
      <c r="C35" s="70"/>
      <c r="D35" s="70"/>
      <c r="E35" s="70"/>
      <c r="F35" s="70"/>
      <c r="G35" s="70"/>
      <c r="I35" s="73"/>
    </row>
    <row r="36" spans="3:9" s="65" customFormat="1" ht="12.75" customHeight="1">
      <c r="C36" s="70"/>
      <c r="D36" s="70"/>
      <c r="E36" s="70"/>
      <c r="F36" s="70"/>
      <c r="G36" s="70"/>
      <c r="I36" s="73"/>
    </row>
    <row r="37" spans="3:9" s="65" customFormat="1" ht="12.75" customHeight="1">
      <c r="C37" s="70"/>
      <c r="D37" s="70"/>
      <c r="E37" s="70"/>
      <c r="F37" s="70"/>
      <c r="G37" s="70"/>
      <c r="I37" s="73"/>
    </row>
    <row r="38" spans="3:9" s="65" customFormat="1" ht="12.75" customHeight="1">
      <c r="C38" s="70"/>
      <c r="D38" s="70"/>
      <c r="E38" s="70"/>
      <c r="F38" s="70"/>
      <c r="G38" s="70"/>
      <c r="I38" s="73"/>
    </row>
    <row r="39" spans="3:9" s="65" customFormat="1" ht="12.75" customHeight="1">
      <c r="C39" s="70"/>
      <c r="D39" s="70"/>
      <c r="E39" s="70"/>
      <c r="F39" s="70"/>
      <c r="G39" s="70"/>
      <c r="I39" s="73"/>
    </row>
    <row r="40" spans="3:9" s="65" customFormat="1" ht="12.75" customHeight="1">
      <c r="C40" s="70"/>
      <c r="D40" s="70"/>
      <c r="E40" s="70"/>
      <c r="F40" s="70"/>
      <c r="G40" s="70"/>
      <c r="I40" s="73"/>
    </row>
    <row r="41" spans="3:9" s="65" customFormat="1" ht="12.75" customHeight="1">
      <c r="C41" s="70"/>
      <c r="D41" s="70"/>
      <c r="E41" s="70"/>
      <c r="F41" s="70"/>
      <c r="G41" s="70"/>
      <c r="I41" s="73"/>
    </row>
    <row r="42" spans="3:9" s="65" customFormat="1" ht="12.75" customHeight="1">
      <c r="C42" s="70"/>
      <c r="D42" s="70"/>
      <c r="E42" s="70"/>
      <c r="F42" s="70"/>
      <c r="G42" s="70"/>
      <c r="I42" s="73"/>
    </row>
    <row r="43" spans="3:9" s="65" customFormat="1" ht="12.75" customHeight="1">
      <c r="C43" s="70"/>
      <c r="D43" s="70"/>
      <c r="E43" s="70"/>
      <c r="F43" s="70"/>
      <c r="G43" s="70"/>
      <c r="I43" s="73"/>
    </row>
    <row r="44" spans="3:9" s="65" customFormat="1" ht="12.75" customHeight="1">
      <c r="C44" s="70"/>
      <c r="D44" s="70"/>
      <c r="E44" s="70"/>
      <c r="F44" s="70"/>
      <c r="G44" s="70"/>
      <c r="I44" s="73"/>
    </row>
    <row r="45" spans="3:9" s="65" customFormat="1" ht="12.75" customHeight="1">
      <c r="C45" s="70"/>
      <c r="D45" s="70"/>
      <c r="E45" s="70"/>
      <c r="F45" s="70"/>
      <c r="G45" s="70"/>
      <c r="I45" s="73"/>
    </row>
    <row r="46" spans="3:9" s="65" customFormat="1" ht="12.75" customHeight="1">
      <c r="C46" s="70"/>
      <c r="D46" s="70"/>
      <c r="E46" s="70"/>
      <c r="F46" s="70"/>
      <c r="G46" s="70"/>
      <c r="I46" s="73"/>
    </row>
    <row r="47" spans="3:9" s="65" customFormat="1" ht="12.75" customHeight="1">
      <c r="C47" s="70"/>
      <c r="D47" s="70"/>
      <c r="E47" s="70"/>
      <c r="F47" s="70"/>
      <c r="G47" s="70"/>
      <c r="I47" s="73"/>
    </row>
    <row r="48" spans="3:9" s="65" customFormat="1" ht="12.75" customHeight="1">
      <c r="C48" s="70"/>
      <c r="D48" s="70"/>
      <c r="E48" s="70"/>
      <c r="F48" s="70"/>
      <c r="G48" s="70"/>
      <c r="I48" s="73"/>
    </row>
    <row r="49" spans="3:9" s="65" customFormat="1" ht="12.75" customHeight="1">
      <c r="C49" s="70"/>
      <c r="D49" s="70"/>
      <c r="E49" s="70"/>
      <c r="F49" s="70"/>
      <c r="G49" s="70"/>
      <c r="I49" s="73"/>
    </row>
    <row r="50" spans="3:9" s="65" customFormat="1" ht="12.75" customHeight="1">
      <c r="C50" s="70"/>
      <c r="D50" s="70"/>
      <c r="E50" s="70"/>
      <c r="F50" s="70"/>
      <c r="G50" s="70"/>
      <c r="I50" s="73"/>
    </row>
    <row r="51" spans="3:9" s="65" customFormat="1" ht="12.75" customHeight="1">
      <c r="C51" s="70"/>
      <c r="D51" s="70"/>
      <c r="E51" s="70"/>
      <c r="F51" s="70"/>
      <c r="G51" s="70"/>
      <c r="I51" s="73"/>
    </row>
    <row r="52" spans="3:9" s="65" customFormat="1" ht="12.75" customHeight="1">
      <c r="C52" s="70"/>
      <c r="D52" s="70"/>
      <c r="E52" s="70"/>
      <c r="F52" s="70"/>
      <c r="G52" s="70"/>
      <c r="I52" s="73"/>
    </row>
    <row r="53" spans="3:9" s="65" customFormat="1" ht="12.75" customHeight="1">
      <c r="C53" s="70"/>
      <c r="D53" s="70"/>
      <c r="E53" s="70"/>
      <c r="F53" s="70"/>
      <c r="G53" s="70"/>
      <c r="I53" s="73"/>
    </row>
    <row r="54" spans="3:9" s="65" customFormat="1" ht="12.75" customHeight="1">
      <c r="C54" s="70"/>
      <c r="D54" s="70"/>
      <c r="E54" s="70"/>
      <c r="F54" s="70"/>
      <c r="G54" s="70"/>
      <c r="I54" s="73"/>
    </row>
    <row r="55" spans="3:9" s="65" customFormat="1" ht="12.75" customHeight="1">
      <c r="C55" s="70"/>
      <c r="D55" s="70"/>
      <c r="E55" s="70"/>
      <c r="F55" s="70"/>
      <c r="G55" s="70"/>
      <c r="I55" s="73"/>
    </row>
    <row r="56" spans="3:9" s="65" customFormat="1" ht="12.75" customHeight="1">
      <c r="C56" s="70"/>
      <c r="D56" s="70"/>
      <c r="E56" s="70"/>
      <c r="F56" s="70"/>
      <c r="G56" s="70"/>
      <c r="I56" s="73"/>
    </row>
    <row r="57" spans="3:9" s="65" customFormat="1" ht="12.75" customHeight="1">
      <c r="C57" s="70"/>
      <c r="D57" s="70"/>
      <c r="E57" s="70"/>
      <c r="F57" s="70"/>
      <c r="G57" s="70"/>
      <c r="I57" s="73"/>
    </row>
    <row r="58" spans="3:9" s="65" customFormat="1" ht="12.75" customHeight="1">
      <c r="C58" s="70"/>
      <c r="D58" s="70"/>
      <c r="E58" s="70"/>
      <c r="F58" s="70"/>
      <c r="G58" s="70"/>
      <c r="I58" s="73"/>
    </row>
    <row r="59" spans="3:9" s="65" customFormat="1" ht="12.75" customHeight="1">
      <c r="C59" s="70"/>
      <c r="D59" s="70"/>
      <c r="E59" s="70"/>
      <c r="F59" s="70"/>
      <c r="G59" s="70"/>
      <c r="I59" s="73"/>
    </row>
    <row r="60" spans="3:9" s="65" customFormat="1" ht="12.75" customHeight="1">
      <c r="C60" s="70"/>
      <c r="D60" s="70"/>
      <c r="E60" s="70"/>
      <c r="F60" s="70"/>
      <c r="G60" s="70"/>
      <c r="I60" s="73"/>
    </row>
    <row r="61" spans="3:9" s="65" customFormat="1" ht="12.75" customHeight="1">
      <c r="C61" s="70"/>
      <c r="D61" s="70"/>
      <c r="E61" s="70"/>
      <c r="F61" s="70"/>
      <c r="G61" s="70"/>
      <c r="I61" s="73"/>
    </row>
    <row r="62" spans="3:9" s="65" customFormat="1" ht="12.75" customHeight="1">
      <c r="C62" s="70"/>
      <c r="D62" s="70"/>
      <c r="E62" s="70"/>
      <c r="F62" s="70"/>
      <c r="G62" s="70"/>
      <c r="I62" s="73"/>
    </row>
    <row r="63" spans="3:9" s="65" customFormat="1" ht="12.75" customHeight="1">
      <c r="C63" s="70"/>
      <c r="D63" s="70"/>
      <c r="E63" s="70"/>
      <c r="F63" s="70"/>
      <c r="G63" s="70"/>
      <c r="I63" s="73"/>
    </row>
    <row r="64" spans="3:9" s="65" customFormat="1" ht="12.75" customHeight="1">
      <c r="C64" s="70"/>
      <c r="D64" s="70"/>
      <c r="E64" s="70"/>
      <c r="F64" s="70"/>
      <c r="G64" s="70"/>
      <c r="I64" s="73"/>
    </row>
    <row r="65" spans="3:9" s="65" customFormat="1" ht="12.75" customHeight="1">
      <c r="C65" s="70"/>
      <c r="D65" s="70"/>
      <c r="E65" s="70"/>
      <c r="F65" s="70"/>
      <c r="G65" s="70"/>
      <c r="I65" s="73"/>
    </row>
    <row r="66" spans="3:9" s="65" customFormat="1" ht="12.75" customHeight="1">
      <c r="C66" s="70"/>
      <c r="D66" s="70"/>
      <c r="E66" s="70"/>
      <c r="F66" s="70"/>
      <c r="G66" s="70"/>
      <c r="I66" s="73"/>
    </row>
    <row r="67" spans="3:9" s="65" customFormat="1" ht="12.75" customHeight="1">
      <c r="C67" s="70"/>
      <c r="D67" s="70"/>
      <c r="E67" s="70"/>
      <c r="F67" s="70"/>
      <c r="G67" s="70"/>
      <c r="I67" s="73"/>
    </row>
    <row r="68" spans="3:9" s="65" customFormat="1" ht="12.75" customHeight="1">
      <c r="C68" s="70"/>
      <c r="D68" s="70"/>
      <c r="E68" s="70"/>
      <c r="F68" s="70"/>
      <c r="G68" s="70"/>
      <c r="I68" s="73"/>
    </row>
    <row r="69" spans="3:9" s="65" customFormat="1" ht="12.75" customHeight="1">
      <c r="C69" s="70"/>
      <c r="D69" s="70"/>
      <c r="E69" s="70"/>
      <c r="F69" s="70"/>
      <c r="G69" s="70"/>
      <c r="I69" s="73"/>
    </row>
    <row r="70" spans="3:9" s="65" customFormat="1" ht="12.75" customHeight="1">
      <c r="C70" s="70"/>
      <c r="D70" s="70"/>
      <c r="E70" s="70"/>
      <c r="F70" s="70"/>
      <c r="G70" s="70"/>
      <c r="I70" s="73"/>
    </row>
    <row r="71" spans="3:9" s="65" customFormat="1" ht="12.75" customHeight="1">
      <c r="C71" s="70"/>
      <c r="D71" s="70"/>
      <c r="E71" s="70"/>
      <c r="F71" s="70"/>
      <c r="G71" s="70"/>
      <c r="I71" s="73"/>
    </row>
    <row r="72" spans="3:9" s="65" customFormat="1" ht="12.75" customHeight="1">
      <c r="C72" s="70"/>
      <c r="D72" s="70"/>
      <c r="E72" s="70"/>
      <c r="F72" s="70"/>
      <c r="G72" s="70"/>
      <c r="I72" s="73"/>
    </row>
    <row r="73" spans="3:9" s="65" customFormat="1" ht="12.75" customHeight="1">
      <c r="C73" s="70"/>
      <c r="D73" s="70"/>
      <c r="E73" s="70"/>
      <c r="F73" s="70"/>
      <c r="G73" s="70"/>
      <c r="I73" s="73"/>
    </row>
    <row r="74" spans="3:9" s="65" customFormat="1" ht="12.75" customHeight="1">
      <c r="C74" s="70"/>
      <c r="D74" s="70"/>
      <c r="E74" s="70"/>
      <c r="F74" s="70"/>
      <c r="G74" s="70"/>
      <c r="I74" s="73"/>
    </row>
    <row r="75" spans="3:9" s="65" customFormat="1" ht="12.75" customHeight="1">
      <c r="C75" s="70"/>
      <c r="D75" s="70"/>
      <c r="E75" s="70"/>
      <c r="F75" s="70"/>
      <c r="G75" s="70"/>
      <c r="I75" s="73"/>
    </row>
    <row r="76" spans="3:9" s="65" customFormat="1" ht="12.75" customHeight="1">
      <c r="C76" s="70"/>
      <c r="D76" s="70"/>
      <c r="E76" s="70"/>
      <c r="F76" s="70"/>
      <c r="G76" s="70"/>
      <c r="I76" s="73"/>
    </row>
    <row r="77" spans="3:9" s="65" customFormat="1" ht="12.75" customHeight="1">
      <c r="C77" s="70"/>
      <c r="D77" s="70"/>
      <c r="E77" s="70"/>
      <c r="F77" s="70"/>
      <c r="G77" s="70"/>
      <c r="I77" s="73"/>
    </row>
    <row r="78" spans="3:9" s="65" customFormat="1" ht="12.75" customHeight="1">
      <c r="C78" s="70"/>
      <c r="D78" s="70"/>
      <c r="E78" s="70"/>
      <c r="F78" s="70"/>
      <c r="G78" s="70"/>
      <c r="I78" s="73"/>
    </row>
    <row r="79" spans="3:9" s="65" customFormat="1" ht="12.75" customHeight="1">
      <c r="C79" s="70"/>
      <c r="D79" s="70"/>
      <c r="E79" s="70"/>
      <c r="F79" s="70"/>
      <c r="G79" s="70"/>
      <c r="I79" s="73"/>
    </row>
    <row r="80" spans="3:9" s="65" customFormat="1" ht="12.75" customHeight="1">
      <c r="C80" s="70"/>
      <c r="D80" s="70"/>
      <c r="E80" s="70"/>
      <c r="F80" s="70"/>
      <c r="G80" s="70"/>
      <c r="I80" s="73"/>
    </row>
    <row r="81" spans="3:9" s="65" customFormat="1" ht="12.75" customHeight="1">
      <c r="C81" s="70"/>
      <c r="D81" s="70"/>
      <c r="E81" s="70"/>
      <c r="F81" s="70"/>
      <c r="G81" s="70"/>
      <c r="I81" s="73"/>
    </row>
    <row r="82" spans="3:9" s="65" customFormat="1" ht="12.75" customHeight="1">
      <c r="C82" s="70"/>
      <c r="D82" s="70"/>
      <c r="E82" s="70"/>
      <c r="F82" s="70"/>
      <c r="G82" s="70"/>
      <c r="I82" s="73"/>
    </row>
    <row r="83" spans="3:9" s="65" customFormat="1" ht="12.75" customHeight="1">
      <c r="C83" s="70"/>
      <c r="D83" s="70"/>
      <c r="E83" s="70"/>
      <c r="F83" s="70"/>
      <c r="G83" s="70"/>
      <c r="I83" s="73"/>
    </row>
    <row r="84" spans="3:9" s="65" customFormat="1" ht="12.75" customHeight="1">
      <c r="C84" s="70"/>
      <c r="D84" s="70"/>
      <c r="E84" s="70"/>
      <c r="F84" s="70"/>
      <c r="G84" s="70"/>
      <c r="I84" s="73"/>
    </row>
    <row r="85" spans="3:9" s="65" customFormat="1" ht="12.75" customHeight="1">
      <c r="C85" s="70"/>
      <c r="D85" s="70"/>
      <c r="E85" s="70"/>
      <c r="F85" s="70"/>
      <c r="G85" s="70"/>
      <c r="I85" s="73"/>
    </row>
    <row r="86" spans="3:9" s="65" customFormat="1" ht="12.75" customHeight="1">
      <c r="C86" s="70"/>
      <c r="D86" s="70"/>
      <c r="E86" s="70"/>
      <c r="F86" s="70"/>
      <c r="G86" s="70"/>
      <c r="I86" s="73"/>
    </row>
    <row r="87" spans="3:9" s="65" customFormat="1" ht="12.75" customHeight="1">
      <c r="C87" s="70"/>
      <c r="D87" s="70"/>
      <c r="E87" s="70"/>
      <c r="F87" s="70"/>
      <c r="G87" s="70"/>
      <c r="I87" s="73"/>
    </row>
    <row r="88" spans="3:9" s="65" customFormat="1" ht="12.75" customHeight="1">
      <c r="C88" s="70"/>
      <c r="D88" s="70"/>
      <c r="E88" s="70"/>
      <c r="F88" s="70"/>
      <c r="G88" s="70"/>
      <c r="I88" s="73"/>
    </row>
    <row r="89" spans="3:9" s="65" customFormat="1" ht="12.75" customHeight="1">
      <c r="C89" s="70"/>
      <c r="D89" s="70"/>
      <c r="E89" s="70"/>
      <c r="F89" s="70"/>
      <c r="G89" s="70"/>
      <c r="I89" s="73"/>
    </row>
    <row r="90" spans="3:9" s="65" customFormat="1" ht="12.75" customHeight="1">
      <c r="C90" s="70"/>
      <c r="D90" s="70"/>
      <c r="E90" s="70"/>
      <c r="F90" s="70"/>
      <c r="G90" s="70"/>
      <c r="I90" s="73"/>
    </row>
    <row r="91" spans="3:9" s="65" customFormat="1" ht="12.75" customHeight="1">
      <c r="C91" s="70"/>
      <c r="D91" s="70"/>
      <c r="E91" s="70"/>
      <c r="F91" s="70"/>
      <c r="G91" s="70"/>
      <c r="I91" s="73"/>
    </row>
    <row r="92" spans="3:9" s="65" customFormat="1" ht="12.75" customHeight="1">
      <c r="C92" s="70"/>
      <c r="D92" s="70"/>
      <c r="E92" s="70"/>
      <c r="F92" s="70"/>
      <c r="G92" s="70"/>
      <c r="I92" s="73"/>
    </row>
    <row r="93" spans="3:9" s="65" customFormat="1" ht="12.75" customHeight="1">
      <c r="C93" s="70"/>
      <c r="D93" s="70"/>
      <c r="E93" s="70"/>
      <c r="F93" s="70"/>
      <c r="G93" s="70"/>
      <c r="I93" s="73"/>
    </row>
    <row r="94" spans="3:9" s="65" customFormat="1" ht="12.75" customHeight="1">
      <c r="C94" s="70"/>
      <c r="D94" s="70"/>
      <c r="E94" s="70"/>
      <c r="F94" s="70"/>
      <c r="G94" s="70"/>
      <c r="I94" s="73"/>
    </row>
    <row r="95" spans="3:9" s="65" customFormat="1" ht="12.75" customHeight="1">
      <c r="C95" s="70"/>
      <c r="D95" s="70"/>
      <c r="E95" s="70"/>
      <c r="F95" s="70"/>
      <c r="G95" s="70"/>
      <c r="I95" s="73"/>
    </row>
    <row r="96" spans="3:9" s="65" customFormat="1" ht="12.75" customHeight="1">
      <c r="C96" s="70"/>
      <c r="D96" s="70"/>
      <c r="E96" s="70"/>
      <c r="F96" s="70"/>
      <c r="G96" s="70"/>
      <c r="I96" s="73"/>
    </row>
    <row r="97" spans="3:9" s="65" customFormat="1" ht="12.75" customHeight="1">
      <c r="C97" s="70"/>
      <c r="D97" s="70"/>
      <c r="E97" s="70"/>
      <c r="F97" s="70"/>
      <c r="G97" s="70"/>
      <c r="I97" s="73"/>
    </row>
    <row r="98" spans="3:9" s="65" customFormat="1" ht="12.75" customHeight="1">
      <c r="C98" s="70"/>
      <c r="D98" s="70"/>
      <c r="E98" s="70"/>
      <c r="F98" s="70"/>
      <c r="G98" s="70"/>
      <c r="I98" s="73"/>
    </row>
    <row r="99" spans="3:9" s="65" customFormat="1" ht="12.75" customHeight="1">
      <c r="C99" s="70"/>
      <c r="D99" s="70"/>
      <c r="E99" s="70"/>
      <c r="F99" s="70"/>
      <c r="G99" s="70"/>
      <c r="I99" s="73"/>
    </row>
    <row r="100" spans="3:9" s="65" customFormat="1" ht="12.75" customHeight="1">
      <c r="C100" s="70"/>
      <c r="D100" s="70"/>
      <c r="E100" s="70"/>
      <c r="F100" s="70"/>
      <c r="G100" s="70"/>
      <c r="I100" s="73"/>
    </row>
    <row r="101" spans="3:9" ht="12.75" customHeight="1"/>
    <row r="102" spans="3:9" ht="12.75" customHeight="1"/>
    <row r="103" spans="3:9" ht="12.75" customHeight="1"/>
    <row r="104" spans="3:9" ht="12.75" customHeight="1"/>
    <row r="105" spans="3:9" ht="12.75" customHeight="1"/>
    <row r="106" spans="3:9" ht="12.75" customHeight="1"/>
    <row r="107" spans="3:9" ht="12.75" customHeight="1"/>
    <row r="108" spans="3:9" ht="12.75" customHeight="1"/>
    <row r="109" spans="3:9" ht="12.75" customHeight="1"/>
    <row r="110" spans="3:9" ht="12.75" customHeight="1"/>
    <row r="111" spans="3:9" ht="12.75" customHeight="1"/>
    <row r="112" spans="3:9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</sheetData>
  <mergeCells count="2">
    <mergeCell ref="A8:I8"/>
    <mergeCell ref="G5:I5"/>
  </mergeCells>
  <phoneticPr fontId="0" type="noConversion"/>
  <conditionalFormatting sqref="G28">
    <cfRule type="cellIs" dxfId="0" priority="3" stopIfTrue="1" operator="equal">
      <formula>19279082</formula>
    </cfRule>
  </conditionalFormatting>
  <printOptions horizontalCentered="1"/>
  <pageMargins left="0.25" right="0.25" top="0.25" bottom="0.5" header="0.35" footer="0.25"/>
  <pageSetup scale="79" orientation="portrait" r:id="rId1"/>
  <headerFooter alignWithMargins="0">
    <oddFooter>&amp;L&amp;"Calibri,Regular"Prepared by the SBCTC&amp;R&amp;"Calibri,Regular"&amp;D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363"/>
  <sheetViews>
    <sheetView topLeftCell="A260" workbookViewId="0">
      <selection activeCell="F45" sqref="F45"/>
    </sheetView>
  </sheetViews>
  <sheetFormatPr defaultRowHeight="12.75"/>
  <cols>
    <col min="1" max="1" width="32.42578125" customWidth="1"/>
    <col min="2" max="2" width="44.5703125" customWidth="1"/>
    <col min="3" max="3" width="17.140625" bestFit="1" customWidth="1"/>
    <col min="4" max="4" width="13.5703125" bestFit="1" customWidth="1"/>
    <col min="5" max="5" width="11" customWidth="1"/>
    <col min="6" max="6" width="32.42578125" customWidth="1"/>
    <col min="7" max="7" width="44.5703125" customWidth="1"/>
    <col min="8" max="8" width="17.140625" bestFit="1" customWidth="1"/>
    <col min="9" max="9" width="15.140625" bestFit="1" customWidth="1"/>
    <col min="10" max="10" width="14.140625" bestFit="1" customWidth="1"/>
  </cols>
  <sheetData>
    <row r="1" spans="1:9">
      <c r="A1" s="209"/>
      <c r="B1" s="210"/>
      <c r="C1" s="213" t="s">
        <v>314</v>
      </c>
      <c r="D1" s="211"/>
      <c r="F1" s="209"/>
      <c r="G1" s="210"/>
      <c r="H1" s="213" t="s">
        <v>314</v>
      </c>
      <c r="I1" s="211"/>
    </row>
    <row r="2" spans="1:9">
      <c r="A2" s="213" t="s">
        <v>72</v>
      </c>
      <c r="B2" s="213" t="s">
        <v>73</v>
      </c>
      <c r="C2" s="209" t="s">
        <v>313</v>
      </c>
      <c r="D2" s="217" t="s">
        <v>315</v>
      </c>
      <c r="F2" s="213" t="s">
        <v>72</v>
      </c>
      <c r="G2" s="213" t="s">
        <v>73</v>
      </c>
      <c r="H2" s="209" t="s">
        <v>313</v>
      </c>
      <c r="I2" s="217" t="s">
        <v>315</v>
      </c>
    </row>
    <row r="3" spans="1:9">
      <c r="A3" s="209" t="s">
        <v>86</v>
      </c>
      <c r="B3" s="209" t="s">
        <v>240</v>
      </c>
      <c r="C3" s="218">
        <v>250480</v>
      </c>
      <c r="D3" s="219">
        <v>250480</v>
      </c>
      <c r="E3" s="288">
        <f>D3-I3</f>
        <v>0</v>
      </c>
      <c r="F3" s="209" t="s">
        <v>403</v>
      </c>
      <c r="G3" s="209" t="s">
        <v>240</v>
      </c>
      <c r="H3" s="230">
        <v>0</v>
      </c>
      <c r="I3" s="231">
        <v>250480</v>
      </c>
    </row>
    <row r="4" spans="1:9">
      <c r="A4" s="212"/>
      <c r="B4" s="214" t="s">
        <v>497</v>
      </c>
      <c r="C4" s="220">
        <v>5563</v>
      </c>
      <c r="D4" s="221">
        <v>5563</v>
      </c>
      <c r="E4" s="288">
        <f t="shared" ref="E4:E67" si="0">D4-I4</f>
        <v>-244917</v>
      </c>
      <c r="F4" s="209" t="s">
        <v>763</v>
      </c>
      <c r="G4" s="210"/>
      <c r="H4" s="230">
        <v>0</v>
      </c>
      <c r="I4" s="231">
        <v>250480</v>
      </c>
    </row>
    <row r="5" spans="1:9">
      <c r="A5" s="212"/>
      <c r="B5" s="214" t="s">
        <v>498</v>
      </c>
      <c r="C5" s="220">
        <v>151570</v>
      </c>
      <c r="D5" s="221">
        <v>151570</v>
      </c>
      <c r="E5" s="288">
        <f t="shared" si="0"/>
        <v>146007</v>
      </c>
      <c r="F5" s="209" t="s">
        <v>86</v>
      </c>
      <c r="G5" s="209" t="s">
        <v>497</v>
      </c>
      <c r="H5" s="230">
        <v>0</v>
      </c>
      <c r="I5" s="231">
        <v>5563</v>
      </c>
    </row>
    <row r="6" spans="1:9">
      <c r="A6" s="212"/>
      <c r="B6" s="214" t="s">
        <v>412</v>
      </c>
      <c r="C6" s="220">
        <v>60000</v>
      </c>
      <c r="D6" s="221">
        <v>60000</v>
      </c>
      <c r="E6" s="288">
        <f t="shared" si="0"/>
        <v>-91570</v>
      </c>
      <c r="F6" s="212"/>
      <c r="G6" s="214" t="s">
        <v>498</v>
      </c>
      <c r="H6" s="232">
        <v>0</v>
      </c>
      <c r="I6" s="233">
        <v>151570</v>
      </c>
    </row>
    <row r="7" spans="1:9">
      <c r="A7" s="212"/>
      <c r="B7" s="214" t="s">
        <v>241</v>
      </c>
      <c r="C7" s="220">
        <v>98150</v>
      </c>
      <c r="D7" s="221">
        <v>98150</v>
      </c>
      <c r="E7" s="288">
        <f t="shared" si="0"/>
        <v>38150</v>
      </c>
      <c r="F7" s="212"/>
      <c r="G7" s="214" t="s">
        <v>412</v>
      </c>
      <c r="H7" s="232">
        <v>0</v>
      </c>
      <c r="I7" s="233">
        <v>60000</v>
      </c>
    </row>
    <row r="8" spans="1:9">
      <c r="A8" s="212"/>
      <c r="B8" s="214" t="s">
        <v>233</v>
      </c>
      <c r="C8" s="220">
        <v>16000</v>
      </c>
      <c r="D8" s="221">
        <v>16000</v>
      </c>
      <c r="E8" s="288">
        <f t="shared" si="0"/>
        <v>-82150</v>
      </c>
      <c r="F8" s="212"/>
      <c r="G8" s="214" t="s">
        <v>241</v>
      </c>
      <c r="H8" s="232">
        <v>0</v>
      </c>
      <c r="I8" s="233">
        <v>98150</v>
      </c>
    </row>
    <row r="9" spans="1:9">
      <c r="A9" s="212"/>
      <c r="B9" s="214" t="s">
        <v>231</v>
      </c>
      <c r="C9" s="220">
        <v>248893</v>
      </c>
      <c r="D9" s="221">
        <v>248893</v>
      </c>
      <c r="E9" s="288">
        <f t="shared" si="0"/>
        <v>232893</v>
      </c>
      <c r="F9" s="212"/>
      <c r="G9" s="214" t="s">
        <v>233</v>
      </c>
      <c r="H9" s="232">
        <v>0</v>
      </c>
      <c r="I9" s="233">
        <v>16000</v>
      </c>
    </row>
    <row r="10" spans="1:9">
      <c r="A10" s="212"/>
      <c r="B10" s="214" t="s">
        <v>232</v>
      </c>
      <c r="C10" s="220">
        <v>550778</v>
      </c>
      <c r="D10" s="221">
        <v>550778</v>
      </c>
      <c r="E10" s="288">
        <f t="shared" si="0"/>
        <v>301885</v>
      </c>
      <c r="F10" s="212"/>
      <c r="G10" s="214" t="s">
        <v>231</v>
      </c>
      <c r="H10" s="232">
        <v>0</v>
      </c>
      <c r="I10" s="233">
        <v>248893</v>
      </c>
    </row>
    <row r="11" spans="1:9">
      <c r="A11" s="209" t="s">
        <v>278</v>
      </c>
      <c r="B11" s="210"/>
      <c r="C11" s="218">
        <v>1381434</v>
      </c>
      <c r="D11" s="219">
        <v>1381434</v>
      </c>
      <c r="E11" s="288">
        <f t="shared" si="0"/>
        <v>830656</v>
      </c>
      <c r="F11" s="212"/>
      <c r="G11" s="214" t="s">
        <v>232</v>
      </c>
      <c r="H11" s="232">
        <v>0</v>
      </c>
      <c r="I11" s="233">
        <v>550778</v>
      </c>
    </row>
    <row r="12" spans="1:9">
      <c r="A12" s="209" t="s">
        <v>165</v>
      </c>
      <c r="B12" s="209" t="s">
        <v>240</v>
      </c>
      <c r="C12" s="218">
        <v>1676699</v>
      </c>
      <c r="D12" s="219">
        <v>1676699</v>
      </c>
      <c r="E12" s="288">
        <f t="shared" si="0"/>
        <v>545745</v>
      </c>
      <c r="F12" s="209" t="s">
        <v>278</v>
      </c>
      <c r="G12" s="210"/>
      <c r="H12" s="230">
        <v>0</v>
      </c>
      <c r="I12" s="231">
        <v>1130954</v>
      </c>
    </row>
    <row r="13" spans="1:9">
      <c r="A13" s="212"/>
      <c r="B13" s="214" t="s">
        <v>497</v>
      </c>
      <c r="C13" s="220">
        <v>5563</v>
      </c>
      <c r="D13" s="221">
        <v>5563</v>
      </c>
      <c r="E13" s="288">
        <f t="shared" si="0"/>
        <v>-1671136</v>
      </c>
      <c r="F13" s="209" t="s">
        <v>165</v>
      </c>
      <c r="G13" s="209" t="s">
        <v>240</v>
      </c>
      <c r="H13" s="230">
        <v>0</v>
      </c>
      <c r="I13" s="231">
        <v>1676699</v>
      </c>
    </row>
    <row r="14" spans="1:9">
      <c r="A14" s="212"/>
      <c r="B14" s="214" t="s">
        <v>498</v>
      </c>
      <c r="C14" s="220">
        <v>181995</v>
      </c>
      <c r="D14" s="221">
        <v>181995</v>
      </c>
      <c r="E14" s="288">
        <f t="shared" si="0"/>
        <v>176432</v>
      </c>
      <c r="F14" s="212"/>
      <c r="G14" s="214" t="s">
        <v>497</v>
      </c>
      <c r="H14" s="232">
        <v>0</v>
      </c>
      <c r="I14" s="233">
        <v>5563</v>
      </c>
    </row>
    <row r="15" spans="1:9">
      <c r="A15" s="212"/>
      <c r="B15" s="214" t="s">
        <v>505</v>
      </c>
      <c r="C15" s="220">
        <v>45819</v>
      </c>
      <c r="D15" s="221">
        <v>45819</v>
      </c>
      <c r="E15" s="288">
        <f t="shared" si="0"/>
        <v>-136176</v>
      </c>
      <c r="F15" s="212"/>
      <c r="G15" s="214" t="s">
        <v>498</v>
      </c>
      <c r="H15" s="232">
        <v>0</v>
      </c>
      <c r="I15" s="233">
        <v>181995</v>
      </c>
    </row>
    <row r="16" spans="1:9">
      <c r="A16" s="212"/>
      <c r="B16" s="214" t="s">
        <v>241</v>
      </c>
      <c r="C16" s="220">
        <v>45300</v>
      </c>
      <c r="D16" s="221">
        <v>45300</v>
      </c>
      <c r="E16" s="288">
        <f t="shared" si="0"/>
        <v>-519</v>
      </c>
      <c r="F16" s="212"/>
      <c r="G16" s="214" t="s">
        <v>505</v>
      </c>
      <c r="H16" s="232">
        <v>0</v>
      </c>
      <c r="I16" s="233">
        <v>45819</v>
      </c>
    </row>
    <row r="17" spans="1:9">
      <c r="A17" s="212"/>
      <c r="B17" s="214" t="s">
        <v>233</v>
      </c>
      <c r="C17" s="220">
        <v>16000</v>
      </c>
      <c r="D17" s="221">
        <v>16000</v>
      </c>
      <c r="E17" s="288">
        <f t="shared" si="0"/>
        <v>-29300</v>
      </c>
      <c r="F17" s="212"/>
      <c r="G17" s="214" t="s">
        <v>241</v>
      </c>
      <c r="H17" s="232">
        <v>0</v>
      </c>
      <c r="I17" s="233">
        <v>45300</v>
      </c>
    </row>
    <row r="18" spans="1:9">
      <c r="A18" s="212"/>
      <c r="B18" s="214" t="s">
        <v>231</v>
      </c>
      <c r="C18" s="220">
        <v>292741</v>
      </c>
      <c r="D18" s="221">
        <v>292741</v>
      </c>
      <c r="E18" s="288">
        <f t="shared" si="0"/>
        <v>276741</v>
      </c>
      <c r="F18" s="212"/>
      <c r="G18" s="214" t="s">
        <v>233</v>
      </c>
      <c r="H18" s="232">
        <v>0</v>
      </c>
      <c r="I18" s="233">
        <v>16000</v>
      </c>
    </row>
    <row r="19" spans="1:9">
      <c r="A19" s="212"/>
      <c r="B19" s="214" t="s">
        <v>506</v>
      </c>
      <c r="C19" s="220">
        <v>51235</v>
      </c>
      <c r="D19" s="221">
        <v>51235</v>
      </c>
      <c r="E19" s="288">
        <f t="shared" si="0"/>
        <v>-241506</v>
      </c>
      <c r="F19" s="212"/>
      <c r="G19" s="214" t="s">
        <v>231</v>
      </c>
      <c r="H19" s="232">
        <v>0</v>
      </c>
      <c r="I19" s="233">
        <v>292741</v>
      </c>
    </row>
    <row r="20" spans="1:9">
      <c r="A20" s="212"/>
      <c r="B20" s="214" t="s">
        <v>429</v>
      </c>
      <c r="C20" s="220">
        <v>29000</v>
      </c>
      <c r="D20" s="221">
        <v>29000</v>
      </c>
      <c r="E20" s="288">
        <f t="shared" si="0"/>
        <v>-22235</v>
      </c>
      <c r="F20" s="212"/>
      <c r="G20" s="214" t="s">
        <v>506</v>
      </c>
      <c r="H20" s="232">
        <v>0</v>
      </c>
      <c r="I20" s="233">
        <v>51235</v>
      </c>
    </row>
    <row r="21" spans="1:9">
      <c r="A21" s="212"/>
      <c r="B21" s="214" t="s">
        <v>232</v>
      </c>
      <c r="C21" s="220">
        <v>280505</v>
      </c>
      <c r="D21" s="221">
        <v>280505</v>
      </c>
      <c r="E21" s="288">
        <f t="shared" si="0"/>
        <v>251505</v>
      </c>
      <c r="F21" s="212"/>
      <c r="G21" s="214" t="s">
        <v>429</v>
      </c>
      <c r="H21" s="232">
        <v>0</v>
      </c>
      <c r="I21" s="233">
        <v>29000</v>
      </c>
    </row>
    <row r="22" spans="1:9">
      <c r="A22" s="209" t="s">
        <v>279</v>
      </c>
      <c r="B22" s="210"/>
      <c r="C22" s="218">
        <v>2624857</v>
      </c>
      <c r="D22" s="219">
        <v>2624857</v>
      </c>
      <c r="E22" s="288">
        <f t="shared" si="0"/>
        <v>2344352</v>
      </c>
      <c r="F22" s="212"/>
      <c r="G22" s="214" t="s">
        <v>232</v>
      </c>
      <c r="H22" s="232">
        <v>0</v>
      </c>
      <c r="I22" s="233">
        <v>280505</v>
      </c>
    </row>
    <row r="23" spans="1:9">
      <c r="A23" s="209" t="s">
        <v>87</v>
      </c>
      <c r="B23" s="209" t="s">
        <v>240</v>
      </c>
      <c r="C23" s="218">
        <v>524200</v>
      </c>
      <c r="D23" s="219">
        <v>524200</v>
      </c>
      <c r="E23" s="288">
        <f t="shared" si="0"/>
        <v>-2100657</v>
      </c>
      <c r="F23" s="209" t="s">
        <v>279</v>
      </c>
      <c r="G23" s="210"/>
      <c r="H23" s="230">
        <v>0</v>
      </c>
      <c r="I23" s="231">
        <v>2624857</v>
      </c>
    </row>
    <row r="24" spans="1:9">
      <c r="A24" s="212"/>
      <c r="B24" s="214" t="s">
        <v>497</v>
      </c>
      <c r="C24" s="220">
        <v>5563</v>
      </c>
      <c r="D24" s="221">
        <v>5563</v>
      </c>
      <c r="E24" s="288">
        <f t="shared" si="0"/>
        <v>-518637</v>
      </c>
      <c r="F24" s="209" t="s">
        <v>87</v>
      </c>
      <c r="G24" s="209" t="s">
        <v>240</v>
      </c>
      <c r="H24" s="230">
        <v>0</v>
      </c>
      <c r="I24" s="231">
        <v>524200</v>
      </c>
    </row>
    <row r="25" spans="1:9">
      <c r="A25" s="212"/>
      <c r="B25" s="214" t="s">
        <v>498</v>
      </c>
      <c r="C25" s="220">
        <v>95406</v>
      </c>
      <c r="D25" s="221">
        <v>95406</v>
      </c>
      <c r="E25" s="288">
        <f t="shared" si="0"/>
        <v>89843</v>
      </c>
      <c r="F25" s="212"/>
      <c r="G25" s="214" t="s">
        <v>497</v>
      </c>
      <c r="H25" s="232">
        <v>0</v>
      </c>
      <c r="I25" s="233">
        <v>5563</v>
      </c>
    </row>
    <row r="26" spans="1:9">
      <c r="A26" s="212"/>
      <c r="B26" s="214" t="s">
        <v>505</v>
      </c>
      <c r="C26" s="220">
        <v>18233</v>
      </c>
      <c r="D26" s="221">
        <v>18233</v>
      </c>
      <c r="E26" s="288">
        <f t="shared" si="0"/>
        <v>-77173</v>
      </c>
      <c r="F26" s="212"/>
      <c r="G26" s="214" t="s">
        <v>498</v>
      </c>
      <c r="H26" s="232">
        <v>0</v>
      </c>
      <c r="I26" s="233">
        <v>95406</v>
      </c>
    </row>
    <row r="27" spans="1:9">
      <c r="A27" s="212"/>
      <c r="B27" s="214" t="s">
        <v>242</v>
      </c>
      <c r="C27" s="220">
        <v>95435</v>
      </c>
      <c r="D27" s="221">
        <v>95435</v>
      </c>
      <c r="E27" s="288">
        <f t="shared" si="0"/>
        <v>77202</v>
      </c>
      <c r="F27" s="212"/>
      <c r="G27" s="214" t="s">
        <v>505</v>
      </c>
      <c r="H27" s="232">
        <v>0</v>
      </c>
      <c r="I27" s="233">
        <v>18233</v>
      </c>
    </row>
    <row r="28" spans="1:9">
      <c r="A28" s="212"/>
      <c r="B28" s="214" t="s">
        <v>233</v>
      </c>
      <c r="C28" s="220">
        <v>16000</v>
      </c>
      <c r="D28" s="221">
        <v>16000</v>
      </c>
      <c r="E28" s="288">
        <f t="shared" si="0"/>
        <v>-79435</v>
      </c>
      <c r="F28" s="212"/>
      <c r="G28" s="214" t="s">
        <v>242</v>
      </c>
      <c r="H28" s="232">
        <v>0</v>
      </c>
      <c r="I28" s="233">
        <v>95435</v>
      </c>
    </row>
    <row r="29" spans="1:9">
      <c r="A29" s="212"/>
      <c r="B29" s="214" t="s">
        <v>231</v>
      </c>
      <c r="C29" s="220">
        <v>386196</v>
      </c>
      <c r="D29" s="221">
        <v>386196</v>
      </c>
      <c r="E29" s="288">
        <f t="shared" si="0"/>
        <v>370196</v>
      </c>
      <c r="F29" s="212"/>
      <c r="G29" s="214" t="s">
        <v>233</v>
      </c>
      <c r="H29" s="232">
        <v>0</v>
      </c>
      <c r="I29" s="233">
        <v>16000</v>
      </c>
    </row>
    <row r="30" spans="1:9">
      <c r="A30" s="212"/>
      <c r="B30" s="214" t="s">
        <v>232</v>
      </c>
      <c r="C30" s="220">
        <v>165280</v>
      </c>
      <c r="D30" s="221">
        <v>165280</v>
      </c>
      <c r="E30" s="288">
        <f t="shared" si="0"/>
        <v>-220916</v>
      </c>
      <c r="F30" s="212"/>
      <c r="G30" s="214" t="s">
        <v>231</v>
      </c>
      <c r="H30" s="232">
        <v>0</v>
      </c>
      <c r="I30" s="233">
        <v>386196</v>
      </c>
    </row>
    <row r="31" spans="1:9">
      <c r="A31" s="209" t="s">
        <v>280</v>
      </c>
      <c r="B31" s="210"/>
      <c r="C31" s="218">
        <v>1306313</v>
      </c>
      <c r="D31" s="219">
        <v>1306313</v>
      </c>
      <c r="E31" s="288">
        <f t="shared" si="0"/>
        <v>1141033</v>
      </c>
      <c r="F31" s="212"/>
      <c r="G31" s="214" t="s">
        <v>232</v>
      </c>
      <c r="H31" s="232">
        <v>0</v>
      </c>
      <c r="I31" s="233">
        <v>165280</v>
      </c>
    </row>
    <row r="32" spans="1:9">
      <c r="A32" s="209" t="s">
        <v>77</v>
      </c>
      <c r="B32" s="209" t="s">
        <v>240</v>
      </c>
      <c r="C32" s="218">
        <v>372755</v>
      </c>
      <c r="D32" s="219">
        <v>372755</v>
      </c>
      <c r="E32" s="288">
        <f t="shared" si="0"/>
        <v>-933558</v>
      </c>
      <c r="F32" s="209" t="s">
        <v>280</v>
      </c>
      <c r="G32" s="210"/>
      <c r="H32" s="230">
        <v>0</v>
      </c>
      <c r="I32" s="231">
        <v>1306313</v>
      </c>
    </row>
    <row r="33" spans="1:9">
      <c r="A33" s="212"/>
      <c r="B33" s="214" t="s">
        <v>497</v>
      </c>
      <c r="C33" s="220">
        <v>5563</v>
      </c>
      <c r="D33" s="221">
        <v>5563</v>
      </c>
      <c r="E33" s="288">
        <f t="shared" si="0"/>
        <v>-367192</v>
      </c>
      <c r="F33" s="209" t="s">
        <v>77</v>
      </c>
      <c r="G33" s="209" t="s">
        <v>240</v>
      </c>
      <c r="H33" s="230">
        <v>0</v>
      </c>
      <c r="I33" s="231">
        <v>372755</v>
      </c>
    </row>
    <row r="34" spans="1:9">
      <c r="A34" s="212"/>
      <c r="B34" s="214" t="s">
        <v>498</v>
      </c>
      <c r="C34" s="220">
        <v>102978</v>
      </c>
      <c r="D34" s="221">
        <v>102978</v>
      </c>
      <c r="E34" s="288">
        <f t="shared" si="0"/>
        <v>97415</v>
      </c>
      <c r="F34" s="212"/>
      <c r="G34" s="214" t="s">
        <v>497</v>
      </c>
      <c r="H34" s="232">
        <v>0</v>
      </c>
      <c r="I34" s="233">
        <v>5563</v>
      </c>
    </row>
    <row r="35" spans="1:9">
      <c r="A35" s="212"/>
      <c r="B35" s="214" t="s">
        <v>505</v>
      </c>
      <c r="C35" s="220">
        <v>19395</v>
      </c>
      <c r="D35" s="221">
        <v>19395</v>
      </c>
      <c r="E35" s="288">
        <f t="shared" si="0"/>
        <v>-83583</v>
      </c>
      <c r="F35" s="212"/>
      <c r="G35" s="214" t="s">
        <v>498</v>
      </c>
      <c r="H35" s="232">
        <v>0</v>
      </c>
      <c r="I35" s="233">
        <v>102978</v>
      </c>
    </row>
    <row r="36" spans="1:9">
      <c r="A36" s="212"/>
      <c r="B36" s="214" t="s">
        <v>412</v>
      </c>
      <c r="C36" s="220">
        <v>60000</v>
      </c>
      <c r="D36" s="221">
        <v>60000</v>
      </c>
      <c r="E36" s="288">
        <f t="shared" si="0"/>
        <v>40605</v>
      </c>
      <c r="F36" s="212"/>
      <c r="G36" s="214" t="s">
        <v>505</v>
      </c>
      <c r="H36" s="232">
        <v>0</v>
      </c>
      <c r="I36" s="233">
        <v>19395</v>
      </c>
    </row>
    <row r="37" spans="1:9">
      <c r="A37" s="212"/>
      <c r="B37" s="214" t="s">
        <v>242</v>
      </c>
      <c r="C37" s="220">
        <v>154635</v>
      </c>
      <c r="D37" s="221">
        <v>154635</v>
      </c>
      <c r="E37" s="288">
        <f t="shared" si="0"/>
        <v>94635</v>
      </c>
      <c r="F37" s="212"/>
      <c r="G37" s="214" t="s">
        <v>412</v>
      </c>
      <c r="H37" s="232">
        <v>0</v>
      </c>
      <c r="I37" s="233">
        <v>60000</v>
      </c>
    </row>
    <row r="38" spans="1:9">
      <c r="A38" s="212"/>
      <c r="B38" s="214" t="s">
        <v>269</v>
      </c>
      <c r="C38" s="220">
        <v>140541</v>
      </c>
      <c r="D38" s="221">
        <v>140541</v>
      </c>
      <c r="E38" s="288">
        <f t="shared" si="0"/>
        <v>-14094</v>
      </c>
      <c r="F38" s="212"/>
      <c r="G38" s="214" t="s">
        <v>242</v>
      </c>
      <c r="H38" s="232">
        <v>0</v>
      </c>
      <c r="I38" s="233">
        <v>154635</v>
      </c>
    </row>
    <row r="39" spans="1:9">
      <c r="A39" s="212"/>
      <c r="B39" s="214" t="s">
        <v>231</v>
      </c>
      <c r="C39" s="220">
        <v>151106</v>
      </c>
      <c r="D39" s="221">
        <v>151106</v>
      </c>
      <c r="E39" s="288">
        <f t="shared" si="0"/>
        <v>10565</v>
      </c>
      <c r="F39" s="212"/>
      <c r="G39" s="214" t="s">
        <v>269</v>
      </c>
      <c r="H39" s="232">
        <v>0</v>
      </c>
      <c r="I39" s="233">
        <v>140541</v>
      </c>
    </row>
    <row r="40" spans="1:9">
      <c r="A40" s="212"/>
      <c r="B40" s="214" t="s">
        <v>429</v>
      </c>
      <c r="C40" s="220">
        <v>26200</v>
      </c>
      <c r="D40" s="221">
        <v>26200</v>
      </c>
      <c r="E40" s="288">
        <f t="shared" si="0"/>
        <v>-124906</v>
      </c>
      <c r="F40" s="212"/>
      <c r="G40" s="214" t="s">
        <v>231</v>
      </c>
      <c r="H40" s="232">
        <v>0</v>
      </c>
      <c r="I40" s="233">
        <v>151106</v>
      </c>
    </row>
    <row r="41" spans="1:9">
      <c r="A41" s="212"/>
      <c r="B41" s="214" t="s">
        <v>232</v>
      </c>
      <c r="C41" s="220">
        <v>179763</v>
      </c>
      <c r="D41" s="221">
        <v>179763</v>
      </c>
      <c r="E41" s="288">
        <f t="shared" si="0"/>
        <v>153563</v>
      </c>
      <c r="F41" s="212"/>
      <c r="G41" s="214" t="s">
        <v>429</v>
      </c>
      <c r="H41" s="232">
        <v>0</v>
      </c>
      <c r="I41" s="233">
        <v>26200</v>
      </c>
    </row>
    <row r="42" spans="1:9">
      <c r="A42" s="209" t="s">
        <v>281</v>
      </c>
      <c r="B42" s="210"/>
      <c r="C42" s="218">
        <v>1212936</v>
      </c>
      <c r="D42" s="219">
        <v>1212936</v>
      </c>
      <c r="E42" s="288">
        <f t="shared" si="0"/>
        <v>1033173</v>
      </c>
      <c r="F42" s="212"/>
      <c r="G42" s="214" t="s">
        <v>232</v>
      </c>
      <c r="H42" s="232">
        <v>0</v>
      </c>
      <c r="I42" s="233">
        <v>179763</v>
      </c>
    </row>
    <row r="43" spans="1:9">
      <c r="A43" s="209" t="s">
        <v>88</v>
      </c>
      <c r="B43" s="209" t="s">
        <v>240</v>
      </c>
      <c r="C43" s="218">
        <v>68515</v>
      </c>
      <c r="D43" s="219">
        <v>68515</v>
      </c>
      <c r="E43" s="288">
        <f t="shared" si="0"/>
        <v>-1144421</v>
      </c>
      <c r="F43" s="209" t="s">
        <v>281</v>
      </c>
      <c r="G43" s="210"/>
      <c r="H43" s="230">
        <v>0</v>
      </c>
      <c r="I43" s="231">
        <v>1212936</v>
      </c>
    </row>
    <row r="44" spans="1:9">
      <c r="A44" s="212"/>
      <c r="B44" s="214" t="s">
        <v>497</v>
      </c>
      <c r="C44" s="220">
        <v>6076</v>
      </c>
      <c r="D44" s="221">
        <v>6076</v>
      </c>
      <c r="E44" s="288">
        <f t="shared" si="0"/>
        <v>-62439</v>
      </c>
      <c r="F44" s="209" t="s">
        <v>398</v>
      </c>
      <c r="G44" s="209" t="s">
        <v>240</v>
      </c>
      <c r="H44" s="230">
        <v>0</v>
      </c>
      <c r="I44" s="231">
        <v>68515</v>
      </c>
    </row>
    <row r="45" spans="1:9">
      <c r="A45" s="212"/>
      <c r="B45" s="214" t="s">
        <v>498</v>
      </c>
      <c r="C45" s="220">
        <v>74463</v>
      </c>
      <c r="D45" s="221">
        <v>74463</v>
      </c>
      <c r="E45" s="288">
        <f t="shared" si="0"/>
        <v>68387</v>
      </c>
      <c r="F45" s="212"/>
      <c r="G45" s="214" t="s">
        <v>497</v>
      </c>
      <c r="H45" s="232">
        <v>0</v>
      </c>
      <c r="I45" s="233">
        <v>6076</v>
      </c>
    </row>
    <row r="46" spans="1:9">
      <c r="A46" s="212"/>
      <c r="B46" s="214" t="s">
        <v>505</v>
      </c>
      <c r="C46" s="220">
        <v>16591</v>
      </c>
      <c r="D46" s="221">
        <v>16591</v>
      </c>
      <c r="E46" s="288">
        <f t="shared" si="0"/>
        <v>-57872</v>
      </c>
      <c r="F46" s="212"/>
      <c r="G46" s="214" t="s">
        <v>498</v>
      </c>
      <c r="H46" s="232">
        <v>0</v>
      </c>
      <c r="I46" s="233">
        <v>74463</v>
      </c>
    </row>
    <row r="47" spans="1:9">
      <c r="A47" s="212"/>
      <c r="B47" s="214" t="s">
        <v>235</v>
      </c>
      <c r="C47" s="220">
        <v>42000</v>
      </c>
      <c r="D47" s="221">
        <v>42000</v>
      </c>
      <c r="E47" s="288">
        <f t="shared" si="0"/>
        <v>25409</v>
      </c>
      <c r="F47" s="212"/>
      <c r="G47" s="214" t="s">
        <v>505</v>
      </c>
      <c r="H47" s="232">
        <v>0</v>
      </c>
      <c r="I47" s="233">
        <v>16591</v>
      </c>
    </row>
    <row r="48" spans="1:9">
      <c r="A48" s="212"/>
      <c r="B48" s="214" t="s">
        <v>233</v>
      </c>
      <c r="C48" s="220">
        <v>16000</v>
      </c>
      <c r="D48" s="221">
        <v>16000</v>
      </c>
      <c r="E48" s="288">
        <f t="shared" si="0"/>
        <v>-26000</v>
      </c>
      <c r="F48" s="212"/>
      <c r="G48" s="214" t="s">
        <v>235</v>
      </c>
      <c r="H48" s="232">
        <v>0</v>
      </c>
      <c r="I48" s="233">
        <v>42000</v>
      </c>
    </row>
    <row r="49" spans="1:9">
      <c r="A49" s="212"/>
      <c r="B49" s="214" t="s">
        <v>506</v>
      </c>
      <c r="C49" s="220">
        <v>51235</v>
      </c>
      <c r="D49" s="221">
        <v>51235</v>
      </c>
      <c r="E49" s="288">
        <f t="shared" si="0"/>
        <v>35235</v>
      </c>
      <c r="F49" s="212"/>
      <c r="G49" s="214" t="s">
        <v>233</v>
      </c>
      <c r="H49" s="232">
        <v>0</v>
      </c>
      <c r="I49" s="233">
        <v>16000</v>
      </c>
    </row>
    <row r="50" spans="1:9">
      <c r="A50" s="209" t="s">
        <v>282</v>
      </c>
      <c r="B50" s="210"/>
      <c r="C50" s="218">
        <v>274880</v>
      </c>
      <c r="D50" s="219">
        <v>274880</v>
      </c>
      <c r="E50" s="288">
        <f t="shared" si="0"/>
        <v>223645</v>
      </c>
      <c r="F50" s="212"/>
      <c r="G50" s="214" t="s">
        <v>506</v>
      </c>
      <c r="H50" s="232">
        <v>0</v>
      </c>
      <c r="I50" s="233">
        <v>51235</v>
      </c>
    </row>
    <row r="51" spans="1:9">
      <c r="A51" s="209" t="s">
        <v>89</v>
      </c>
      <c r="B51" s="209" t="s">
        <v>240</v>
      </c>
      <c r="C51" s="218">
        <v>375006</v>
      </c>
      <c r="D51" s="219">
        <v>375006</v>
      </c>
      <c r="E51" s="288">
        <f t="shared" si="0"/>
        <v>100126</v>
      </c>
      <c r="F51" s="209" t="s">
        <v>399</v>
      </c>
      <c r="G51" s="210"/>
      <c r="H51" s="230">
        <v>0</v>
      </c>
      <c r="I51" s="231">
        <v>274880</v>
      </c>
    </row>
    <row r="52" spans="1:9">
      <c r="A52" s="212"/>
      <c r="B52" s="214" t="s">
        <v>497</v>
      </c>
      <c r="C52" s="220">
        <v>6588</v>
      </c>
      <c r="D52" s="221">
        <v>6588</v>
      </c>
      <c r="E52" s="288">
        <f t="shared" si="0"/>
        <v>-368418</v>
      </c>
      <c r="F52" s="209" t="s">
        <v>89</v>
      </c>
      <c r="G52" s="209" t="s">
        <v>240</v>
      </c>
      <c r="H52" s="230">
        <v>0</v>
      </c>
      <c r="I52" s="231">
        <v>375006</v>
      </c>
    </row>
    <row r="53" spans="1:9">
      <c r="A53" s="212"/>
      <c r="B53" s="214" t="s">
        <v>498</v>
      </c>
      <c r="C53" s="220">
        <v>126492</v>
      </c>
      <c r="D53" s="221">
        <v>126492</v>
      </c>
      <c r="E53" s="288">
        <f t="shared" si="0"/>
        <v>119904</v>
      </c>
      <c r="F53" s="212"/>
      <c r="G53" s="214" t="s">
        <v>497</v>
      </c>
      <c r="H53" s="232">
        <v>0</v>
      </c>
      <c r="I53" s="233">
        <v>6588</v>
      </c>
    </row>
    <row r="54" spans="1:9">
      <c r="A54" s="212"/>
      <c r="B54" s="214" t="s">
        <v>505</v>
      </c>
      <c r="C54" s="220">
        <v>25744</v>
      </c>
      <c r="D54" s="221">
        <v>25744</v>
      </c>
      <c r="E54" s="288">
        <f t="shared" si="0"/>
        <v>-100748</v>
      </c>
      <c r="F54" s="212"/>
      <c r="G54" s="214" t="s">
        <v>498</v>
      </c>
      <c r="H54" s="232">
        <v>0</v>
      </c>
      <c r="I54" s="233">
        <v>126492</v>
      </c>
    </row>
    <row r="55" spans="1:9">
      <c r="A55" s="212"/>
      <c r="B55" s="214" t="s">
        <v>267</v>
      </c>
      <c r="C55" s="220">
        <v>1620874</v>
      </c>
      <c r="D55" s="221">
        <v>1620874</v>
      </c>
      <c r="E55" s="288">
        <f t="shared" si="0"/>
        <v>1595130</v>
      </c>
      <c r="F55" s="212"/>
      <c r="G55" s="214" t="s">
        <v>505</v>
      </c>
      <c r="H55" s="232">
        <v>0</v>
      </c>
      <c r="I55" s="233">
        <v>25744</v>
      </c>
    </row>
    <row r="56" spans="1:9">
      <c r="A56" s="212"/>
      <c r="B56" s="214" t="s">
        <v>241</v>
      </c>
      <c r="C56" s="220">
        <v>15100</v>
      </c>
      <c r="D56" s="221">
        <v>15100</v>
      </c>
      <c r="E56" s="288">
        <f t="shared" si="0"/>
        <v>-1605774</v>
      </c>
      <c r="F56" s="212"/>
      <c r="G56" s="214" t="s">
        <v>267</v>
      </c>
      <c r="H56" s="232">
        <v>0</v>
      </c>
      <c r="I56" s="233">
        <v>1620874</v>
      </c>
    </row>
    <row r="57" spans="1:9">
      <c r="A57" s="212"/>
      <c r="B57" s="214" t="s">
        <v>234</v>
      </c>
      <c r="C57" s="220">
        <v>15000</v>
      </c>
      <c r="D57" s="221">
        <v>15000</v>
      </c>
      <c r="E57" s="288">
        <f t="shared" si="0"/>
        <v>-100</v>
      </c>
      <c r="F57" s="212"/>
      <c r="G57" s="214" t="s">
        <v>241</v>
      </c>
      <c r="H57" s="232">
        <v>0</v>
      </c>
      <c r="I57" s="233">
        <v>15100</v>
      </c>
    </row>
    <row r="58" spans="1:9">
      <c r="A58" s="212"/>
      <c r="B58" s="214" t="s">
        <v>233</v>
      </c>
      <c r="C58" s="220">
        <v>16000</v>
      </c>
      <c r="D58" s="221">
        <v>16000</v>
      </c>
      <c r="E58" s="288">
        <f t="shared" si="0"/>
        <v>1000</v>
      </c>
      <c r="F58" s="212"/>
      <c r="G58" s="214" t="s">
        <v>234</v>
      </c>
      <c r="H58" s="232">
        <v>0</v>
      </c>
      <c r="I58" s="233">
        <v>15000</v>
      </c>
    </row>
    <row r="59" spans="1:9">
      <c r="A59" s="212"/>
      <c r="B59" s="214" t="s">
        <v>231</v>
      </c>
      <c r="C59" s="220">
        <v>204803</v>
      </c>
      <c r="D59" s="221">
        <v>204803</v>
      </c>
      <c r="E59" s="288">
        <f t="shared" si="0"/>
        <v>188803</v>
      </c>
      <c r="F59" s="212"/>
      <c r="G59" s="214" t="s">
        <v>233</v>
      </c>
      <c r="H59" s="232">
        <v>0</v>
      </c>
      <c r="I59" s="233">
        <v>16000</v>
      </c>
    </row>
    <row r="60" spans="1:9">
      <c r="A60" s="212"/>
      <c r="B60" s="214" t="s">
        <v>506</v>
      </c>
      <c r="C60" s="220">
        <v>51235</v>
      </c>
      <c r="D60" s="221">
        <v>51235</v>
      </c>
      <c r="E60" s="288">
        <f t="shared" si="0"/>
        <v>-153568</v>
      </c>
      <c r="F60" s="212"/>
      <c r="G60" s="214" t="s">
        <v>231</v>
      </c>
      <c r="H60" s="232">
        <v>0</v>
      </c>
      <c r="I60" s="233">
        <v>204803</v>
      </c>
    </row>
    <row r="61" spans="1:9">
      <c r="A61" s="212"/>
      <c r="B61" s="214" t="s">
        <v>232</v>
      </c>
      <c r="C61" s="220">
        <v>500299</v>
      </c>
      <c r="D61" s="221">
        <v>500299</v>
      </c>
      <c r="E61" s="288">
        <f t="shared" si="0"/>
        <v>449064</v>
      </c>
      <c r="F61" s="212"/>
      <c r="G61" s="214" t="s">
        <v>506</v>
      </c>
      <c r="H61" s="232">
        <v>0</v>
      </c>
      <c r="I61" s="233">
        <v>51235</v>
      </c>
    </row>
    <row r="62" spans="1:9">
      <c r="A62" s="209" t="s">
        <v>283</v>
      </c>
      <c r="B62" s="210"/>
      <c r="C62" s="218">
        <v>2957141</v>
      </c>
      <c r="D62" s="219">
        <v>2957141</v>
      </c>
      <c r="E62" s="288">
        <f t="shared" si="0"/>
        <v>2456842</v>
      </c>
      <c r="F62" s="212"/>
      <c r="G62" s="214" t="s">
        <v>232</v>
      </c>
      <c r="H62" s="232">
        <v>0</v>
      </c>
      <c r="I62" s="233">
        <v>500299</v>
      </c>
    </row>
    <row r="63" spans="1:9">
      <c r="A63" s="209" t="s">
        <v>90</v>
      </c>
      <c r="B63" s="209" t="s">
        <v>240</v>
      </c>
      <c r="C63" s="218">
        <v>318517</v>
      </c>
      <c r="D63" s="219">
        <v>318517</v>
      </c>
      <c r="E63" s="288">
        <f t="shared" si="0"/>
        <v>-2638624</v>
      </c>
      <c r="F63" s="209" t="s">
        <v>283</v>
      </c>
      <c r="G63" s="210"/>
      <c r="H63" s="230">
        <v>0</v>
      </c>
      <c r="I63" s="231">
        <v>2957141</v>
      </c>
    </row>
    <row r="64" spans="1:9">
      <c r="A64" s="212"/>
      <c r="B64" s="214" t="s">
        <v>497</v>
      </c>
      <c r="C64" s="220">
        <v>6588</v>
      </c>
      <c r="D64" s="221">
        <v>6588</v>
      </c>
      <c r="E64" s="288">
        <f t="shared" si="0"/>
        <v>-311929</v>
      </c>
      <c r="F64" s="209" t="s">
        <v>90</v>
      </c>
      <c r="G64" s="209" t="s">
        <v>240</v>
      </c>
      <c r="H64" s="230">
        <v>0</v>
      </c>
      <c r="I64" s="231">
        <v>318517</v>
      </c>
    </row>
    <row r="65" spans="1:9">
      <c r="A65" s="212"/>
      <c r="B65" s="214" t="s">
        <v>498</v>
      </c>
      <c r="C65" s="220">
        <v>248433</v>
      </c>
      <c r="D65" s="221">
        <v>248433</v>
      </c>
      <c r="E65" s="288">
        <f t="shared" si="0"/>
        <v>241845</v>
      </c>
      <c r="F65" s="212"/>
      <c r="G65" s="214" t="s">
        <v>497</v>
      </c>
      <c r="H65" s="232">
        <v>0</v>
      </c>
      <c r="I65" s="233">
        <v>6588</v>
      </c>
    </row>
    <row r="66" spans="1:9">
      <c r="A66" s="212"/>
      <c r="B66" s="214" t="s">
        <v>505</v>
      </c>
      <c r="C66" s="220">
        <v>52865</v>
      </c>
      <c r="D66" s="221">
        <v>52865</v>
      </c>
      <c r="E66" s="288">
        <f t="shared" si="0"/>
        <v>-195568</v>
      </c>
      <c r="F66" s="212"/>
      <c r="G66" s="214" t="s">
        <v>498</v>
      </c>
      <c r="H66" s="232">
        <v>0</v>
      </c>
      <c r="I66" s="233">
        <v>248433</v>
      </c>
    </row>
    <row r="67" spans="1:9">
      <c r="A67" s="212"/>
      <c r="B67" s="214" t="s">
        <v>267</v>
      </c>
      <c r="C67" s="220">
        <v>288117</v>
      </c>
      <c r="D67" s="221">
        <v>288117</v>
      </c>
      <c r="E67" s="288">
        <f t="shared" si="0"/>
        <v>235252</v>
      </c>
      <c r="F67" s="212"/>
      <c r="G67" s="214" t="s">
        <v>505</v>
      </c>
      <c r="H67" s="232">
        <v>0</v>
      </c>
      <c r="I67" s="233">
        <v>52865</v>
      </c>
    </row>
    <row r="68" spans="1:9">
      <c r="A68" s="212"/>
      <c r="B68" s="214" t="s">
        <v>241</v>
      </c>
      <c r="C68" s="220">
        <v>22650</v>
      </c>
      <c r="D68" s="221">
        <v>22650</v>
      </c>
      <c r="E68" s="288">
        <f t="shared" ref="E68:E131" si="1">D68-I68</f>
        <v>-265467</v>
      </c>
      <c r="F68" s="212"/>
      <c r="G68" s="214" t="s">
        <v>267</v>
      </c>
      <c r="H68" s="232">
        <v>0</v>
      </c>
      <c r="I68" s="233">
        <v>288117</v>
      </c>
    </row>
    <row r="69" spans="1:9">
      <c r="A69" s="212"/>
      <c r="B69" s="214" t="s">
        <v>274</v>
      </c>
      <c r="C69" s="220">
        <v>5000</v>
      </c>
      <c r="D69" s="221">
        <v>5000</v>
      </c>
      <c r="E69" s="288">
        <f t="shared" si="1"/>
        <v>-17650</v>
      </c>
      <c r="F69" s="212"/>
      <c r="G69" s="214" t="s">
        <v>241</v>
      </c>
      <c r="H69" s="232">
        <v>0</v>
      </c>
      <c r="I69" s="233">
        <v>22650</v>
      </c>
    </row>
    <row r="70" spans="1:9">
      <c r="A70" s="212"/>
      <c r="B70" s="214" t="s">
        <v>242</v>
      </c>
      <c r="C70" s="220">
        <v>95435</v>
      </c>
      <c r="D70" s="221">
        <v>95435</v>
      </c>
      <c r="E70" s="288">
        <f t="shared" si="1"/>
        <v>90435</v>
      </c>
      <c r="F70" s="212"/>
      <c r="G70" s="214" t="s">
        <v>274</v>
      </c>
      <c r="H70" s="232">
        <v>0</v>
      </c>
      <c r="I70" s="233">
        <v>5000</v>
      </c>
    </row>
    <row r="71" spans="1:9">
      <c r="A71" s="212"/>
      <c r="B71" s="214" t="s">
        <v>233</v>
      </c>
      <c r="C71" s="220">
        <v>16000</v>
      </c>
      <c r="D71" s="221">
        <v>16000</v>
      </c>
      <c r="E71" s="288">
        <f t="shared" si="1"/>
        <v>-79435</v>
      </c>
      <c r="F71" s="212"/>
      <c r="G71" s="214" t="s">
        <v>242</v>
      </c>
      <c r="H71" s="232">
        <v>0</v>
      </c>
      <c r="I71" s="233">
        <v>95435</v>
      </c>
    </row>
    <row r="72" spans="1:9">
      <c r="A72" s="212"/>
      <c r="B72" s="214" t="s">
        <v>231</v>
      </c>
      <c r="C72" s="220">
        <v>607288</v>
      </c>
      <c r="D72" s="221">
        <v>607288</v>
      </c>
      <c r="E72" s="288">
        <f t="shared" si="1"/>
        <v>591288</v>
      </c>
      <c r="F72" s="212"/>
      <c r="G72" s="214" t="s">
        <v>233</v>
      </c>
      <c r="H72" s="232">
        <v>0</v>
      </c>
      <c r="I72" s="233">
        <v>16000</v>
      </c>
    </row>
    <row r="73" spans="1:9">
      <c r="A73" s="212"/>
      <c r="B73" s="214" t="s">
        <v>232</v>
      </c>
      <c r="C73" s="220">
        <v>636473</v>
      </c>
      <c r="D73" s="221">
        <v>636473</v>
      </c>
      <c r="E73" s="288">
        <f t="shared" si="1"/>
        <v>29185</v>
      </c>
      <c r="F73" s="212"/>
      <c r="G73" s="214" t="s">
        <v>231</v>
      </c>
      <c r="H73" s="232">
        <v>0</v>
      </c>
      <c r="I73" s="233">
        <v>607288</v>
      </c>
    </row>
    <row r="74" spans="1:9">
      <c r="A74" s="209" t="s">
        <v>284</v>
      </c>
      <c r="B74" s="210"/>
      <c r="C74" s="218">
        <v>2297366</v>
      </c>
      <c r="D74" s="219">
        <v>2297366</v>
      </c>
      <c r="E74" s="288">
        <f t="shared" si="1"/>
        <v>1660893</v>
      </c>
      <c r="F74" s="212"/>
      <c r="G74" s="214" t="s">
        <v>232</v>
      </c>
      <c r="H74" s="232">
        <v>0</v>
      </c>
      <c r="I74" s="233">
        <v>636473</v>
      </c>
    </row>
    <row r="75" spans="1:9">
      <c r="A75" s="209" t="s">
        <v>91</v>
      </c>
      <c r="B75" s="209" t="s">
        <v>240</v>
      </c>
      <c r="C75" s="218">
        <v>405234</v>
      </c>
      <c r="D75" s="219">
        <v>405234</v>
      </c>
      <c r="E75" s="288">
        <f t="shared" si="1"/>
        <v>-1892132</v>
      </c>
      <c r="F75" s="209" t="s">
        <v>284</v>
      </c>
      <c r="G75" s="210"/>
      <c r="H75" s="230">
        <v>0</v>
      </c>
      <c r="I75" s="231">
        <v>2297366</v>
      </c>
    </row>
    <row r="76" spans="1:9">
      <c r="A76" s="212"/>
      <c r="B76" s="214" t="s">
        <v>497</v>
      </c>
      <c r="C76" s="220">
        <v>6076</v>
      </c>
      <c r="D76" s="221">
        <v>6076</v>
      </c>
      <c r="E76" s="288">
        <f t="shared" si="1"/>
        <v>-399158</v>
      </c>
      <c r="F76" s="209" t="s">
        <v>91</v>
      </c>
      <c r="G76" s="209" t="s">
        <v>240</v>
      </c>
      <c r="H76" s="230">
        <v>0</v>
      </c>
      <c r="I76" s="231">
        <v>405234</v>
      </c>
    </row>
    <row r="77" spans="1:9">
      <c r="A77" s="212"/>
      <c r="B77" s="214" t="s">
        <v>498</v>
      </c>
      <c r="C77" s="220">
        <v>124417</v>
      </c>
      <c r="D77" s="221">
        <v>124417</v>
      </c>
      <c r="E77" s="288">
        <f t="shared" si="1"/>
        <v>118341</v>
      </c>
      <c r="F77" s="212"/>
      <c r="G77" s="214" t="s">
        <v>497</v>
      </c>
      <c r="H77" s="232">
        <v>0</v>
      </c>
      <c r="I77" s="233">
        <v>6076</v>
      </c>
    </row>
    <row r="78" spans="1:9">
      <c r="A78" s="212"/>
      <c r="B78" s="214" t="s">
        <v>505</v>
      </c>
      <c r="C78" s="220">
        <v>26151</v>
      </c>
      <c r="D78" s="221">
        <v>26151</v>
      </c>
      <c r="E78" s="288">
        <f t="shared" si="1"/>
        <v>-98266</v>
      </c>
      <c r="F78" s="212"/>
      <c r="G78" s="214" t="s">
        <v>498</v>
      </c>
      <c r="H78" s="232">
        <v>0</v>
      </c>
      <c r="I78" s="233">
        <v>124417</v>
      </c>
    </row>
    <row r="79" spans="1:9">
      <c r="A79" s="212"/>
      <c r="B79" s="214" t="s">
        <v>412</v>
      </c>
      <c r="C79" s="220">
        <v>58984</v>
      </c>
      <c r="D79" s="221">
        <v>58984</v>
      </c>
      <c r="E79" s="288">
        <f t="shared" si="1"/>
        <v>32833</v>
      </c>
      <c r="F79" s="212"/>
      <c r="G79" s="214" t="s">
        <v>505</v>
      </c>
      <c r="H79" s="232">
        <v>0</v>
      </c>
      <c r="I79" s="233">
        <v>26151</v>
      </c>
    </row>
    <row r="80" spans="1:9">
      <c r="A80" s="212"/>
      <c r="B80" s="214" t="s">
        <v>231</v>
      </c>
      <c r="C80" s="220">
        <v>438781</v>
      </c>
      <c r="D80" s="221">
        <v>438781</v>
      </c>
      <c r="E80" s="288">
        <f t="shared" si="1"/>
        <v>379797</v>
      </c>
      <c r="F80" s="212"/>
      <c r="G80" s="214" t="s">
        <v>412</v>
      </c>
      <c r="H80" s="232">
        <v>0</v>
      </c>
      <c r="I80" s="233">
        <v>58984</v>
      </c>
    </row>
    <row r="81" spans="1:9">
      <c r="A81" s="212"/>
      <c r="B81" s="214" t="s">
        <v>506</v>
      </c>
      <c r="C81" s="220">
        <v>51235</v>
      </c>
      <c r="D81" s="221">
        <v>51235</v>
      </c>
      <c r="E81" s="288">
        <f t="shared" si="1"/>
        <v>-387546</v>
      </c>
      <c r="F81" s="212"/>
      <c r="G81" s="214" t="s">
        <v>231</v>
      </c>
      <c r="H81" s="232">
        <v>0</v>
      </c>
      <c r="I81" s="233">
        <v>438781</v>
      </c>
    </row>
    <row r="82" spans="1:9">
      <c r="A82" s="212"/>
      <c r="B82" s="214" t="s">
        <v>232</v>
      </c>
      <c r="C82" s="220">
        <v>642964</v>
      </c>
      <c r="D82" s="221">
        <v>642964</v>
      </c>
      <c r="E82" s="288">
        <f t="shared" si="1"/>
        <v>591729</v>
      </c>
      <c r="F82" s="212"/>
      <c r="G82" s="214" t="s">
        <v>506</v>
      </c>
      <c r="H82" s="232">
        <v>0</v>
      </c>
      <c r="I82" s="233">
        <v>51235</v>
      </c>
    </row>
    <row r="83" spans="1:9">
      <c r="A83" s="209" t="s">
        <v>285</v>
      </c>
      <c r="B83" s="210"/>
      <c r="C83" s="218">
        <v>1753842</v>
      </c>
      <c r="D83" s="219">
        <v>1753842</v>
      </c>
      <c r="E83" s="288">
        <f t="shared" si="1"/>
        <v>1110878</v>
      </c>
      <c r="F83" s="212"/>
      <c r="G83" s="214" t="s">
        <v>232</v>
      </c>
      <c r="H83" s="232">
        <v>0</v>
      </c>
      <c r="I83" s="233">
        <v>642964</v>
      </c>
    </row>
    <row r="84" spans="1:9">
      <c r="A84" s="209" t="s">
        <v>78</v>
      </c>
      <c r="B84" s="209" t="s">
        <v>240</v>
      </c>
      <c r="C84" s="218">
        <v>226736</v>
      </c>
      <c r="D84" s="219">
        <v>226736</v>
      </c>
      <c r="E84" s="288">
        <f t="shared" si="1"/>
        <v>-1527106</v>
      </c>
      <c r="F84" s="209" t="s">
        <v>285</v>
      </c>
      <c r="G84" s="210"/>
      <c r="H84" s="230">
        <v>0</v>
      </c>
      <c r="I84" s="231">
        <v>1753842</v>
      </c>
    </row>
    <row r="85" spans="1:9">
      <c r="A85" s="212"/>
      <c r="B85" s="214" t="s">
        <v>497</v>
      </c>
      <c r="C85" s="220">
        <v>5563</v>
      </c>
      <c r="D85" s="221">
        <v>5563</v>
      </c>
      <c r="E85" s="288">
        <f t="shared" si="1"/>
        <v>-221173</v>
      </c>
      <c r="F85" s="209" t="s">
        <v>78</v>
      </c>
      <c r="G85" s="209" t="s">
        <v>240</v>
      </c>
      <c r="H85" s="230">
        <v>0</v>
      </c>
      <c r="I85" s="231">
        <v>226736</v>
      </c>
    </row>
    <row r="86" spans="1:9">
      <c r="A86" s="212"/>
      <c r="B86" s="214" t="s">
        <v>498</v>
      </c>
      <c r="C86" s="220">
        <v>168727</v>
      </c>
      <c r="D86" s="221">
        <v>168727</v>
      </c>
      <c r="E86" s="288">
        <f t="shared" si="1"/>
        <v>163164</v>
      </c>
      <c r="F86" s="212"/>
      <c r="G86" s="214" t="s">
        <v>497</v>
      </c>
      <c r="H86" s="232">
        <v>0</v>
      </c>
      <c r="I86" s="233">
        <v>5563</v>
      </c>
    </row>
    <row r="87" spans="1:9">
      <c r="A87" s="212"/>
      <c r="B87" s="214" t="s">
        <v>505</v>
      </c>
      <c r="C87" s="220">
        <v>37982</v>
      </c>
      <c r="D87" s="221">
        <v>37982</v>
      </c>
      <c r="E87" s="288">
        <f t="shared" si="1"/>
        <v>-130745</v>
      </c>
      <c r="F87" s="212"/>
      <c r="G87" s="214" t="s">
        <v>498</v>
      </c>
      <c r="H87" s="232">
        <v>0</v>
      </c>
      <c r="I87" s="233">
        <v>168727</v>
      </c>
    </row>
    <row r="88" spans="1:9">
      <c r="A88" s="212"/>
      <c r="B88" s="214" t="s">
        <v>231</v>
      </c>
      <c r="C88" s="220">
        <v>281246</v>
      </c>
      <c r="D88" s="221">
        <v>281246</v>
      </c>
      <c r="E88" s="288">
        <f t="shared" si="1"/>
        <v>243264</v>
      </c>
      <c r="F88" s="212"/>
      <c r="G88" s="214" t="s">
        <v>505</v>
      </c>
      <c r="H88" s="232">
        <v>0</v>
      </c>
      <c r="I88" s="233">
        <v>37982</v>
      </c>
    </row>
    <row r="89" spans="1:9">
      <c r="A89" s="212"/>
      <c r="B89" s="214" t="s">
        <v>506</v>
      </c>
      <c r="C89" s="220">
        <v>51235</v>
      </c>
      <c r="D89" s="221">
        <v>51235</v>
      </c>
      <c r="E89" s="288">
        <f t="shared" si="1"/>
        <v>-230011</v>
      </c>
      <c r="F89" s="212"/>
      <c r="G89" s="214" t="s">
        <v>231</v>
      </c>
      <c r="H89" s="232">
        <v>0</v>
      </c>
      <c r="I89" s="233">
        <v>281246</v>
      </c>
    </row>
    <row r="90" spans="1:9">
      <c r="A90" s="212"/>
      <c r="B90" s="214" t="s">
        <v>232</v>
      </c>
      <c r="C90" s="220">
        <v>224913</v>
      </c>
      <c r="D90" s="221">
        <v>224913</v>
      </c>
      <c r="E90" s="288">
        <f t="shared" si="1"/>
        <v>173678</v>
      </c>
      <c r="F90" s="212"/>
      <c r="G90" s="214" t="s">
        <v>506</v>
      </c>
      <c r="H90" s="232">
        <v>0</v>
      </c>
      <c r="I90" s="233">
        <v>51235</v>
      </c>
    </row>
    <row r="91" spans="1:9">
      <c r="A91" s="209" t="s">
        <v>286</v>
      </c>
      <c r="B91" s="210"/>
      <c r="C91" s="218">
        <v>996402</v>
      </c>
      <c r="D91" s="219">
        <v>996402</v>
      </c>
      <c r="E91" s="288">
        <f t="shared" si="1"/>
        <v>771489</v>
      </c>
      <c r="F91" s="212"/>
      <c r="G91" s="214" t="s">
        <v>232</v>
      </c>
      <c r="H91" s="232">
        <v>0</v>
      </c>
      <c r="I91" s="233">
        <v>224913</v>
      </c>
    </row>
    <row r="92" spans="1:9">
      <c r="A92" s="209" t="s">
        <v>79</v>
      </c>
      <c r="B92" s="209" t="s">
        <v>240</v>
      </c>
      <c r="C92" s="218">
        <v>540105</v>
      </c>
      <c r="D92" s="219">
        <v>540105</v>
      </c>
      <c r="E92" s="288">
        <f t="shared" si="1"/>
        <v>-456297</v>
      </c>
      <c r="F92" s="209" t="s">
        <v>286</v>
      </c>
      <c r="G92" s="210"/>
      <c r="H92" s="230">
        <v>0</v>
      </c>
      <c r="I92" s="231">
        <v>996402</v>
      </c>
    </row>
    <row r="93" spans="1:9">
      <c r="A93" s="212"/>
      <c r="B93" s="214" t="s">
        <v>497</v>
      </c>
      <c r="C93" s="220">
        <v>6588</v>
      </c>
      <c r="D93" s="221">
        <v>6588</v>
      </c>
      <c r="E93" s="288">
        <f t="shared" si="1"/>
        <v>-533517</v>
      </c>
      <c r="F93" s="209" t="s">
        <v>79</v>
      </c>
      <c r="G93" s="209" t="s">
        <v>240</v>
      </c>
      <c r="H93" s="230">
        <v>0</v>
      </c>
      <c r="I93" s="231">
        <v>540105</v>
      </c>
    </row>
    <row r="94" spans="1:9">
      <c r="A94" s="212"/>
      <c r="B94" s="214" t="s">
        <v>498</v>
      </c>
      <c r="C94" s="220">
        <v>247247</v>
      </c>
      <c r="D94" s="221">
        <v>247247</v>
      </c>
      <c r="E94" s="288">
        <f t="shared" si="1"/>
        <v>240659</v>
      </c>
      <c r="F94" s="212"/>
      <c r="G94" s="214" t="s">
        <v>497</v>
      </c>
      <c r="H94" s="232">
        <v>0</v>
      </c>
      <c r="I94" s="233">
        <v>6588</v>
      </c>
    </row>
    <row r="95" spans="1:9">
      <c r="A95" s="212"/>
      <c r="B95" s="214" t="s">
        <v>505</v>
      </c>
      <c r="C95" s="220">
        <v>60555</v>
      </c>
      <c r="D95" s="221">
        <v>60555</v>
      </c>
      <c r="E95" s="288">
        <f t="shared" si="1"/>
        <v>-186692</v>
      </c>
      <c r="F95" s="212"/>
      <c r="G95" s="214" t="s">
        <v>498</v>
      </c>
      <c r="H95" s="232">
        <v>0</v>
      </c>
      <c r="I95" s="233">
        <v>247247</v>
      </c>
    </row>
    <row r="96" spans="1:9">
      <c r="A96" s="212"/>
      <c r="B96" s="214" t="s">
        <v>267</v>
      </c>
      <c r="C96" s="220">
        <v>1485308</v>
      </c>
      <c r="D96" s="221">
        <v>1485308</v>
      </c>
      <c r="E96" s="288">
        <f t="shared" si="1"/>
        <v>1424753</v>
      </c>
      <c r="F96" s="212"/>
      <c r="G96" s="214" t="s">
        <v>505</v>
      </c>
      <c r="H96" s="232">
        <v>0</v>
      </c>
      <c r="I96" s="233">
        <v>60555</v>
      </c>
    </row>
    <row r="97" spans="1:9">
      <c r="A97" s="212"/>
      <c r="B97" s="214" t="s">
        <v>241</v>
      </c>
      <c r="C97" s="220">
        <v>45300</v>
      </c>
      <c r="D97" s="221">
        <v>45300</v>
      </c>
      <c r="E97" s="288">
        <f t="shared" si="1"/>
        <v>-1440008</v>
      </c>
      <c r="F97" s="212"/>
      <c r="G97" s="214" t="s">
        <v>267</v>
      </c>
      <c r="H97" s="232">
        <v>0</v>
      </c>
      <c r="I97" s="233">
        <v>1485308</v>
      </c>
    </row>
    <row r="98" spans="1:9">
      <c r="A98" s="212"/>
      <c r="B98" s="214" t="s">
        <v>242</v>
      </c>
      <c r="C98" s="220">
        <v>95435</v>
      </c>
      <c r="D98" s="221">
        <v>95435</v>
      </c>
      <c r="E98" s="288">
        <f t="shared" si="1"/>
        <v>50135</v>
      </c>
      <c r="F98" s="212"/>
      <c r="G98" s="214" t="s">
        <v>241</v>
      </c>
      <c r="H98" s="232">
        <v>0</v>
      </c>
      <c r="I98" s="233">
        <v>45300</v>
      </c>
    </row>
    <row r="99" spans="1:9">
      <c r="A99" s="212"/>
      <c r="B99" s="214" t="s">
        <v>244</v>
      </c>
      <c r="C99" s="220">
        <v>191333</v>
      </c>
      <c r="D99" s="221">
        <v>191333</v>
      </c>
      <c r="E99" s="288">
        <f t="shared" si="1"/>
        <v>95898</v>
      </c>
      <c r="F99" s="212"/>
      <c r="G99" s="214" t="s">
        <v>242</v>
      </c>
      <c r="H99" s="232">
        <v>0</v>
      </c>
      <c r="I99" s="233">
        <v>95435</v>
      </c>
    </row>
    <row r="100" spans="1:9">
      <c r="A100" s="212"/>
      <c r="B100" s="214" t="s">
        <v>233</v>
      </c>
      <c r="C100" s="220">
        <v>16000</v>
      </c>
      <c r="D100" s="221">
        <v>16000</v>
      </c>
      <c r="E100" s="288">
        <f t="shared" si="1"/>
        <v>-175333</v>
      </c>
      <c r="F100" s="212"/>
      <c r="G100" s="214" t="s">
        <v>244</v>
      </c>
      <c r="H100" s="232">
        <v>0</v>
      </c>
      <c r="I100" s="233">
        <v>191333</v>
      </c>
    </row>
    <row r="101" spans="1:9">
      <c r="A101" s="212"/>
      <c r="B101" s="214" t="s">
        <v>231</v>
      </c>
      <c r="C101" s="220">
        <v>250030</v>
      </c>
      <c r="D101" s="221">
        <v>250030</v>
      </c>
      <c r="E101" s="288">
        <f t="shared" si="1"/>
        <v>234030</v>
      </c>
      <c r="F101" s="212"/>
      <c r="G101" s="214" t="s">
        <v>233</v>
      </c>
      <c r="H101" s="232">
        <v>0</v>
      </c>
      <c r="I101" s="233">
        <v>16000</v>
      </c>
    </row>
    <row r="102" spans="1:9">
      <c r="A102" s="212"/>
      <c r="B102" s="214" t="s">
        <v>232</v>
      </c>
      <c r="C102" s="220">
        <v>477982</v>
      </c>
      <c r="D102" s="221">
        <v>477982</v>
      </c>
      <c r="E102" s="288">
        <f t="shared" si="1"/>
        <v>227952</v>
      </c>
      <c r="F102" s="212"/>
      <c r="G102" s="214" t="s">
        <v>231</v>
      </c>
      <c r="H102" s="232">
        <v>0</v>
      </c>
      <c r="I102" s="233">
        <v>250030</v>
      </c>
    </row>
    <row r="103" spans="1:9">
      <c r="A103" s="209" t="s">
        <v>287</v>
      </c>
      <c r="B103" s="210"/>
      <c r="C103" s="218">
        <v>3415883</v>
      </c>
      <c r="D103" s="219">
        <v>3415883</v>
      </c>
      <c r="E103" s="288">
        <f t="shared" si="1"/>
        <v>2937901</v>
      </c>
      <c r="F103" s="212"/>
      <c r="G103" s="214" t="s">
        <v>232</v>
      </c>
      <c r="H103" s="232">
        <v>0</v>
      </c>
      <c r="I103" s="233">
        <v>477982</v>
      </c>
    </row>
    <row r="104" spans="1:9">
      <c r="A104" s="209" t="s">
        <v>92</v>
      </c>
      <c r="B104" s="209" t="s">
        <v>240</v>
      </c>
      <c r="C104" s="218">
        <v>317865</v>
      </c>
      <c r="D104" s="219">
        <v>317865</v>
      </c>
      <c r="E104" s="288">
        <f t="shared" si="1"/>
        <v>-3098018</v>
      </c>
      <c r="F104" s="209" t="s">
        <v>287</v>
      </c>
      <c r="G104" s="210"/>
      <c r="H104" s="230">
        <v>0</v>
      </c>
      <c r="I104" s="231">
        <v>3415883</v>
      </c>
    </row>
    <row r="105" spans="1:9">
      <c r="A105" s="212"/>
      <c r="B105" s="214" t="s">
        <v>497</v>
      </c>
      <c r="C105" s="220">
        <v>5563</v>
      </c>
      <c r="D105" s="221">
        <v>5563</v>
      </c>
      <c r="E105" s="288">
        <f t="shared" si="1"/>
        <v>-312302</v>
      </c>
      <c r="F105" s="209" t="s">
        <v>92</v>
      </c>
      <c r="G105" s="209" t="s">
        <v>240</v>
      </c>
      <c r="H105" s="230">
        <v>0</v>
      </c>
      <c r="I105" s="231">
        <v>317865</v>
      </c>
    </row>
    <row r="106" spans="1:9">
      <c r="A106" s="212"/>
      <c r="B106" s="214" t="s">
        <v>498</v>
      </c>
      <c r="C106" s="220">
        <v>199948</v>
      </c>
      <c r="D106" s="221">
        <v>199948</v>
      </c>
      <c r="E106" s="288">
        <f t="shared" si="1"/>
        <v>194385</v>
      </c>
      <c r="F106" s="212"/>
      <c r="G106" s="214" t="s">
        <v>497</v>
      </c>
      <c r="H106" s="232">
        <v>0</v>
      </c>
      <c r="I106" s="233">
        <v>5563</v>
      </c>
    </row>
    <row r="107" spans="1:9">
      <c r="A107" s="212"/>
      <c r="B107" s="214" t="s">
        <v>505</v>
      </c>
      <c r="C107" s="220">
        <v>46468</v>
      </c>
      <c r="D107" s="221">
        <v>46468</v>
      </c>
      <c r="E107" s="288">
        <f t="shared" si="1"/>
        <v>-153480</v>
      </c>
      <c r="F107" s="212"/>
      <c r="G107" s="214" t="s">
        <v>498</v>
      </c>
      <c r="H107" s="232">
        <v>0</v>
      </c>
      <c r="I107" s="233">
        <v>199948</v>
      </c>
    </row>
    <row r="108" spans="1:9">
      <c r="A108" s="212"/>
      <c r="B108" s="214" t="s">
        <v>241</v>
      </c>
      <c r="C108" s="220">
        <v>15100</v>
      </c>
      <c r="D108" s="221">
        <v>15100</v>
      </c>
      <c r="E108" s="288">
        <f t="shared" si="1"/>
        <v>-31368</v>
      </c>
      <c r="F108" s="212"/>
      <c r="G108" s="214" t="s">
        <v>505</v>
      </c>
      <c r="H108" s="232">
        <v>0</v>
      </c>
      <c r="I108" s="233">
        <v>46468</v>
      </c>
    </row>
    <row r="109" spans="1:9">
      <c r="A109" s="212"/>
      <c r="B109" s="214" t="s">
        <v>235</v>
      </c>
      <c r="C109" s="220">
        <v>10000</v>
      </c>
      <c r="D109" s="221">
        <v>10000</v>
      </c>
      <c r="E109" s="288">
        <f t="shared" si="1"/>
        <v>-5100</v>
      </c>
      <c r="F109" s="212"/>
      <c r="G109" s="214" t="s">
        <v>241</v>
      </c>
      <c r="H109" s="232">
        <v>0</v>
      </c>
      <c r="I109" s="233">
        <v>15100</v>
      </c>
    </row>
    <row r="110" spans="1:9">
      <c r="A110" s="212"/>
      <c r="B110" s="214" t="s">
        <v>233</v>
      </c>
      <c r="C110" s="220">
        <v>16000</v>
      </c>
      <c r="D110" s="221">
        <v>16000</v>
      </c>
      <c r="E110" s="288">
        <f t="shared" si="1"/>
        <v>6000</v>
      </c>
      <c r="F110" s="212"/>
      <c r="G110" s="214" t="s">
        <v>235</v>
      </c>
      <c r="H110" s="232">
        <v>0</v>
      </c>
      <c r="I110" s="233">
        <v>10000</v>
      </c>
    </row>
    <row r="111" spans="1:9">
      <c r="A111" s="212"/>
      <c r="B111" s="214" t="s">
        <v>359</v>
      </c>
      <c r="C111" s="220">
        <v>5000</v>
      </c>
      <c r="D111" s="221">
        <v>5000</v>
      </c>
      <c r="E111" s="288">
        <f t="shared" si="1"/>
        <v>-11000</v>
      </c>
      <c r="F111" s="212"/>
      <c r="G111" s="214" t="s">
        <v>233</v>
      </c>
      <c r="H111" s="232">
        <v>0</v>
      </c>
      <c r="I111" s="233">
        <v>16000</v>
      </c>
    </row>
    <row r="112" spans="1:9">
      <c r="A112" s="212"/>
      <c r="B112" s="214" t="s">
        <v>231</v>
      </c>
      <c r="C112" s="220">
        <v>293541</v>
      </c>
      <c r="D112" s="221">
        <v>293541</v>
      </c>
      <c r="E112" s="288">
        <f t="shared" si="1"/>
        <v>288541</v>
      </c>
      <c r="F112" s="212"/>
      <c r="G112" s="214" t="s">
        <v>359</v>
      </c>
      <c r="H112" s="232">
        <v>0</v>
      </c>
      <c r="I112" s="233">
        <v>5000</v>
      </c>
    </row>
    <row r="113" spans="1:9">
      <c r="A113" s="212"/>
      <c r="B113" s="214" t="s">
        <v>506</v>
      </c>
      <c r="C113" s="220">
        <v>51235</v>
      </c>
      <c r="D113" s="221">
        <v>51235</v>
      </c>
      <c r="E113" s="288">
        <f t="shared" si="1"/>
        <v>-242306</v>
      </c>
      <c r="F113" s="212"/>
      <c r="G113" s="214" t="s">
        <v>231</v>
      </c>
      <c r="H113" s="232">
        <v>0</v>
      </c>
      <c r="I113" s="233">
        <v>293541</v>
      </c>
    </row>
    <row r="114" spans="1:9">
      <c r="A114" s="212"/>
      <c r="B114" s="214" t="s">
        <v>232</v>
      </c>
      <c r="C114" s="220">
        <v>501899</v>
      </c>
      <c r="D114" s="221">
        <v>501899</v>
      </c>
      <c r="E114" s="288">
        <f t="shared" si="1"/>
        <v>450664</v>
      </c>
      <c r="F114" s="212"/>
      <c r="G114" s="214" t="s">
        <v>506</v>
      </c>
      <c r="H114" s="232">
        <v>0</v>
      </c>
      <c r="I114" s="233">
        <v>51235</v>
      </c>
    </row>
    <row r="115" spans="1:9">
      <c r="A115" s="209" t="s">
        <v>288</v>
      </c>
      <c r="B115" s="210"/>
      <c r="C115" s="218">
        <v>1462619</v>
      </c>
      <c r="D115" s="219">
        <v>1462619</v>
      </c>
      <c r="E115" s="288">
        <f t="shared" si="1"/>
        <v>960720</v>
      </c>
      <c r="F115" s="212"/>
      <c r="G115" s="214" t="s">
        <v>232</v>
      </c>
      <c r="H115" s="232">
        <v>0</v>
      </c>
      <c r="I115" s="233">
        <v>501899</v>
      </c>
    </row>
    <row r="116" spans="1:9">
      <c r="A116" s="209" t="s">
        <v>93</v>
      </c>
      <c r="B116" s="209" t="s">
        <v>240</v>
      </c>
      <c r="C116" s="218">
        <v>221442</v>
      </c>
      <c r="D116" s="219">
        <v>221442</v>
      </c>
      <c r="E116" s="288">
        <f t="shared" si="1"/>
        <v>-1241177</v>
      </c>
      <c r="F116" s="209" t="s">
        <v>288</v>
      </c>
      <c r="G116" s="210"/>
      <c r="H116" s="230">
        <v>0</v>
      </c>
      <c r="I116" s="231">
        <v>1462619</v>
      </c>
    </row>
    <row r="117" spans="1:9">
      <c r="A117" s="212"/>
      <c r="B117" s="214" t="s">
        <v>498</v>
      </c>
      <c r="C117" s="220">
        <v>115011</v>
      </c>
      <c r="D117" s="221">
        <v>115011</v>
      </c>
      <c r="E117" s="288">
        <f t="shared" si="1"/>
        <v>-106431</v>
      </c>
      <c r="F117" s="209" t="s">
        <v>93</v>
      </c>
      <c r="G117" s="209" t="s">
        <v>240</v>
      </c>
      <c r="H117" s="230">
        <v>0</v>
      </c>
      <c r="I117" s="231">
        <v>221442</v>
      </c>
    </row>
    <row r="118" spans="1:9">
      <c r="A118" s="212"/>
      <c r="B118" s="214" t="s">
        <v>505</v>
      </c>
      <c r="C118" s="220">
        <v>22866</v>
      </c>
      <c r="D118" s="221">
        <v>22866</v>
      </c>
      <c r="E118" s="288">
        <f t="shared" si="1"/>
        <v>-92145</v>
      </c>
      <c r="F118" s="212"/>
      <c r="G118" s="214" t="s">
        <v>498</v>
      </c>
      <c r="H118" s="232">
        <v>0</v>
      </c>
      <c r="I118" s="233">
        <v>115011</v>
      </c>
    </row>
    <row r="119" spans="1:9">
      <c r="A119" s="212"/>
      <c r="B119" s="214" t="s">
        <v>412</v>
      </c>
      <c r="C119" s="220">
        <v>60000</v>
      </c>
      <c r="D119" s="221">
        <v>60000</v>
      </c>
      <c r="E119" s="288">
        <f t="shared" si="1"/>
        <v>37134</v>
      </c>
      <c r="F119" s="212"/>
      <c r="G119" s="214" t="s">
        <v>505</v>
      </c>
      <c r="H119" s="232">
        <v>0</v>
      </c>
      <c r="I119" s="233">
        <v>22866</v>
      </c>
    </row>
    <row r="120" spans="1:9">
      <c r="A120" s="212"/>
      <c r="B120" s="214" t="s">
        <v>267</v>
      </c>
      <c r="C120" s="220">
        <v>1729789</v>
      </c>
      <c r="D120" s="221">
        <v>1729789</v>
      </c>
      <c r="E120" s="288">
        <f t="shared" si="1"/>
        <v>1669789</v>
      </c>
      <c r="F120" s="212"/>
      <c r="G120" s="214" t="s">
        <v>412</v>
      </c>
      <c r="H120" s="232">
        <v>0</v>
      </c>
      <c r="I120" s="233">
        <v>60000</v>
      </c>
    </row>
    <row r="121" spans="1:9">
      <c r="A121" s="212"/>
      <c r="B121" s="214" t="s">
        <v>242</v>
      </c>
      <c r="C121" s="220">
        <v>95435</v>
      </c>
      <c r="D121" s="221">
        <v>95435</v>
      </c>
      <c r="E121" s="288">
        <f t="shared" si="1"/>
        <v>-1634354</v>
      </c>
      <c r="F121" s="212"/>
      <c r="G121" s="214" t="s">
        <v>267</v>
      </c>
      <c r="H121" s="232">
        <v>0</v>
      </c>
      <c r="I121" s="233">
        <v>1729789</v>
      </c>
    </row>
    <row r="122" spans="1:9">
      <c r="A122" s="212"/>
      <c r="B122" s="214" t="s">
        <v>235</v>
      </c>
      <c r="C122" s="220">
        <v>15600</v>
      </c>
      <c r="D122" s="221">
        <v>15600</v>
      </c>
      <c r="E122" s="288">
        <f t="shared" si="1"/>
        <v>-79835</v>
      </c>
      <c r="F122" s="212"/>
      <c r="G122" s="214" t="s">
        <v>242</v>
      </c>
      <c r="H122" s="232">
        <v>0</v>
      </c>
      <c r="I122" s="233">
        <v>95435</v>
      </c>
    </row>
    <row r="123" spans="1:9">
      <c r="A123" s="212"/>
      <c r="B123" s="214" t="s">
        <v>233</v>
      </c>
      <c r="C123" s="220">
        <v>14480</v>
      </c>
      <c r="D123" s="221">
        <v>14480</v>
      </c>
      <c r="E123" s="288">
        <f t="shared" si="1"/>
        <v>-1120</v>
      </c>
      <c r="F123" s="212"/>
      <c r="G123" s="214" t="s">
        <v>235</v>
      </c>
      <c r="H123" s="232">
        <v>0</v>
      </c>
      <c r="I123" s="233">
        <v>15600</v>
      </c>
    </row>
    <row r="124" spans="1:9">
      <c r="A124" s="212"/>
      <c r="B124" s="214" t="s">
        <v>231</v>
      </c>
      <c r="C124" s="220">
        <v>190438</v>
      </c>
      <c r="D124" s="221">
        <v>190438</v>
      </c>
      <c r="E124" s="288">
        <f t="shared" si="1"/>
        <v>175958</v>
      </c>
      <c r="F124" s="212"/>
      <c r="G124" s="214" t="s">
        <v>233</v>
      </c>
      <c r="H124" s="232">
        <v>0</v>
      </c>
      <c r="I124" s="233">
        <v>14480</v>
      </c>
    </row>
    <row r="125" spans="1:9">
      <c r="A125" s="212"/>
      <c r="B125" s="214" t="s">
        <v>232</v>
      </c>
      <c r="C125" s="220">
        <v>398657</v>
      </c>
      <c r="D125" s="221">
        <v>398657</v>
      </c>
      <c r="E125" s="288">
        <f t="shared" si="1"/>
        <v>208219</v>
      </c>
      <c r="F125" s="212"/>
      <c r="G125" s="214" t="s">
        <v>231</v>
      </c>
      <c r="H125" s="232">
        <v>0</v>
      </c>
      <c r="I125" s="233">
        <v>190438</v>
      </c>
    </row>
    <row r="126" spans="1:9">
      <c r="A126" s="209" t="s">
        <v>289</v>
      </c>
      <c r="B126" s="210"/>
      <c r="C126" s="218">
        <v>2863718</v>
      </c>
      <c r="D126" s="219">
        <v>2863718</v>
      </c>
      <c r="E126" s="288">
        <f t="shared" si="1"/>
        <v>2465061</v>
      </c>
      <c r="F126" s="212"/>
      <c r="G126" s="214" t="s">
        <v>232</v>
      </c>
      <c r="H126" s="232">
        <v>0</v>
      </c>
      <c r="I126" s="233">
        <v>398657</v>
      </c>
    </row>
    <row r="127" spans="1:9">
      <c r="A127" s="209" t="s">
        <v>94</v>
      </c>
      <c r="B127" s="209" t="s">
        <v>240</v>
      </c>
      <c r="C127" s="218">
        <v>511692</v>
      </c>
      <c r="D127" s="219">
        <v>511692</v>
      </c>
      <c r="E127" s="288">
        <f t="shared" si="1"/>
        <v>-2352026</v>
      </c>
      <c r="F127" s="209" t="s">
        <v>289</v>
      </c>
      <c r="G127" s="210"/>
      <c r="H127" s="230">
        <v>0</v>
      </c>
      <c r="I127" s="231">
        <v>2863718</v>
      </c>
    </row>
    <row r="128" spans="1:9">
      <c r="A128" s="212"/>
      <c r="B128" s="214" t="s">
        <v>497</v>
      </c>
      <c r="C128" s="220">
        <v>5563</v>
      </c>
      <c r="D128" s="221">
        <v>5563</v>
      </c>
      <c r="E128" s="288">
        <f t="shared" si="1"/>
        <v>-506129</v>
      </c>
      <c r="F128" s="209" t="s">
        <v>435</v>
      </c>
      <c r="G128" s="209" t="s">
        <v>240</v>
      </c>
      <c r="H128" s="230">
        <v>0</v>
      </c>
      <c r="I128" s="231">
        <v>511692</v>
      </c>
    </row>
    <row r="129" spans="1:9">
      <c r="A129" s="212"/>
      <c r="B129" s="214" t="s">
        <v>498</v>
      </c>
      <c r="C129" s="220">
        <v>249795</v>
      </c>
      <c r="D129" s="221">
        <v>249795</v>
      </c>
      <c r="E129" s="288">
        <f t="shared" si="1"/>
        <v>244232</v>
      </c>
      <c r="F129" s="212"/>
      <c r="G129" s="214" t="s">
        <v>497</v>
      </c>
      <c r="H129" s="232">
        <v>0</v>
      </c>
      <c r="I129" s="233">
        <v>5563</v>
      </c>
    </row>
    <row r="130" spans="1:9">
      <c r="A130" s="212"/>
      <c r="B130" s="214" t="s">
        <v>505</v>
      </c>
      <c r="C130" s="220">
        <v>52548</v>
      </c>
      <c r="D130" s="221">
        <v>52548</v>
      </c>
      <c r="E130" s="288">
        <f t="shared" si="1"/>
        <v>-197247</v>
      </c>
      <c r="F130" s="212"/>
      <c r="G130" s="214" t="s">
        <v>498</v>
      </c>
      <c r="H130" s="232">
        <v>0</v>
      </c>
      <c r="I130" s="233">
        <v>249795</v>
      </c>
    </row>
    <row r="131" spans="1:9">
      <c r="A131" s="212"/>
      <c r="B131" s="214" t="s">
        <v>412</v>
      </c>
      <c r="C131" s="220">
        <v>35000</v>
      </c>
      <c r="D131" s="221">
        <v>35000</v>
      </c>
      <c r="E131" s="288">
        <f t="shared" si="1"/>
        <v>-17548</v>
      </c>
      <c r="F131" s="212"/>
      <c r="G131" s="214" t="s">
        <v>505</v>
      </c>
      <c r="H131" s="232">
        <v>0</v>
      </c>
      <c r="I131" s="233">
        <v>52548</v>
      </c>
    </row>
    <row r="132" spans="1:9">
      <c r="A132" s="212"/>
      <c r="B132" s="214" t="s">
        <v>241</v>
      </c>
      <c r="C132" s="220">
        <v>67950</v>
      </c>
      <c r="D132" s="221">
        <v>67950</v>
      </c>
      <c r="E132" s="288">
        <f t="shared" ref="E132:E195" si="2">D132-I132</f>
        <v>32950</v>
      </c>
      <c r="F132" s="212"/>
      <c r="G132" s="214" t="s">
        <v>412</v>
      </c>
      <c r="H132" s="232">
        <v>0</v>
      </c>
      <c r="I132" s="233">
        <v>35000</v>
      </c>
    </row>
    <row r="133" spans="1:9">
      <c r="A133" s="212"/>
      <c r="B133" s="214" t="s">
        <v>242</v>
      </c>
      <c r="C133" s="220">
        <v>92235</v>
      </c>
      <c r="D133" s="221">
        <v>92235</v>
      </c>
      <c r="E133" s="288">
        <f t="shared" si="2"/>
        <v>24285</v>
      </c>
      <c r="F133" s="212"/>
      <c r="G133" s="214" t="s">
        <v>241</v>
      </c>
      <c r="H133" s="232">
        <v>0</v>
      </c>
      <c r="I133" s="233">
        <v>67950</v>
      </c>
    </row>
    <row r="134" spans="1:9">
      <c r="A134" s="212"/>
      <c r="B134" s="214" t="s">
        <v>269</v>
      </c>
      <c r="C134" s="220">
        <v>375800</v>
      </c>
      <c r="D134" s="221">
        <v>375800</v>
      </c>
      <c r="E134" s="288">
        <f t="shared" si="2"/>
        <v>283565</v>
      </c>
      <c r="F134" s="212"/>
      <c r="G134" s="214" t="s">
        <v>242</v>
      </c>
      <c r="H134" s="232">
        <v>0</v>
      </c>
      <c r="I134" s="233">
        <v>92235</v>
      </c>
    </row>
    <row r="135" spans="1:9">
      <c r="A135" s="212"/>
      <c r="B135" s="214" t="s">
        <v>231</v>
      </c>
      <c r="C135" s="220">
        <v>308738</v>
      </c>
      <c r="D135" s="221">
        <v>308738</v>
      </c>
      <c r="E135" s="288">
        <f t="shared" si="2"/>
        <v>-67062</v>
      </c>
      <c r="F135" s="212"/>
      <c r="G135" s="214" t="s">
        <v>269</v>
      </c>
      <c r="H135" s="232">
        <v>0</v>
      </c>
      <c r="I135" s="233">
        <v>375800</v>
      </c>
    </row>
    <row r="136" spans="1:9">
      <c r="A136" s="212"/>
      <c r="B136" s="214" t="s">
        <v>354</v>
      </c>
      <c r="C136" s="220">
        <v>17666</v>
      </c>
      <c r="D136" s="221">
        <v>17666</v>
      </c>
      <c r="E136" s="288">
        <f t="shared" si="2"/>
        <v>-291072</v>
      </c>
      <c r="F136" s="212"/>
      <c r="G136" s="214" t="s">
        <v>231</v>
      </c>
      <c r="H136" s="232">
        <v>0</v>
      </c>
      <c r="I136" s="233">
        <v>308738</v>
      </c>
    </row>
    <row r="137" spans="1:9">
      <c r="A137" s="212"/>
      <c r="B137" s="214" t="s">
        <v>429</v>
      </c>
      <c r="C137" s="220">
        <v>47214</v>
      </c>
      <c r="D137" s="221">
        <v>47214</v>
      </c>
      <c r="E137" s="288">
        <f t="shared" si="2"/>
        <v>29548</v>
      </c>
      <c r="F137" s="212"/>
      <c r="G137" s="214" t="s">
        <v>354</v>
      </c>
      <c r="H137" s="232">
        <v>0</v>
      </c>
      <c r="I137" s="233">
        <v>17666</v>
      </c>
    </row>
    <row r="138" spans="1:9">
      <c r="A138" s="212"/>
      <c r="B138" s="214" t="s">
        <v>232</v>
      </c>
      <c r="C138" s="220">
        <v>710876</v>
      </c>
      <c r="D138" s="221">
        <v>710876</v>
      </c>
      <c r="E138" s="288">
        <f t="shared" si="2"/>
        <v>663662</v>
      </c>
      <c r="F138" s="212"/>
      <c r="G138" s="214" t="s">
        <v>429</v>
      </c>
      <c r="H138" s="232">
        <v>0</v>
      </c>
      <c r="I138" s="233">
        <v>47214</v>
      </c>
    </row>
    <row r="139" spans="1:9">
      <c r="A139" s="209" t="s">
        <v>290</v>
      </c>
      <c r="B139" s="210"/>
      <c r="C139" s="218">
        <v>2475077</v>
      </c>
      <c r="D139" s="219">
        <v>2475077</v>
      </c>
      <c r="E139" s="288">
        <f t="shared" si="2"/>
        <v>1764201</v>
      </c>
      <c r="F139" s="212"/>
      <c r="G139" s="214" t="s">
        <v>232</v>
      </c>
      <c r="H139" s="232">
        <v>0</v>
      </c>
      <c r="I139" s="233">
        <v>710876</v>
      </c>
    </row>
    <row r="140" spans="1:9">
      <c r="A140" s="209" t="s">
        <v>95</v>
      </c>
      <c r="B140" s="209" t="s">
        <v>240</v>
      </c>
      <c r="C140" s="218">
        <v>240407</v>
      </c>
      <c r="D140" s="219">
        <v>240407</v>
      </c>
      <c r="E140" s="288">
        <f t="shared" si="2"/>
        <v>-2234670</v>
      </c>
      <c r="F140" s="209" t="s">
        <v>436</v>
      </c>
      <c r="G140" s="210"/>
      <c r="H140" s="230">
        <v>0</v>
      </c>
      <c r="I140" s="231">
        <v>2475077</v>
      </c>
    </row>
    <row r="141" spans="1:9">
      <c r="A141" s="212"/>
      <c r="B141" s="214" t="s">
        <v>497</v>
      </c>
      <c r="C141" s="220">
        <v>5050</v>
      </c>
      <c r="D141" s="221">
        <v>5050</v>
      </c>
      <c r="E141" s="288">
        <f t="shared" si="2"/>
        <v>-235357</v>
      </c>
      <c r="F141" s="209" t="s">
        <v>392</v>
      </c>
      <c r="G141" s="209" t="s">
        <v>240</v>
      </c>
      <c r="H141" s="230">
        <v>0</v>
      </c>
      <c r="I141" s="231">
        <v>240407</v>
      </c>
    </row>
    <row r="142" spans="1:9">
      <c r="A142" s="212"/>
      <c r="B142" s="214" t="s">
        <v>498</v>
      </c>
      <c r="C142" s="220">
        <v>436150</v>
      </c>
      <c r="D142" s="221">
        <v>436150</v>
      </c>
      <c r="E142" s="288">
        <f t="shared" si="2"/>
        <v>431100</v>
      </c>
      <c r="F142" s="212"/>
      <c r="G142" s="214" t="s">
        <v>497</v>
      </c>
      <c r="H142" s="232">
        <v>0</v>
      </c>
      <c r="I142" s="233">
        <v>5050</v>
      </c>
    </row>
    <row r="143" spans="1:9">
      <c r="A143" s="212"/>
      <c r="B143" s="214" t="s">
        <v>505</v>
      </c>
      <c r="C143" s="220">
        <v>104326</v>
      </c>
      <c r="D143" s="221">
        <v>104326</v>
      </c>
      <c r="E143" s="288">
        <f t="shared" si="2"/>
        <v>-331824</v>
      </c>
      <c r="F143" s="212"/>
      <c r="G143" s="214" t="s">
        <v>498</v>
      </c>
      <c r="H143" s="232">
        <v>0</v>
      </c>
      <c r="I143" s="233">
        <v>436150</v>
      </c>
    </row>
    <row r="144" spans="1:9">
      <c r="A144" s="212"/>
      <c r="B144" s="214" t="s">
        <v>412</v>
      </c>
      <c r="C144" s="220">
        <v>22480</v>
      </c>
      <c r="D144" s="221">
        <v>22480</v>
      </c>
      <c r="E144" s="288">
        <f t="shared" si="2"/>
        <v>-81846</v>
      </c>
      <c r="F144" s="212"/>
      <c r="G144" s="214" t="s">
        <v>505</v>
      </c>
      <c r="H144" s="232">
        <v>0</v>
      </c>
      <c r="I144" s="233">
        <v>104326</v>
      </c>
    </row>
    <row r="145" spans="1:9">
      <c r="A145" s="212"/>
      <c r="B145" s="214" t="s">
        <v>241</v>
      </c>
      <c r="C145" s="220">
        <v>30200</v>
      </c>
      <c r="D145" s="221">
        <v>30200</v>
      </c>
      <c r="E145" s="288">
        <f t="shared" si="2"/>
        <v>7720</v>
      </c>
      <c r="F145" s="212"/>
      <c r="G145" s="214" t="s">
        <v>412</v>
      </c>
      <c r="H145" s="232">
        <v>0</v>
      </c>
      <c r="I145" s="233">
        <v>22480</v>
      </c>
    </row>
    <row r="146" spans="1:9">
      <c r="A146" s="212"/>
      <c r="B146" s="214" t="s">
        <v>274</v>
      </c>
      <c r="C146" s="220">
        <v>10000</v>
      </c>
      <c r="D146" s="221">
        <v>10000</v>
      </c>
      <c r="E146" s="288">
        <f t="shared" si="2"/>
        <v>-20200</v>
      </c>
      <c r="F146" s="212"/>
      <c r="G146" s="214" t="s">
        <v>241</v>
      </c>
      <c r="H146" s="232">
        <v>0</v>
      </c>
      <c r="I146" s="233">
        <v>30200</v>
      </c>
    </row>
    <row r="147" spans="1:9">
      <c r="A147" s="212"/>
      <c r="B147" s="214" t="s">
        <v>233</v>
      </c>
      <c r="C147" s="220">
        <v>16000</v>
      </c>
      <c r="D147" s="221">
        <v>16000</v>
      </c>
      <c r="E147" s="288">
        <f t="shared" si="2"/>
        <v>6000</v>
      </c>
      <c r="F147" s="212"/>
      <c r="G147" s="214" t="s">
        <v>274</v>
      </c>
      <c r="H147" s="232">
        <v>0</v>
      </c>
      <c r="I147" s="233">
        <v>10000</v>
      </c>
    </row>
    <row r="148" spans="1:9">
      <c r="A148" s="212"/>
      <c r="B148" s="214" t="s">
        <v>231</v>
      </c>
      <c r="C148" s="220">
        <v>264907</v>
      </c>
      <c r="D148" s="221">
        <v>264907</v>
      </c>
      <c r="E148" s="288">
        <f t="shared" si="2"/>
        <v>248907</v>
      </c>
      <c r="F148" s="212"/>
      <c r="G148" s="214" t="s">
        <v>233</v>
      </c>
      <c r="H148" s="232">
        <v>0</v>
      </c>
      <c r="I148" s="233">
        <v>16000</v>
      </c>
    </row>
    <row r="149" spans="1:9">
      <c r="A149" s="212"/>
      <c r="B149" s="214" t="s">
        <v>232</v>
      </c>
      <c r="C149" s="220">
        <v>805980</v>
      </c>
      <c r="D149" s="221">
        <v>805980</v>
      </c>
      <c r="E149" s="288">
        <f t="shared" si="2"/>
        <v>541073</v>
      </c>
      <c r="F149" s="212"/>
      <c r="G149" s="214" t="s">
        <v>231</v>
      </c>
      <c r="H149" s="232">
        <v>0</v>
      </c>
      <c r="I149" s="233">
        <v>264907</v>
      </c>
    </row>
    <row r="150" spans="1:9">
      <c r="A150" s="209" t="s">
        <v>291</v>
      </c>
      <c r="B150" s="210"/>
      <c r="C150" s="218">
        <v>1935500</v>
      </c>
      <c r="D150" s="219">
        <v>1935500</v>
      </c>
      <c r="E150" s="288">
        <f t="shared" si="2"/>
        <v>1129520</v>
      </c>
      <c r="F150" s="212"/>
      <c r="G150" s="214" t="s">
        <v>232</v>
      </c>
      <c r="H150" s="232">
        <v>0</v>
      </c>
      <c r="I150" s="233">
        <v>805980</v>
      </c>
    </row>
    <row r="151" spans="1:9">
      <c r="A151" s="209" t="s">
        <v>226</v>
      </c>
      <c r="B151" s="209" t="s">
        <v>240</v>
      </c>
      <c r="C151" s="218">
        <v>279108</v>
      </c>
      <c r="D151" s="219">
        <v>279108</v>
      </c>
      <c r="E151" s="288">
        <f t="shared" si="2"/>
        <v>-1656392</v>
      </c>
      <c r="F151" s="209" t="s">
        <v>393</v>
      </c>
      <c r="G151" s="210"/>
      <c r="H151" s="230">
        <v>0</v>
      </c>
      <c r="I151" s="231">
        <v>1935500</v>
      </c>
    </row>
    <row r="152" spans="1:9">
      <c r="A152" s="212"/>
      <c r="B152" s="214" t="s">
        <v>497</v>
      </c>
      <c r="C152" s="220">
        <v>5563</v>
      </c>
      <c r="D152" s="221">
        <v>5563</v>
      </c>
      <c r="E152" s="288">
        <f t="shared" si="2"/>
        <v>-273545</v>
      </c>
      <c r="F152" s="209" t="s">
        <v>226</v>
      </c>
      <c r="G152" s="209" t="s">
        <v>240</v>
      </c>
      <c r="H152" s="230">
        <v>0</v>
      </c>
      <c r="I152" s="231">
        <v>279108</v>
      </c>
    </row>
    <row r="153" spans="1:9">
      <c r="A153" s="212"/>
      <c r="B153" s="214" t="s">
        <v>498</v>
      </c>
      <c r="C153" s="220">
        <v>182743</v>
      </c>
      <c r="D153" s="221">
        <v>182743</v>
      </c>
      <c r="E153" s="288">
        <f t="shared" si="2"/>
        <v>177180</v>
      </c>
      <c r="F153" s="212"/>
      <c r="G153" s="214" t="s">
        <v>497</v>
      </c>
      <c r="H153" s="232">
        <v>0</v>
      </c>
      <c r="I153" s="233">
        <v>5563</v>
      </c>
    </row>
    <row r="154" spans="1:9">
      <c r="A154" s="212"/>
      <c r="B154" s="214" t="s">
        <v>505</v>
      </c>
      <c r="C154" s="220">
        <v>39784</v>
      </c>
      <c r="D154" s="221">
        <v>39784</v>
      </c>
      <c r="E154" s="288">
        <f t="shared" si="2"/>
        <v>-142959</v>
      </c>
      <c r="F154" s="212"/>
      <c r="G154" s="214" t="s">
        <v>498</v>
      </c>
      <c r="H154" s="232">
        <v>0</v>
      </c>
      <c r="I154" s="233">
        <v>182743</v>
      </c>
    </row>
    <row r="155" spans="1:9">
      <c r="A155" s="212"/>
      <c r="B155" s="214" t="s">
        <v>412</v>
      </c>
      <c r="C155" s="220">
        <v>59825</v>
      </c>
      <c r="D155" s="221">
        <v>59825</v>
      </c>
      <c r="E155" s="288">
        <f t="shared" si="2"/>
        <v>20041</v>
      </c>
      <c r="F155" s="212"/>
      <c r="G155" s="214" t="s">
        <v>505</v>
      </c>
      <c r="H155" s="232">
        <v>0</v>
      </c>
      <c r="I155" s="233">
        <v>39784</v>
      </c>
    </row>
    <row r="156" spans="1:9">
      <c r="A156" s="212"/>
      <c r="B156" s="214" t="s">
        <v>241</v>
      </c>
      <c r="C156" s="220">
        <v>45300</v>
      </c>
      <c r="D156" s="221">
        <v>45300</v>
      </c>
      <c r="E156" s="288">
        <f t="shared" si="2"/>
        <v>-14525</v>
      </c>
      <c r="F156" s="212"/>
      <c r="G156" s="214" t="s">
        <v>412</v>
      </c>
      <c r="H156" s="232">
        <v>0</v>
      </c>
      <c r="I156" s="233">
        <v>59825</v>
      </c>
    </row>
    <row r="157" spans="1:9">
      <c r="A157" s="212"/>
      <c r="B157" s="214" t="s">
        <v>274</v>
      </c>
      <c r="C157" s="220">
        <v>4566</v>
      </c>
      <c r="D157" s="221">
        <v>4566</v>
      </c>
      <c r="E157" s="288">
        <f t="shared" si="2"/>
        <v>-40734</v>
      </c>
      <c r="F157" s="212"/>
      <c r="G157" s="214" t="s">
        <v>241</v>
      </c>
      <c r="H157" s="232">
        <v>0</v>
      </c>
      <c r="I157" s="233">
        <v>45300</v>
      </c>
    </row>
    <row r="158" spans="1:9">
      <c r="A158" s="212"/>
      <c r="B158" s="214" t="s">
        <v>242</v>
      </c>
      <c r="C158" s="220">
        <v>154635</v>
      </c>
      <c r="D158" s="221">
        <v>154635</v>
      </c>
      <c r="E158" s="288">
        <f t="shared" si="2"/>
        <v>150069</v>
      </c>
      <c r="F158" s="212"/>
      <c r="G158" s="214" t="s">
        <v>274</v>
      </c>
      <c r="H158" s="232">
        <v>0</v>
      </c>
      <c r="I158" s="233">
        <v>4566</v>
      </c>
    </row>
    <row r="159" spans="1:9">
      <c r="A159" s="212"/>
      <c r="B159" s="214" t="s">
        <v>231</v>
      </c>
      <c r="C159" s="220">
        <v>286675</v>
      </c>
      <c r="D159" s="221">
        <v>286675</v>
      </c>
      <c r="E159" s="288">
        <f t="shared" si="2"/>
        <v>132040</v>
      </c>
      <c r="F159" s="212"/>
      <c r="G159" s="214" t="s">
        <v>242</v>
      </c>
      <c r="H159" s="232">
        <v>0</v>
      </c>
      <c r="I159" s="233">
        <v>154635</v>
      </c>
    </row>
    <row r="160" spans="1:9">
      <c r="A160" s="212"/>
      <c r="B160" s="214" t="s">
        <v>232</v>
      </c>
      <c r="C160" s="220">
        <v>105185</v>
      </c>
      <c r="D160" s="221">
        <v>105185</v>
      </c>
      <c r="E160" s="288">
        <f t="shared" si="2"/>
        <v>-181490</v>
      </c>
      <c r="F160" s="212"/>
      <c r="G160" s="214" t="s">
        <v>231</v>
      </c>
      <c r="H160" s="232">
        <v>0</v>
      </c>
      <c r="I160" s="233">
        <v>286675</v>
      </c>
    </row>
    <row r="161" spans="1:9">
      <c r="A161" s="209" t="s">
        <v>292</v>
      </c>
      <c r="B161" s="210"/>
      <c r="C161" s="218">
        <v>1163384</v>
      </c>
      <c r="D161" s="219">
        <v>1163384</v>
      </c>
      <c r="E161" s="288">
        <f t="shared" si="2"/>
        <v>1058199</v>
      </c>
      <c r="F161" s="212"/>
      <c r="G161" s="214" t="s">
        <v>232</v>
      </c>
      <c r="H161" s="232">
        <v>0</v>
      </c>
      <c r="I161" s="233">
        <v>105185</v>
      </c>
    </row>
    <row r="162" spans="1:9">
      <c r="A162" s="209" t="s">
        <v>96</v>
      </c>
      <c r="B162" s="209" t="s">
        <v>240</v>
      </c>
      <c r="C162" s="218">
        <v>229526</v>
      </c>
      <c r="D162" s="219">
        <v>229526</v>
      </c>
      <c r="E162" s="288">
        <f t="shared" si="2"/>
        <v>-933858</v>
      </c>
      <c r="F162" s="209" t="s">
        <v>292</v>
      </c>
      <c r="G162" s="210"/>
      <c r="H162" s="230">
        <v>0</v>
      </c>
      <c r="I162" s="231">
        <v>1163384</v>
      </c>
    </row>
    <row r="163" spans="1:9">
      <c r="A163" s="212"/>
      <c r="B163" s="214" t="s">
        <v>497</v>
      </c>
      <c r="C163" s="220">
        <v>5563</v>
      </c>
      <c r="D163" s="221">
        <v>5563</v>
      </c>
      <c r="E163" s="288">
        <f t="shared" si="2"/>
        <v>-223963</v>
      </c>
      <c r="F163" s="209" t="s">
        <v>96</v>
      </c>
      <c r="G163" s="209" t="s">
        <v>240</v>
      </c>
      <c r="H163" s="230">
        <v>0</v>
      </c>
      <c r="I163" s="231">
        <v>229526</v>
      </c>
    </row>
    <row r="164" spans="1:9">
      <c r="A164" s="212"/>
      <c r="B164" s="214" t="s">
        <v>498</v>
      </c>
      <c r="C164" s="220">
        <v>182922</v>
      </c>
      <c r="D164" s="221">
        <v>182922</v>
      </c>
      <c r="E164" s="288">
        <f t="shared" si="2"/>
        <v>177359</v>
      </c>
      <c r="F164" s="212"/>
      <c r="G164" s="214" t="s">
        <v>497</v>
      </c>
      <c r="H164" s="232">
        <v>0</v>
      </c>
      <c r="I164" s="233">
        <v>5563</v>
      </c>
    </row>
    <row r="165" spans="1:9">
      <c r="A165" s="212"/>
      <c r="B165" s="214" t="s">
        <v>505</v>
      </c>
      <c r="C165" s="220">
        <v>36046</v>
      </c>
      <c r="D165" s="221">
        <v>36046</v>
      </c>
      <c r="E165" s="288">
        <f t="shared" si="2"/>
        <v>-146876</v>
      </c>
      <c r="F165" s="212"/>
      <c r="G165" s="214" t="s">
        <v>498</v>
      </c>
      <c r="H165" s="232">
        <v>0</v>
      </c>
      <c r="I165" s="233">
        <v>182922</v>
      </c>
    </row>
    <row r="166" spans="1:9">
      <c r="A166" s="212"/>
      <c r="B166" s="214" t="s">
        <v>241</v>
      </c>
      <c r="C166" s="220">
        <v>15100</v>
      </c>
      <c r="D166" s="221">
        <v>15100</v>
      </c>
      <c r="E166" s="288">
        <f t="shared" si="2"/>
        <v>-20946</v>
      </c>
      <c r="F166" s="212"/>
      <c r="G166" s="214" t="s">
        <v>505</v>
      </c>
      <c r="H166" s="232">
        <v>0</v>
      </c>
      <c r="I166" s="233">
        <v>36046</v>
      </c>
    </row>
    <row r="167" spans="1:9">
      <c r="A167" s="212"/>
      <c r="B167" s="214" t="s">
        <v>242</v>
      </c>
      <c r="C167" s="220">
        <v>95435</v>
      </c>
      <c r="D167" s="221">
        <v>95435</v>
      </c>
      <c r="E167" s="288">
        <f t="shared" si="2"/>
        <v>80335</v>
      </c>
      <c r="F167" s="212"/>
      <c r="G167" s="214" t="s">
        <v>241</v>
      </c>
      <c r="H167" s="232">
        <v>0</v>
      </c>
      <c r="I167" s="233">
        <v>15100</v>
      </c>
    </row>
    <row r="168" spans="1:9">
      <c r="A168" s="212"/>
      <c r="B168" s="214" t="s">
        <v>359</v>
      </c>
      <c r="C168" s="220">
        <v>5000</v>
      </c>
      <c r="D168" s="221">
        <v>5000</v>
      </c>
      <c r="E168" s="288">
        <f t="shared" si="2"/>
        <v>-90435</v>
      </c>
      <c r="F168" s="212"/>
      <c r="G168" s="214" t="s">
        <v>242</v>
      </c>
      <c r="H168" s="232">
        <v>0</v>
      </c>
      <c r="I168" s="233">
        <v>95435</v>
      </c>
    </row>
    <row r="169" spans="1:9">
      <c r="A169" s="212"/>
      <c r="B169" s="214" t="s">
        <v>231</v>
      </c>
      <c r="C169" s="220">
        <v>313052</v>
      </c>
      <c r="D169" s="221">
        <v>313052</v>
      </c>
      <c r="E169" s="288">
        <f t="shared" si="2"/>
        <v>308052</v>
      </c>
      <c r="F169" s="212"/>
      <c r="G169" s="214" t="s">
        <v>359</v>
      </c>
      <c r="H169" s="232">
        <v>0</v>
      </c>
      <c r="I169" s="233">
        <v>5000</v>
      </c>
    </row>
    <row r="170" spans="1:9">
      <c r="A170" s="212"/>
      <c r="B170" s="214" t="s">
        <v>232</v>
      </c>
      <c r="C170" s="220">
        <v>830405</v>
      </c>
      <c r="D170" s="221">
        <v>830405</v>
      </c>
      <c r="E170" s="288">
        <f t="shared" si="2"/>
        <v>517353</v>
      </c>
      <c r="F170" s="212"/>
      <c r="G170" s="214" t="s">
        <v>231</v>
      </c>
      <c r="H170" s="232">
        <v>0</v>
      </c>
      <c r="I170" s="233">
        <v>313052</v>
      </c>
    </row>
    <row r="171" spans="1:9">
      <c r="A171" s="209" t="s">
        <v>293</v>
      </c>
      <c r="B171" s="210"/>
      <c r="C171" s="218">
        <v>1713049</v>
      </c>
      <c r="D171" s="219">
        <v>1713049</v>
      </c>
      <c r="E171" s="288">
        <f t="shared" si="2"/>
        <v>882644</v>
      </c>
      <c r="F171" s="212"/>
      <c r="G171" s="214" t="s">
        <v>232</v>
      </c>
      <c r="H171" s="232">
        <v>0</v>
      </c>
      <c r="I171" s="233">
        <v>830405</v>
      </c>
    </row>
    <row r="172" spans="1:9">
      <c r="A172" s="209" t="s">
        <v>97</v>
      </c>
      <c r="B172" s="209" t="s">
        <v>240</v>
      </c>
      <c r="C172" s="218">
        <v>696083</v>
      </c>
      <c r="D172" s="219">
        <v>696083</v>
      </c>
      <c r="E172" s="288">
        <f t="shared" si="2"/>
        <v>-1016966</v>
      </c>
      <c r="F172" s="209" t="s">
        <v>293</v>
      </c>
      <c r="G172" s="210"/>
      <c r="H172" s="230">
        <v>0</v>
      </c>
      <c r="I172" s="231">
        <v>1713049</v>
      </c>
    </row>
    <row r="173" spans="1:9">
      <c r="A173" s="212"/>
      <c r="B173" s="214" t="s">
        <v>497</v>
      </c>
      <c r="C173" s="220">
        <v>6588</v>
      </c>
      <c r="D173" s="221">
        <v>6588</v>
      </c>
      <c r="E173" s="288">
        <f t="shared" si="2"/>
        <v>-689495</v>
      </c>
      <c r="F173" s="209" t="s">
        <v>320</v>
      </c>
      <c r="G173" s="209" t="s">
        <v>240</v>
      </c>
      <c r="H173" s="230">
        <v>0</v>
      </c>
      <c r="I173" s="231">
        <v>696083</v>
      </c>
    </row>
    <row r="174" spans="1:9">
      <c r="A174" s="212"/>
      <c r="B174" s="214" t="s">
        <v>498</v>
      </c>
      <c r="C174" s="220">
        <v>159099</v>
      </c>
      <c r="D174" s="221">
        <v>159099</v>
      </c>
      <c r="E174" s="288">
        <f t="shared" si="2"/>
        <v>152511</v>
      </c>
      <c r="F174" s="212"/>
      <c r="G174" s="214" t="s">
        <v>497</v>
      </c>
      <c r="H174" s="232">
        <v>0</v>
      </c>
      <c r="I174" s="233">
        <v>6588</v>
      </c>
    </row>
    <row r="175" spans="1:9">
      <c r="A175" s="212"/>
      <c r="B175" s="214" t="s">
        <v>505</v>
      </c>
      <c r="C175" s="220">
        <v>40392</v>
      </c>
      <c r="D175" s="221">
        <v>40392</v>
      </c>
      <c r="E175" s="288">
        <f t="shared" si="2"/>
        <v>-118707</v>
      </c>
      <c r="F175" s="212"/>
      <c r="G175" s="214" t="s">
        <v>498</v>
      </c>
      <c r="H175" s="232">
        <v>0</v>
      </c>
      <c r="I175" s="233">
        <v>159099</v>
      </c>
    </row>
    <row r="176" spans="1:9">
      <c r="A176" s="212"/>
      <c r="B176" s="214" t="s">
        <v>241</v>
      </c>
      <c r="C176" s="220">
        <v>15100</v>
      </c>
      <c r="D176" s="221">
        <v>15100</v>
      </c>
      <c r="E176" s="288">
        <f t="shared" si="2"/>
        <v>-25292</v>
      </c>
      <c r="F176" s="212"/>
      <c r="G176" s="214" t="s">
        <v>505</v>
      </c>
      <c r="H176" s="232">
        <v>0</v>
      </c>
      <c r="I176" s="233">
        <v>40392</v>
      </c>
    </row>
    <row r="177" spans="1:9">
      <c r="A177" s="212"/>
      <c r="B177" s="214" t="s">
        <v>242</v>
      </c>
      <c r="C177" s="220">
        <v>154635</v>
      </c>
      <c r="D177" s="221">
        <v>154635</v>
      </c>
      <c r="E177" s="288">
        <f t="shared" si="2"/>
        <v>139535</v>
      </c>
      <c r="F177" s="212"/>
      <c r="G177" s="214" t="s">
        <v>241</v>
      </c>
      <c r="H177" s="232">
        <v>0</v>
      </c>
      <c r="I177" s="233">
        <v>15100</v>
      </c>
    </row>
    <row r="178" spans="1:9">
      <c r="A178" s="212"/>
      <c r="B178" s="214" t="s">
        <v>235</v>
      </c>
      <c r="C178" s="220">
        <v>11700</v>
      </c>
      <c r="D178" s="221">
        <v>11700</v>
      </c>
      <c r="E178" s="288">
        <f t="shared" si="2"/>
        <v>-142935</v>
      </c>
      <c r="F178" s="212"/>
      <c r="G178" s="214" t="s">
        <v>242</v>
      </c>
      <c r="H178" s="232">
        <v>0</v>
      </c>
      <c r="I178" s="233">
        <v>154635</v>
      </c>
    </row>
    <row r="179" spans="1:9">
      <c r="A179" s="212"/>
      <c r="B179" s="214" t="s">
        <v>231</v>
      </c>
      <c r="C179" s="220">
        <v>161887</v>
      </c>
      <c r="D179" s="221">
        <v>161887</v>
      </c>
      <c r="E179" s="288">
        <f t="shared" si="2"/>
        <v>150187</v>
      </c>
      <c r="F179" s="212"/>
      <c r="G179" s="214" t="s">
        <v>235</v>
      </c>
      <c r="H179" s="232">
        <v>0</v>
      </c>
      <c r="I179" s="233">
        <v>11700</v>
      </c>
    </row>
    <row r="180" spans="1:9">
      <c r="A180" s="212"/>
      <c r="B180" s="214" t="s">
        <v>232</v>
      </c>
      <c r="C180" s="220">
        <v>181187</v>
      </c>
      <c r="D180" s="221">
        <v>181187</v>
      </c>
      <c r="E180" s="288">
        <f t="shared" si="2"/>
        <v>19300</v>
      </c>
      <c r="F180" s="212"/>
      <c r="G180" s="214" t="s">
        <v>231</v>
      </c>
      <c r="H180" s="232">
        <v>0</v>
      </c>
      <c r="I180" s="233">
        <v>161887</v>
      </c>
    </row>
    <row r="181" spans="1:9">
      <c r="A181" s="209" t="s">
        <v>294</v>
      </c>
      <c r="B181" s="210"/>
      <c r="C181" s="218">
        <v>1426671</v>
      </c>
      <c r="D181" s="219">
        <v>1426671</v>
      </c>
      <c r="E181" s="288">
        <f t="shared" si="2"/>
        <v>1245484</v>
      </c>
      <c r="F181" s="212"/>
      <c r="G181" s="214" t="s">
        <v>232</v>
      </c>
      <c r="H181" s="232">
        <v>0</v>
      </c>
      <c r="I181" s="233">
        <v>181187</v>
      </c>
    </row>
    <row r="182" spans="1:9">
      <c r="A182" s="209" t="s">
        <v>98</v>
      </c>
      <c r="B182" s="209" t="s">
        <v>240</v>
      </c>
      <c r="C182" s="218">
        <v>237182</v>
      </c>
      <c r="D182" s="219">
        <v>237182</v>
      </c>
      <c r="E182" s="288">
        <f t="shared" si="2"/>
        <v>-1189489</v>
      </c>
      <c r="F182" s="209" t="s">
        <v>324</v>
      </c>
      <c r="G182" s="210"/>
      <c r="H182" s="230">
        <v>0</v>
      </c>
      <c r="I182" s="231">
        <v>1426671</v>
      </c>
    </row>
    <row r="183" spans="1:9">
      <c r="A183" s="212"/>
      <c r="B183" s="214" t="s">
        <v>497</v>
      </c>
      <c r="C183" s="220">
        <v>6588</v>
      </c>
      <c r="D183" s="221">
        <v>6588</v>
      </c>
      <c r="E183" s="288">
        <f t="shared" si="2"/>
        <v>-230594</v>
      </c>
      <c r="F183" s="209" t="s">
        <v>98</v>
      </c>
      <c r="G183" s="209" t="s">
        <v>240</v>
      </c>
      <c r="H183" s="230">
        <v>0</v>
      </c>
      <c r="I183" s="231">
        <v>237182</v>
      </c>
    </row>
    <row r="184" spans="1:9">
      <c r="A184" s="212"/>
      <c r="B184" s="214" t="s">
        <v>498</v>
      </c>
      <c r="C184" s="220">
        <v>84095</v>
      </c>
      <c r="D184" s="221">
        <v>84095</v>
      </c>
      <c r="E184" s="288">
        <f t="shared" si="2"/>
        <v>77507</v>
      </c>
      <c r="F184" s="212"/>
      <c r="G184" s="214" t="s">
        <v>497</v>
      </c>
      <c r="H184" s="232">
        <v>0</v>
      </c>
      <c r="I184" s="233">
        <v>6588</v>
      </c>
    </row>
    <row r="185" spans="1:9">
      <c r="A185" s="212"/>
      <c r="B185" s="214" t="s">
        <v>505</v>
      </c>
      <c r="C185" s="220">
        <v>16549</v>
      </c>
      <c r="D185" s="221">
        <v>16549</v>
      </c>
      <c r="E185" s="288">
        <f t="shared" si="2"/>
        <v>-67546</v>
      </c>
      <c r="F185" s="212"/>
      <c r="G185" s="214" t="s">
        <v>498</v>
      </c>
      <c r="H185" s="232">
        <v>0</v>
      </c>
      <c r="I185" s="233">
        <v>84095</v>
      </c>
    </row>
    <row r="186" spans="1:9">
      <c r="A186" s="212"/>
      <c r="B186" s="214" t="s">
        <v>241</v>
      </c>
      <c r="C186" s="220">
        <v>30200</v>
      </c>
      <c r="D186" s="221">
        <v>30200</v>
      </c>
      <c r="E186" s="288">
        <f t="shared" si="2"/>
        <v>13651</v>
      </c>
      <c r="F186" s="212"/>
      <c r="G186" s="214" t="s">
        <v>505</v>
      </c>
      <c r="H186" s="232">
        <v>0</v>
      </c>
      <c r="I186" s="233">
        <v>16549</v>
      </c>
    </row>
    <row r="187" spans="1:9">
      <c r="A187" s="212"/>
      <c r="B187" s="214" t="s">
        <v>242</v>
      </c>
      <c r="C187" s="220">
        <v>95435</v>
      </c>
      <c r="D187" s="221">
        <v>95435</v>
      </c>
      <c r="E187" s="288">
        <f t="shared" si="2"/>
        <v>65235</v>
      </c>
      <c r="F187" s="212"/>
      <c r="G187" s="214" t="s">
        <v>241</v>
      </c>
      <c r="H187" s="232">
        <v>0</v>
      </c>
      <c r="I187" s="233">
        <v>30200</v>
      </c>
    </row>
    <row r="188" spans="1:9">
      <c r="A188" s="212"/>
      <c r="B188" s="214" t="s">
        <v>235</v>
      </c>
      <c r="C188" s="220">
        <v>11827</v>
      </c>
      <c r="D188" s="221">
        <v>11827</v>
      </c>
      <c r="E188" s="288">
        <f t="shared" si="2"/>
        <v>-83608</v>
      </c>
      <c r="F188" s="212"/>
      <c r="G188" s="214" t="s">
        <v>242</v>
      </c>
      <c r="H188" s="232">
        <v>0</v>
      </c>
      <c r="I188" s="233">
        <v>95435</v>
      </c>
    </row>
    <row r="189" spans="1:9">
      <c r="A189" s="212"/>
      <c r="B189" s="214" t="s">
        <v>233</v>
      </c>
      <c r="C189" s="220">
        <v>16000</v>
      </c>
      <c r="D189" s="221">
        <v>16000</v>
      </c>
      <c r="E189" s="288">
        <f t="shared" si="2"/>
        <v>4173</v>
      </c>
      <c r="F189" s="212"/>
      <c r="G189" s="214" t="s">
        <v>235</v>
      </c>
      <c r="H189" s="232">
        <v>0</v>
      </c>
      <c r="I189" s="233">
        <v>11827</v>
      </c>
    </row>
    <row r="190" spans="1:9">
      <c r="A190" s="212"/>
      <c r="B190" s="214" t="s">
        <v>359</v>
      </c>
      <c r="C190" s="220">
        <v>5000</v>
      </c>
      <c r="D190" s="221">
        <v>5000</v>
      </c>
      <c r="E190" s="288">
        <f t="shared" si="2"/>
        <v>-11000</v>
      </c>
      <c r="F190" s="212"/>
      <c r="G190" s="214" t="s">
        <v>233</v>
      </c>
      <c r="H190" s="232">
        <v>0</v>
      </c>
      <c r="I190" s="233">
        <v>16000</v>
      </c>
    </row>
    <row r="191" spans="1:9">
      <c r="A191" s="212"/>
      <c r="B191" s="214" t="s">
        <v>231</v>
      </c>
      <c r="C191" s="220">
        <v>392820</v>
      </c>
      <c r="D191" s="221">
        <v>392820</v>
      </c>
      <c r="E191" s="288">
        <f t="shared" si="2"/>
        <v>387820</v>
      </c>
      <c r="F191" s="212"/>
      <c r="G191" s="214" t="s">
        <v>359</v>
      </c>
      <c r="H191" s="232">
        <v>0</v>
      </c>
      <c r="I191" s="233">
        <v>5000</v>
      </c>
    </row>
    <row r="192" spans="1:9">
      <c r="A192" s="212"/>
      <c r="B192" s="214" t="s">
        <v>354</v>
      </c>
      <c r="C192" s="220">
        <v>85245</v>
      </c>
      <c r="D192" s="221">
        <v>85245</v>
      </c>
      <c r="E192" s="288">
        <f t="shared" si="2"/>
        <v>-307575</v>
      </c>
      <c r="F192" s="212"/>
      <c r="G192" s="214" t="s">
        <v>231</v>
      </c>
      <c r="H192" s="232">
        <v>0</v>
      </c>
      <c r="I192" s="233">
        <v>392820</v>
      </c>
    </row>
    <row r="193" spans="1:9">
      <c r="A193" s="212"/>
      <c r="B193" s="214" t="s">
        <v>232</v>
      </c>
      <c r="C193" s="220">
        <v>687485</v>
      </c>
      <c r="D193" s="221">
        <v>687485</v>
      </c>
      <c r="E193" s="288">
        <f t="shared" si="2"/>
        <v>602240</v>
      </c>
      <c r="F193" s="212"/>
      <c r="G193" s="214" t="s">
        <v>354</v>
      </c>
      <c r="H193" s="232">
        <v>0</v>
      </c>
      <c r="I193" s="233">
        <v>85245</v>
      </c>
    </row>
    <row r="194" spans="1:9">
      <c r="A194" s="209" t="s">
        <v>295</v>
      </c>
      <c r="B194" s="210"/>
      <c r="C194" s="218">
        <v>1668426</v>
      </c>
      <c r="D194" s="219">
        <v>1668426</v>
      </c>
      <c r="E194" s="288">
        <f t="shared" si="2"/>
        <v>980941</v>
      </c>
      <c r="F194" s="212"/>
      <c r="G194" s="214" t="s">
        <v>232</v>
      </c>
      <c r="H194" s="232">
        <v>0</v>
      </c>
      <c r="I194" s="233">
        <v>687485</v>
      </c>
    </row>
    <row r="195" spans="1:9">
      <c r="A195" s="209" t="s">
        <v>80</v>
      </c>
      <c r="B195" s="209" t="s">
        <v>240</v>
      </c>
      <c r="C195" s="218">
        <v>229356</v>
      </c>
      <c r="D195" s="219">
        <v>229356</v>
      </c>
      <c r="E195" s="288">
        <f t="shared" si="2"/>
        <v>-1439070</v>
      </c>
      <c r="F195" s="209" t="s">
        <v>295</v>
      </c>
      <c r="G195" s="210"/>
      <c r="H195" s="230">
        <v>0</v>
      </c>
      <c r="I195" s="231">
        <v>1668426</v>
      </c>
    </row>
    <row r="196" spans="1:9">
      <c r="A196" s="212"/>
      <c r="B196" s="214" t="s">
        <v>497</v>
      </c>
      <c r="C196" s="220">
        <v>5563</v>
      </c>
      <c r="D196" s="221">
        <v>5563</v>
      </c>
      <c r="E196" s="288">
        <f t="shared" ref="E196:E259" si="3">D196-I196</f>
        <v>-223793</v>
      </c>
      <c r="F196" s="209" t="s">
        <v>80</v>
      </c>
      <c r="G196" s="209" t="s">
        <v>240</v>
      </c>
      <c r="H196" s="230">
        <v>0</v>
      </c>
      <c r="I196" s="231">
        <v>229356</v>
      </c>
    </row>
    <row r="197" spans="1:9">
      <c r="A197" s="212"/>
      <c r="B197" s="214" t="s">
        <v>498</v>
      </c>
      <c r="C197" s="220">
        <v>157090</v>
      </c>
      <c r="D197" s="221">
        <v>157090</v>
      </c>
      <c r="E197" s="288">
        <f t="shared" si="3"/>
        <v>151527</v>
      </c>
      <c r="F197" s="212"/>
      <c r="G197" s="214" t="s">
        <v>497</v>
      </c>
      <c r="H197" s="232">
        <v>0</v>
      </c>
      <c r="I197" s="233">
        <v>5563</v>
      </c>
    </row>
    <row r="198" spans="1:9">
      <c r="A198" s="212"/>
      <c r="B198" s="214" t="s">
        <v>505</v>
      </c>
      <c r="C198" s="220">
        <v>27679</v>
      </c>
      <c r="D198" s="221">
        <v>27679</v>
      </c>
      <c r="E198" s="288">
        <f t="shared" si="3"/>
        <v>-129411</v>
      </c>
      <c r="F198" s="212"/>
      <c r="G198" s="214" t="s">
        <v>498</v>
      </c>
      <c r="H198" s="232">
        <v>0</v>
      </c>
      <c r="I198" s="233">
        <v>157090</v>
      </c>
    </row>
    <row r="199" spans="1:9">
      <c r="A199" s="212"/>
      <c r="B199" s="214" t="s">
        <v>412</v>
      </c>
      <c r="C199" s="220">
        <v>24000</v>
      </c>
      <c r="D199" s="221">
        <v>24000</v>
      </c>
      <c r="E199" s="288">
        <f t="shared" si="3"/>
        <v>-3679</v>
      </c>
      <c r="F199" s="212"/>
      <c r="G199" s="214" t="s">
        <v>505</v>
      </c>
      <c r="H199" s="232">
        <v>0</v>
      </c>
      <c r="I199" s="233">
        <v>27679</v>
      </c>
    </row>
    <row r="200" spans="1:9">
      <c r="A200" s="212"/>
      <c r="B200" s="214" t="s">
        <v>267</v>
      </c>
      <c r="C200" s="220">
        <v>1383943</v>
      </c>
      <c r="D200" s="221">
        <v>1383943</v>
      </c>
      <c r="E200" s="288">
        <f t="shared" si="3"/>
        <v>1359943</v>
      </c>
      <c r="F200" s="212"/>
      <c r="G200" s="214" t="s">
        <v>412</v>
      </c>
      <c r="H200" s="232">
        <v>0</v>
      </c>
      <c r="I200" s="233">
        <v>24000</v>
      </c>
    </row>
    <row r="201" spans="1:9">
      <c r="A201" s="212"/>
      <c r="B201" s="214" t="s">
        <v>241</v>
      </c>
      <c r="C201" s="220">
        <v>15100</v>
      </c>
      <c r="D201" s="221">
        <v>15100</v>
      </c>
      <c r="E201" s="288">
        <f t="shared" si="3"/>
        <v>-1368843</v>
      </c>
      <c r="F201" s="212"/>
      <c r="G201" s="214" t="s">
        <v>267</v>
      </c>
      <c r="H201" s="232">
        <v>0</v>
      </c>
      <c r="I201" s="233">
        <v>1383943</v>
      </c>
    </row>
    <row r="202" spans="1:9">
      <c r="A202" s="212"/>
      <c r="B202" s="214" t="s">
        <v>274</v>
      </c>
      <c r="C202" s="220">
        <v>4459</v>
      </c>
      <c r="D202" s="221">
        <v>4459</v>
      </c>
      <c r="E202" s="288">
        <f t="shared" si="3"/>
        <v>-10641</v>
      </c>
      <c r="F202" s="212"/>
      <c r="G202" s="214" t="s">
        <v>241</v>
      </c>
      <c r="H202" s="232">
        <v>0</v>
      </c>
      <c r="I202" s="233">
        <v>15100</v>
      </c>
    </row>
    <row r="203" spans="1:9">
      <c r="A203" s="212"/>
      <c r="B203" s="214" t="s">
        <v>242</v>
      </c>
      <c r="C203" s="220">
        <v>95435</v>
      </c>
      <c r="D203" s="221">
        <v>95435</v>
      </c>
      <c r="E203" s="288">
        <f t="shared" si="3"/>
        <v>90976</v>
      </c>
      <c r="F203" s="212"/>
      <c r="G203" s="214" t="s">
        <v>274</v>
      </c>
      <c r="H203" s="232">
        <v>0</v>
      </c>
      <c r="I203" s="233">
        <v>4459</v>
      </c>
    </row>
    <row r="204" spans="1:9">
      <c r="A204" s="212"/>
      <c r="B204" s="214" t="s">
        <v>233</v>
      </c>
      <c r="C204" s="220">
        <v>16000</v>
      </c>
      <c r="D204" s="221">
        <v>16000</v>
      </c>
      <c r="E204" s="288">
        <f t="shared" si="3"/>
        <v>-79435</v>
      </c>
      <c r="F204" s="212"/>
      <c r="G204" s="214" t="s">
        <v>242</v>
      </c>
      <c r="H204" s="232">
        <v>0</v>
      </c>
      <c r="I204" s="233">
        <v>95435</v>
      </c>
    </row>
    <row r="205" spans="1:9">
      <c r="A205" s="212"/>
      <c r="B205" s="214" t="s">
        <v>231</v>
      </c>
      <c r="C205" s="220">
        <v>178509</v>
      </c>
      <c r="D205" s="221">
        <v>178509</v>
      </c>
      <c r="E205" s="288">
        <f t="shared" si="3"/>
        <v>162509</v>
      </c>
      <c r="F205" s="212"/>
      <c r="G205" s="214" t="s">
        <v>233</v>
      </c>
      <c r="H205" s="232">
        <v>0</v>
      </c>
      <c r="I205" s="233">
        <v>16000</v>
      </c>
    </row>
    <row r="206" spans="1:9">
      <c r="A206" s="212"/>
      <c r="B206" s="214" t="s">
        <v>429</v>
      </c>
      <c r="C206" s="220">
        <v>13900</v>
      </c>
      <c r="D206" s="221">
        <v>13900</v>
      </c>
      <c r="E206" s="288">
        <f t="shared" si="3"/>
        <v>-164609</v>
      </c>
      <c r="F206" s="212"/>
      <c r="G206" s="214" t="s">
        <v>231</v>
      </c>
      <c r="H206" s="232">
        <v>0</v>
      </c>
      <c r="I206" s="233">
        <v>178509</v>
      </c>
    </row>
    <row r="207" spans="1:9">
      <c r="A207" s="212"/>
      <c r="B207" s="214" t="s">
        <v>232</v>
      </c>
      <c r="C207" s="220">
        <v>291241</v>
      </c>
      <c r="D207" s="221">
        <v>291241</v>
      </c>
      <c r="E207" s="288">
        <f t="shared" si="3"/>
        <v>277341</v>
      </c>
      <c r="F207" s="212"/>
      <c r="G207" s="214" t="s">
        <v>429</v>
      </c>
      <c r="H207" s="232">
        <v>0</v>
      </c>
      <c r="I207" s="233">
        <v>13900</v>
      </c>
    </row>
    <row r="208" spans="1:9">
      <c r="A208" s="209" t="s">
        <v>296</v>
      </c>
      <c r="B208" s="210"/>
      <c r="C208" s="218">
        <v>2442275</v>
      </c>
      <c r="D208" s="219">
        <v>2442275</v>
      </c>
      <c r="E208" s="288">
        <f t="shared" si="3"/>
        <v>2151034</v>
      </c>
      <c r="F208" s="212"/>
      <c r="G208" s="214" t="s">
        <v>232</v>
      </c>
      <c r="H208" s="232">
        <v>0</v>
      </c>
      <c r="I208" s="233">
        <v>291241</v>
      </c>
    </row>
    <row r="209" spans="1:9">
      <c r="A209" s="209" t="s">
        <v>99</v>
      </c>
      <c r="B209" s="209" t="s">
        <v>240</v>
      </c>
      <c r="C209" s="218">
        <v>183411</v>
      </c>
      <c r="D209" s="219">
        <v>183411</v>
      </c>
      <c r="E209" s="288">
        <f t="shared" si="3"/>
        <v>-2258864</v>
      </c>
      <c r="F209" s="209" t="s">
        <v>296</v>
      </c>
      <c r="G209" s="210"/>
      <c r="H209" s="230">
        <v>0</v>
      </c>
      <c r="I209" s="231">
        <v>2442275</v>
      </c>
    </row>
    <row r="210" spans="1:9">
      <c r="A210" s="212"/>
      <c r="B210" s="214" t="s">
        <v>497</v>
      </c>
      <c r="C210" s="220">
        <v>11126</v>
      </c>
      <c r="D210" s="221">
        <v>11126</v>
      </c>
      <c r="E210" s="288">
        <f t="shared" si="3"/>
        <v>-172285</v>
      </c>
      <c r="F210" s="209" t="s">
        <v>99</v>
      </c>
      <c r="G210" s="209" t="s">
        <v>240</v>
      </c>
      <c r="H210" s="230">
        <v>0</v>
      </c>
      <c r="I210" s="231">
        <v>183411</v>
      </c>
    </row>
    <row r="211" spans="1:9">
      <c r="A211" s="212"/>
      <c r="B211" s="214" t="s">
        <v>498</v>
      </c>
      <c r="C211" s="220">
        <v>209209</v>
      </c>
      <c r="D211" s="221">
        <v>209209</v>
      </c>
      <c r="E211" s="288">
        <f t="shared" si="3"/>
        <v>198083</v>
      </c>
      <c r="F211" s="212"/>
      <c r="G211" s="214" t="s">
        <v>497</v>
      </c>
      <c r="H211" s="232">
        <v>0</v>
      </c>
      <c r="I211" s="233">
        <v>11126</v>
      </c>
    </row>
    <row r="212" spans="1:9">
      <c r="A212" s="212"/>
      <c r="B212" s="214" t="s">
        <v>505</v>
      </c>
      <c r="C212" s="220">
        <v>45585</v>
      </c>
      <c r="D212" s="221">
        <v>45585</v>
      </c>
      <c r="E212" s="288">
        <f t="shared" si="3"/>
        <v>-163624</v>
      </c>
      <c r="F212" s="212"/>
      <c r="G212" s="214" t="s">
        <v>498</v>
      </c>
      <c r="H212" s="232">
        <v>0</v>
      </c>
      <c r="I212" s="233">
        <v>209209</v>
      </c>
    </row>
    <row r="213" spans="1:9">
      <c r="A213" s="212"/>
      <c r="B213" s="214" t="s">
        <v>412</v>
      </c>
      <c r="C213" s="220">
        <v>55060</v>
      </c>
      <c r="D213" s="221">
        <v>55060</v>
      </c>
      <c r="E213" s="288">
        <f t="shared" si="3"/>
        <v>9475</v>
      </c>
      <c r="F213" s="212"/>
      <c r="G213" s="214" t="s">
        <v>505</v>
      </c>
      <c r="H213" s="232">
        <v>0</v>
      </c>
      <c r="I213" s="233">
        <v>45585</v>
      </c>
    </row>
    <row r="214" spans="1:9">
      <c r="A214" s="212"/>
      <c r="B214" s="214" t="s">
        <v>241</v>
      </c>
      <c r="C214" s="220">
        <v>120800</v>
      </c>
      <c r="D214" s="221">
        <v>120800</v>
      </c>
      <c r="E214" s="288">
        <f t="shared" si="3"/>
        <v>65740</v>
      </c>
      <c r="F214" s="212"/>
      <c r="G214" s="214" t="s">
        <v>412</v>
      </c>
      <c r="H214" s="232">
        <v>0</v>
      </c>
      <c r="I214" s="233">
        <v>55060</v>
      </c>
    </row>
    <row r="215" spans="1:9">
      <c r="A215" s="212"/>
      <c r="B215" s="214" t="s">
        <v>274</v>
      </c>
      <c r="C215" s="220">
        <v>5000</v>
      </c>
      <c r="D215" s="221">
        <v>5000</v>
      </c>
      <c r="E215" s="288">
        <f t="shared" si="3"/>
        <v>-115800</v>
      </c>
      <c r="F215" s="212"/>
      <c r="G215" s="214" t="s">
        <v>241</v>
      </c>
      <c r="H215" s="232">
        <v>0</v>
      </c>
      <c r="I215" s="233">
        <v>120800</v>
      </c>
    </row>
    <row r="216" spans="1:9">
      <c r="A216" s="212"/>
      <c r="B216" s="214" t="s">
        <v>235</v>
      </c>
      <c r="C216" s="220">
        <v>2750</v>
      </c>
      <c r="D216" s="221">
        <v>2750</v>
      </c>
      <c r="E216" s="288">
        <f t="shared" si="3"/>
        <v>-2250</v>
      </c>
      <c r="F216" s="212"/>
      <c r="G216" s="214" t="s">
        <v>274</v>
      </c>
      <c r="H216" s="232">
        <v>0</v>
      </c>
      <c r="I216" s="233">
        <v>5000</v>
      </c>
    </row>
    <row r="217" spans="1:9">
      <c r="A217" s="212"/>
      <c r="B217" s="214" t="s">
        <v>233</v>
      </c>
      <c r="C217" s="220">
        <v>32000</v>
      </c>
      <c r="D217" s="221">
        <v>32000</v>
      </c>
      <c r="E217" s="288">
        <f t="shared" si="3"/>
        <v>29250</v>
      </c>
      <c r="F217" s="212"/>
      <c r="G217" s="214" t="s">
        <v>235</v>
      </c>
      <c r="H217" s="232">
        <v>0</v>
      </c>
      <c r="I217" s="233">
        <v>2750</v>
      </c>
    </row>
    <row r="218" spans="1:9">
      <c r="A218" s="212"/>
      <c r="B218" s="214" t="s">
        <v>359</v>
      </c>
      <c r="C218" s="220">
        <v>5000</v>
      </c>
      <c r="D218" s="221">
        <v>5000</v>
      </c>
      <c r="E218" s="288">
        <f t="shared" si="3"/>
        <v>-27000</v>
      </c>
      <c r="F218" s="212"/>
      <c r="G218" s="214" t="s">
        <v>233</v>
      </c>
      <c r="H218" s="232">
        <v>0</v>
      </c>
      <c r="I218" s="233">
        <v>32000</v>
      </c>
    </row>
    <row r="219" spans="1:9">
      <c r="A219" s="212"/>
      <c r="B219" s="214" t="s">
        <v>231</v>
      </c>
      <c r="C219" s="220">
        <v>459747</v>
      </c>
      <c r="D219" s="221">
        <v>459747</v>
      </c>
      <c r="E219" s="288">
        <f t="shared" si="3"/>
        <v>454747</v>
      </c>
      <c r="F219" s="212"/>
      <c r="G219" s="214" t="s">
        <v>359</v>
      </c>
      <c r="H219" s="232">
        <v>0</v>
      </c>
      <c r="I219" s="233">
        <v>5000</v>
      </c>
    </row>
    <row r="220" spans="1:9">
      <c r="A220" s="212"/>
      <c r="B220" s="214" t="s">
        <v>354</v>
      </c>
      <c r="C220" s="220">
        <v>25032</v>
      </c>
      <c r="D220" s="221">
        <v>25032</v>
      </c>
      <c r="E220" s="288">
        <f t="shared" si="3"/>
        <v>-434715</v>
      </c>
      <c r="F220" s="212"/>
      <c r="G220" s="214" t="s">
        <v>231</v>
      </c>
      <c r="H220" s="232">
        <v>0</v>
      </c>
      <c r="I220" s="233">
        <v>459747</v>
      </c>
    </row>
    <row r="221" spans="1:9">
      <c r="A221" s="212"/>
      <c r="B221" s="214" t="s">
        <v>232</v>
      </c>
      <c r="C221" s="220">
        <v>339195</v>
      </c>
      <c r="D221" s="221">
        <v>339195</v>
      </c>
      <c r="E221" s="288">
        <f t="shared" si="3"/>
        <v>314163</v>
      </c>
      <c r="F221" s="212"/>
      <c r="G221" s="214" t="s">
        <v>354</v>
      </c>
      <c r="H221" s="232">
        <v>0</v>
      </c>
      <c r="I221" s="233">
        <v>25032</v>
      </c>
    </row>
    <row r="222" spans="1:9">
      <c r="A222" s="209" t="s">
        <v>297</v>
      </c>
      <c r="B222" s="210"/>
      <c r="C222" s="218">
        <v>1493915</v>
      </c>
      <c r="D222" s="219">
        <v>1493915</v>
      </c>
      <c r="E222" s="288">
        <f t="shared" si="3"/>
        <v>1154720</v>
      </c>
      <c r="F222" s="212"/>
      <c r="G222" s="214" t="s">
        <v>232</v>
      </c>
      <c r="H222" s="232">
        <v>0</v>
      </c>
      <c r="I222" s="233">
        <v>339195</v>
      </c>
    </row>
    <row r="223" spans="1:9">
      <c r="A223" s="209" t="s">
        <v>100</v>
      </c>
      <c r="B223" s="209" t="s">
        <v>242</v>
      </c>
      <c r="C223" s="218">
        <v>149635</v>
      </c>
      <c r="D223" s="219">
        <v>149635</v>
      </c>
      <c r="E223" s="288">
        <f t="shared" si="3"/>
        <v>-1344280</v>
      </c>
      <c r="F223" s="209" t="s">
        <v>297</v>
      </c>
      <c r="G223" s="210"/>
      <c r="H223" s="230">
        <v>0</v>
      </c>
      <c r="I223" s="231">
        <v>1493915</v>
      </c>
    </row>
    <row r="224" spans="1:9">
      <c r="A224" s="209" t="s">
        <v>298</v>
      </c>
      <c r="B224" s="210"/>
      <c r="C224" s="218">
        <v>149635</v>
      </c>
      <c r="D224" s="219">
        <v>149635</v>
      </c>
      <c r="E224" s="288">
        <f t="shared" si="3"/>
        <v>0</v>
      </c>
      <c r="F224" s="209" t="s">
        <v>275</v>
      </c>
      <c r="G224" s="209" t="s">
        <v>242</v>
      </c>
      <c r="H224" s="230">
        <v>0</v>
      </c>
      <c r="I224" s="231">
        <v>149635</v>
      </c>
    </row>
    <row r="225" spans="1:9">
      <c r="A225" s="209" t="s">
        <v>101</v>
      </c>
      <c r="B225" s="209" t="s">
        <v>242</v>
      </c>
      <c r="C225" s="218">
        <v>95435</v>
      </c>
      <c r="D225" s="219">
        <v>95435</v>
      </c>
      <c r="E225" s="288">
        <f t="shared" si="3"/>
        <v>-54200</v>
      </c>
      <c r="F225" s="209" t="s">
        <v>316</v>
      </c>
      <c r="G225" s="210"/>
      <c r="H225" s="230">
        <v>0</v>
      </c>
      <c r="I225" s="231">
        <v>149635</v>
      </c>
    </row>
    <row r="226" spans="1:9">
      <c r="A226" s="209" t="s">
        <v>317</v>
      </c>
      <c r="B226" s="210"/>
      <c r="C226" s="218">
        <v>95435</v>
      </c>
      <c r="D226" s="219">
        <v>95435</v>
      </c>
      <c r="E226" s="288">
        <f t="shared" si="3"/>
        <v>0</v>
      </c>
      <c r="F226" s="209" t="s">
        <v>321</v>
      </c>
      <c r="G226" s="209" t="s">
        <v>242</v>
      </c>
      <c r="H226" s="230">
        <v>0</v>
      </c>
      <c r="I226" s="231">
        <v>95435</v>
      </c>
    </row>
    <row r="227" spans="1:9">
      <c r="A227" s="209" t="s">
        <v>102</v>
      </c>
      <c r="B227" s="209" t="s">
        <v>268</v>
      </c>
      <c r="C227" s="218">
        <v>10000</v>
      </c>
      <c r="D227" s="219">
        <v>10000</v>
      </c>
      <c r="E227" s="288">
        <f t="shared" si="3"/>
        <v>-85435</v>
      </c>
      <c r="F227" s="209" t="s">
        <v>325</v>
      </c>
      <c r="G227" s="210"/>
      <c r="H227" s="230">
        <v>0</v>
      </c>
      <c r="I227" s="231">
        <v>95435</v>
      </c>
    </row>
    <row r="228" spans="1:9">
      <c r="A228" s="212"/>
      <c r="B228" s="214" t="s">
        <v>240</v>
      </c>
      <c r="C228" s="220">
        <v>263720</v>
      </c>
      <c r="D228" s="221">
        <v>263720</v>
      </c>
      <c r="E228" s="288">
        <f t="shared" si="3"/>
        <v>253720</v>
      </c>
      <c r="F228" s="209" t="s">
        <v>102</v>
      </c>
      <c r="G228" s="209" t="s">
        <v>268</v>
      </c>
      <c r="H228" s="230">
        <v>0</v>
      </c>
      <c r="I228" s="231">
        <v>10000</v>
      </c>
    </row>
    <row r="229" spans="1:9">
      <c r="A229" s="212"/>
      <c r="B229" s="214" t="s">
        <v>497</v>
      </c>
      <c r="C229" s="220">
        <v>6076</v>
      </c>
      <c r="D229" s="221">
        <v>6076</v>
      </c>
      <c r="E229" s="288">
        <f t="shared" si="3"/>
        <v>-257644</v>
      </c>
      <c r="F229" s="212"/>
      <c r="G229" s="214" t="s">
        <v>240</v>
      </c>
      <c r="H229" s="232">
        <v>0</v>
      </c>
      <c r="I229" s="233">
        <v>263720</v>
      </c>
    </row>
    <row r="230" spans="1:9">
      <c r="A230" s="212"/>
      <c r="B230" s="214" t="s">
        <v>498</v>
      </c>
      <c r="C230" s="220">
        <v>338564</v>
      </c>
      <c r="D230" s="221">
        <v>338564</v>
      </c>
      <c r="E230" s="288">
        <f t="shared" si="3"/>
        <v>332488</v>
      </c>
      <c r="F230" s="212"/>
      <c r="G230" s="214" t="s">
        <v>497</v>
      </c>
      <c r="H230" s="232">
        <v>0</v>
      </c>
      <c r="I230" s="233">
        <v>6076</v>
      </c>
    </row>
    <row r="231" spans="1:9">
      <c r="A231" s="212"/>
      <c r="B231" s="214" t="s">
        <v>505</v>
      </c>
      <c r="C231" s="220">
        <v>71148</v>
      </c>
      <c r="D231" s="221">
        <v>71148</v>
      </c>
      <c r="E231" s="288">
        <f t="shared" si="3"/>
        <v>-267416</v>
      </c>
      <c r="F231" s="212"/>
      <c r="G231" s="214" t="s">
        <v>498</v>
      </c>
      <c r="H231" s="232">
        <v>0</v>
      </c>
      <c r="I231" s="233">
        <v>338564</v>
      </c>
    </row>
    <row r="232" spans="1:9">
      <c r="A232" s="212"/>
      <c r="B232" s="214" t="s">
        <v>241</v>
      </c>
      <c r="C232" s="220">
        <v>15100</v>
      </c>
      <c r="D232" s="221">
        <v>15100</v>
      </c>
      <c r="E232" s="288">
        <f t="shared" si="3"/>
        <v>-56048</v>
      </c>
      <c r="F232" s="212"/>
      <c r="G232" s="214" t="s">
        <v>505</v>
      </c>
      <c r="H232" s="232">
        <v>0</v>
      </c>
      <c r="I232" s="233">
        <v>71148</v>
      </c>
    </row>
    <row r="233" spans="1:9">
      <c r="A233" s="212"/>
      <c r="B233" s="214" t="s">
        <v>274</v>
      </c>
      <c r="C233" s="220">
        <v>5000</v>
      </c>
      <c r="D233" s="221">
        <v>5000</v>
      </c>
      <c r="E233" s="288">
        <f t="shared" si="3"/>
        <v>-10100</v>
      </c>
      <c r="F233" s="212"/>
      <c r="G233" s="214" t="s">
        <v>241</v>
      </c>
      <c r="H233" s="232">
        <v>0</v>
      </c>
      <c r="I233" s="233">
        <v>15100</v>
      </c>
    </row>
    <row r="234" spans="1:9">
      <c r="A234" s="212"/>
      <c r="B234" s="214" t="s">
        <v>242</v>
      </c>
      <c r="C234" s="220">
        <v>144635</v>
      </c>
      <c r="D234" s="221">
        <v>144635</v>
      </c>
      <c r="E234" s="288">
        <f t="shared" si="3"/>
        <v>139635</v>
      </c>
      <c r="F234" s="212"/>
      <c r="G234" s="214" t="s">
        <v>274</v>
      </c>
      <c r="H234" s="232">
        <v>0</v>
      </c>
      <c r="I234" s="233">
        <v>5000</v>
      </c>
    </row>
    <row r="235" spans="1:9">
      <c r="A235" s="212"/>
      <c r="B235" s="214" t="s">
        <v>233</v>
      </c>
      <c r="C235" s="220">
        <v>16000</v>
      </c>
      <c r="D235" s="221">
        <v>16000</v>
      </c>
      <c r="E235" s="288">
        <f t="shared" si="3"/>
        <v>-128635</v>
      </c>
      <c r="F235" s="212"/>
      <c r="G235" s="214" t="s">
        <v>242</v>
      </c>
      <c r="H235" s="232">
        <v>0</v>
      </c>
      <c r="I235" s="233">
        <v>144635</v>
      </c>
    </row>
    <row r="236" spans="1:9">
      <c r="A236" s="212"/>
      <c r="B236" s="214" t="s">
        <v>231</v>
      </c>
      <c r="C236" s="220">
        <v>243055</v>
      </c>
      <c r="D236" s="221">
        <v>243055</v>
      </c>
      <c r="E236" s="288">
        <f t="shared" si="3"/>
        <v>227055</v>
      </c>
      <c r="F236" s="212"/>
      <c r="G236" s="214" t="s">
        <v>233</v>
      </c>
      <c r="H236" s="232">
        <v>0</v>
      </c>
      <c r="I236" s="233">
        <v>16000</v>
      </c>
    </row>
    <row r="237" spans="1:9">
      <c r="A237" s="212"/>
      <c r="B237" s="214" t="s">
        <v>232</v>
      </c>
      <c r="C237" s="220">
        <v>365228</v>
      </c>
      <c r="D237" s="221">
        <v>365228</v>
      </c>
      <c r="E237" s="288">
        <f t="shared" si="3"/>
        <v>122173</v>
      </c>
      <c r="F237" s="212"/>
      <c r="G237" s="214" t="s">
        <v>231</v>
      </c>
      <c r="H237" s="232">
        <v>0</v>
      </c>
      <c r="I237" s="233">
        <v>243055</v>
      </c>
    </row>
    <row r="238" spans="1:9">
      <c r="A238" s="209" t="s">
        <v>299</v>
      </c>
      <c r="B238" s="210"/>
      <c r="C238" s="218">
        <v>1478526</v>
      </c>
      <c r="D238" s="219">
        <v>1478526</v>
      </c>
      <c r="E238" s="288">
        <f t="shared" si="3"/>
        <v>1113298</v>
      </c>
      <c r="F238" s="212"/>
      <c r="G238" s="214" t="s">
        <v>232</v>
      </c>
      <c r="H238" s="232">
        <v>0</v>
      </c>
      <c r="I238" s="233">
        <v>365228</v>
      </c>
    </row>
    <row r="239" spans="1:9">
      <c r="A239" s="209" t="s">
        <v>103</v>
      </c>
      <c r="B239" s="209" t="s">
        <v>240</v>
      </c>
      <c r="C239" s="218">
        <v>470460</v>
      </c>
      <c r="D239" s="219">
        <v>470460</v>
      </c>
      <c r="E239" s="288">
        <f t="shared" si="3"/>
        <v>-1008066</v>
      </c>
      <c r="F239" s="209" t="s">
        <v>299</v>
      </c>
      <c r="G239" s="210"/>
      <c r="H239" s="230">
        <v>0</v>
      </c>
      <c r="I239" s="231">
        <v>1478526</v>
      </c>
    </row>
    <row r="240" spans="1:9">
      <c r="A240" s="212"/>
      <c r="B240" s="214" t="s">
        <v>497</v>
      </c>
      <c r="C240" s="220">
        <v>6076</v>
      </c>
      <c r="D240" s="221">
        <v>6076</v>
      </c>
      <c r="E240" s="288">
        <f t="shared" si="3"/>
        <v>-464384</v>
      </c>
      <c r="F240" s="209" t="s">
        <v>322</v>
      </c>
      <c r="G240" s="209" t="s">
        <v>240</v>
      </c>
      <c r="H240" s="230">
        <v>0</v>
      </c>
      <c r="I240" s="231">
        <v>470460</v>
      </c>
    </row>
    <row r="241" spans="1:9">
      <c r="A241" s="212"/>
      <c r="B241" s="214" t="s">
        <v>498</v>
      </c>
      <c r="C241" s="220">
        <v>247953</v>
      </c>
      <c r="D241" s="221">
        <v>247953</v>
      </c>
      <c r="E241" s="288">
        <f t="shared" si="3"/>
        <v>241877</v>
      </c>
      <c r="F241" s="212"/>
      <c r="G241" s="214" t="s">
        <v>497</v>
      </c>
      <c r="H241" s="232">
        <v>0</v>
      </c>
      <c r="I241" s="233">
        <v>6076</v>
      </c>
    </row>
    <row r="242" spans="1:9">
      <c r="A242" s="212"/>
      <c r="B242" s="214" t="s">
        <v>505</v>
      </c>
      <c r="C242" s="220">
        <v>59009</v>
      </c>
      <c r="D242" s="221">
        <v>59009</v>
      </c>
      <c r="E242" s="288">
        <f t="shared" si="3"/>
        <v>-188944</v>
      </c>
      <c r="F242" s="212"/>
      <c r="G242" s="214" t="s">
        <v>498</v>
      </c>
      <c r="H242" s="232">
        <v>0</v>
      </c>
      <c r="I242" s="233">
        <v>247953</v>
      </c>
    </row>
    <row r="243" spans="1:9">
      <c r="A243" s="212"/>
      <c r="B243" s="214" t="s">
        <v>242</v>
      </c>
      <c r="C243" s="220">
        <v>149635</v>
      </c>
      <c r="D243" s="221">
        <v>149635</v>
      </c>
      <c r="E243" s="288">
        <f t="shared" si="3"/>
        <v>90626</v>
      </c>
      <c r="F243" s="212"/>
      <c r="G243" s="214" t="s">
        <v>505</v>
      </c>
      <c r="H243" s="232">
        <v>0</v>
      </c>
      <c r="I243" s="233">
        <v>59009</v>
      </c>
    </row>
    <row r="244" spans="1:9">
      <c r="A244" s="212"/>
      <c r="B244" s="214" t="s">
        <v>231</v>
      </c>
      <c r="C244" s="220">
        <v>219476</v>
      </c>
      <c r="D244" s="221">
        <v>219476</v>
      </c>
      <c r="E244" s="288">
        <f t="shared" si="3"/>
        <v>69841</v>
      </c>
      <c r="F244" s="212"/>
      <c r="G244" s="214" t="s">
        <v>242</v>
      </c>
      <c r="H244" s="232">
        <v>0</v>
      </c>
      <c r="I244" s="233">
        <v>149635</v>
      </c>
    </row>
    <row r="245" spans="1:9">
      <c r="A245" s="212"/>
      <c r="B245" s="214" t="s">
        <v>232</v>
      </c>
      <c r="C245" s="220">
        <v>195854</v>
      </c>
      <c r="D245" s="221">
        <v>195854</v>
      </c>
      <c r="E245" s="288">
        <f t="shared" si="3"/>
        <v>-23622</v>
      </c>
      <c r="F245" s="212"/>
      <c r="G245" s="214" t="s">
        <v>231</v>
      </c>
      <c r="H245" s="232">
        <v>0</v>
      </c>
      <c r="I245" s="233">
        <v>219476</v>
      </c>
    </row>
    <row r="246" spans="1:9">
      <c r="A246" s="209" t="s">
        <v>300</v>
      </c>
      <c r="B246" s="210"/>
      <c r="C246" s="218">
        <v>1348463</v>
      </c>
      <c r="D246" s="219">
        <v>1348463</v>
      </c>
      <c r="E246" s="288">
        <f t="shared" si="3"/>
        <v>1152609</v>
      </c>
      <c r="F246" s="212"/>
      <c r="G246" s="214" t="s">
        <v>232</v>
      </c>
      <c r="H246" s="232">
        <v>0</v>
      </c>
      <c r="I246" s="233">
        <v>195854</v>
      </c>
    </row>
    <row r="247" spans="1:9">
      <c r="A247" s="209" t="s">
        <v>104</v>
      </c>
      <c r="B247" s="209" t="s">
        <v>240</v>
      </c>
      <c r="C247" s="218">
        <v>246011</v>
      </c>
      <c r="D247" s="219">
        <v>246011</v>
      </c>
      <c r="E247" s="288">
        <f t="shared" si="3"/>
        <v>-1102452</v>
      </c>
      <c r="F247" s="209" t="s">
        <v>326</v>
      </c>
      <c r="G247" s="210"/>
      <c r="H247" s="230">
        <v>0</v>
      </c>
      <c r="I247" s="231">
        <v>1348463</v>
      </c>
    </row>
    <row r="248" spans="1:9">
      <c r="A248" s="212"/>
      <c r="B248" s="214" t="s">
        <v>497</v>
      </c>
      <c r="C248" s="220">
        <v>6076</v>
      </c>
      <c r="D248" s="221">
        <v>6076</v>
      </c>
      <c r="E248" s="288">
        <f t="shared" si="3"/>
        <v>-239935</v>
      </c>
      <c r="F248" s="209" t="s">
        <v>104</v>
      </c>
      <c r="G248" s="209" t="s">
        <v>240</v>
      </c>
      <c r="H248" s="230">
        <v>0</v>
      </c>
      <c r="I248" s="231">
        <v>246011</v>
      </c>
    </row>
    <row r="249" spans="1:9">
      <c r="A249" s="212"/>
      <c r="B249" s="214" t="s">
        <v>498</v>
      </c>
      <c r="C249" s="220">
        <v>95282</v>
      </c>
      <c r="D249" s="221">
        <v>95282</v>
      </c>
      <c r="E249" s="288">
        <f t="shared" si="3"/>
        <v>89206</v>
      </c>
      <c r="F249" s="212"/>
      <c r="G249" s="214" t="s">
        <v>497</v>
      </c>
      <c r="H249" s="232">
        <v>0</v>
      </c>
      <c r="I249" s="233">
        <v>6076</v>
      </c>
    </row>
    <row r="250" spans="1:9">
      <c r="A250" s="212"/>
      <c r="B250" s="214" t="s">
        <v>231</v>
      </c>
      <c r="C250" s="220">
        <v>66670</v>
      </c>
      <c r="D250" s="221">
        <v>66670</v>
      </c>
      <c r="E250" s="288">
        <f t="shared" si="3"/>
        <v>-28612</v>
      </c>
      <c r="F250" s="212"/>
      <c r="G250" s="214" t="s">
        <v>498</v>
      </c>
      <c r="H250" s="232">
        <v>0</v>
      </c>
      <c r="I250" s="233">
        <v>95282</v>
      </c>
    </row>
    <row r="251" spans="1:9">
      <c r="A251" s="212"/>
      <c r="B251" s="214" t="s">
        <v>232</v>
      </c>
      <c r="C251" s="220">
        <v>204712</v>
      </c>
      <c r="D251" s="221">
        <v>204712</v>
      </c>
      <c r="E251" s="288">
        <f t="shared" si="3"/>
        <v>138042</v>
      </c>
      <c r="F251" s="212"/>
      <c r="G251" s="214" t="s">
        <v>231</v>
      </c>
      <c r="H251" s="232">
        <v>0</v>
      </c>
      <c r="I251" s="233">
        <v>66670</v>
      </c>
    </row>
    <row r="252" spans="1:9">
      <c r="A252" s="209" t="s">
        <v>301</v>
      </c>
      <c r="B252" s="210"/>
      <c r="C252" s="218">
        <v>618751</v>
      </c>
      <c r="D252" s="219">
        <v>618751</v>
      </c>
      <c r="E252" s="288">
        <f t="shared" si="3"/>
        <v>414039</v>
      </c>
      <c r="F252" s="212"/>
      <c r="G252" s="214" t="s">
        <v>232</v>
      </c>
      <c r="H252" s="232">
        <v>0</v>
      </c>
      <c r="I252" s="233">
        <v>204712</v>
      </c>
    </row>
    <row r="253" spans="1:9">
      <c r="A253" s="209" t="s">
        <v>105</v>
      </c>
      <c r="B253" s="209" t="s">
        <v>240</v>
      </c>
      <c r="C253" s="218">
        <v>392391</v>
      </c>
      <c r="D253" s="219">
        <v>392391</v>
      </c>
      <c r="E253" s="288">
        <f t="shared" si="3"/>
        <v>-226360</v>
      </c>
      <c r="F253" s="209" t="s">
        <v>301</v>
      </c>
      <c r="G253" s="210"/>
      <c r="H253" s="230">
        <v>0</v>
      </c>
      <c r="I253" s="231">
        <v>618751</v>
      </c>
    </row>
    <row r="254" spans="1:9">
      <c r="A254" s="212"/>
      <c r="B254" s="214" t="s">
        <v>497</v>
      </c>
      <c r="C254" s="220">
        <v>5563</v>
      </c>
      <c r="D254" s="221">
        <v>5563</v>
      </c>
      <c r="E254" s="288">
        <f t="shared" si="3"/>
        <v>-386828</v>
      </c>
      <c r="F254" s="209" t="s">
        <v>105</v>
      </c>
      <c r="G254" s="209" t="s">
        <v>240</v>
      </c>
      <c r="H254" s="230">
        <v>0</v>
      </c>
      <c r="I254" s="231">
        <v>392391</v>
      </c>
    </row>
    <row r="255" spans="1:9">
      <c r="A255" s="212"/>
      <c r="B255" s="214" t="s">
        <v>498</v>
      </c>
      <c r="C255" s="220">
        <v>192126</v>
      </c>
      <c r="D255" s="221">
        <v>192126</v>
      </c>
      <c r="E255" s="288">
        <f t="shared" si="3"/>
        <v>186563</v>
      </c>
      <c r="F255" s="212"/>
      <c r="G255" s="214" t="s">
        <v>497</v>
      </c>
      <c r="H255" s="232">
        <v>0</v>
      </c>
      <c r="I255" s="233">
        <v>5563</v>
      </c>
    </row>
    <row r="256" spans="1:9">
      <c r="A256" s="212"/>
      <c r="B256" s="214" t="s">
        <v>505</v>
      </c>
      <c r="C256" s="220">
        <v>42231</v>
      </c>
      <c r="D256" s="221">
        <v>42231</v>
      </c>
      <c r="E256" s="288">
        <f t="shared" si="3"/>
        <v>-149895</v>
      </c>
      <c r="F256" s="212"/>
      <c r="G256" s="214" t="s">
        <v>498</v>
      </c>
      <c r="H256" s="232">
        <v>0</v>
      </c>
      <c r="I256" s="233">
        <v>192126</v>
      </c>
    </row>
    <row r="257" spans="1:9">
      <c r="A257" s="212"/>
      <c r="B257" s="214" t="s">
        <v>235</v>
      </c>
      <c r="C257" s="220">
        <v>27000</v>
      </c>
      <c r="D257" s="221">
        <v>27000</v>
      </c>
      <c r="E257" s="288">
        <f t="shared" si="3"/>
        <v>-15231</v>
      </c>
      <c r="F257" s="212"/>
      <c r="G257" s="214" t="s">
        <v>505</v>
      </c>
      <c r="H257" s="232">
        <v>0</v>
      </c>
      <c r="I257" s="233">
        <v>42231</v>
      </c>
    </row>
    <row r="258" spans="1:9">
      <c r="A258" s="212"/>
      <c r="B258" s="214" t="s">
        <v>231</v>
      </c>
      <c r="C258" s="220">
        <v>213877</v>
      </c>
      <c r="D258" s="221">
        <v>213877</v>
      </c>
      <c r="E258" s="288">
        <f t="shared" si="3"/>
        <v>186877</v>
      </c>
      <c r="F258" s="212"/>
      <c r="G258" s="214" t="s">
        <v>235</v>
      </c>
      <c r="H258" s="232">
        <v>0</v>
      </c>
      <c r="I258" s="233">
        <v>27000</v>
      </c>
    </row>
    <row r="259" spans="1:9">
      <c r="A259" s="212"/>
      <c r="B259" s="214" t="s">
        <v>506</v>
      </c>
      <c r="C259" s="220">
        <v>40285</v>
      </c>
      <c r="D259" s="221">
        <v>40285</v>
      </c>
      <c r="E259" s="288">
        <f t="shared" si="3"/>
        <v>-173592</v>
      </c>
      <c r="F259" s="212"/>
      <c r="G259" s="214" t="s">
        <v>231</v>
      </c>
      <c r="H259" s="232">
        <v>0</v>
      </c>
      <c r="I259" s="233">
        <v>213877</v>
      </c>
    </row>
    <row r="260" spans="1:9">
      <c r="A260" s="212"/>
      <c r="B260" s="214" t="s">
        <v>232</v>
      </c>
      <c r="C260" s="220">
        <v>250355</v>
      </c>
      <c r="D260" s="221">
        <v>250355</v>
      </c>
      <c r="E260" s="288">
        <f t="shared" ref="E260:E323" si="4">D260-I260</f>
        <v>210070</v>
      </c>
      <c r="F260" s="212"/>
      <c r="G260" s="214" t="s">
        <v>506</v>
      </c>
      <c r="H260" s="232">
        <v>0</v>
      </c>
      <c r="I260" s="233">
        <v>40285</v>
      </c>
    </row>
    <row r="261" spans="1:9">
      <c r="A261" s="209" t="s">
        <v>302</v>
      </c>
      <c r="B261" s="210"/>
      <c r="C261" s="218">
        <v>1163828</v>
      </c>
      <c r="D261" s="219">
        <v>1163828</v>
      </c>
      <c r="E261" s="288">
        <f t="shared" si="4"/>
        <v>913473</v>
      </c>
      <c r="F261" s="212"/>
      <c r="G261" s="214" t="s">
        <v>232</v>
      </c>
      <c r="H261" s="232">
        <v>0</v>
      </c>
      <c r="I261" s="233">
        <v>250355</v>
      </c>
    </row>
    <row r="262" spans="1:9">
      <c r="A262" s="209" t="s">
        <v>81</v>
      </c>
      <c r="B262" s="209" t="s">
        <v>240</v>
      </c>
      <c r="C262" s="218">
        <v>370369</v>
      </c>
      <c r="D262" s="219">
        <v>370369</v>
      </c>
      <c r="E262" s="288">
        <f t="shared" si="4"/>
        <v>-793459</v>
      </c>
      <c r="F262" s="209" t="s">
        <v>302</v>
      </c>
      <c r="G262" s="210"/>
      <c r="H262" s="230">
        <v>0</v>
      </c>
      <c r="I262" s="231">
        <v>1163828</v>
      </c>
    </row>
    <row r="263" spans="1:9">
      <c r="A263" s="212"/>
      <c r="B263" s="214" t="s">
        <v>497</v>
      </c>
      <c r="C263" s="220">
        <v>6076</v>
      </c>
      <c r="D263" s="221">
        <v>6076</v>
      </c>
      <c r="E263" s="288">
        <f t="shared" si="4"/>
        <v>-364293</v>
      </c>
      <c r="F263" s="209" t="s">
        <v>81</v>
      </c>
      <c r="G263" s="209" t="s">
        <v>240</v>
      </c>
      <c r="H263" s="230">
        <v>0</v>
      </c>
      <c r="I263" s="231">
        <v>370369</v>
      </c>
    </row>
    <row r="264" spans="1:9">
      <c r="A264" s="212"/>
      <c r="B264" s="214" t="s">
        <v>498</v>
      </c>
      <c r="C264" s="220">
        <v>146197</v>
      </c>
      <c r="D264" s="221">
        <v>146197</v>
      </c>
      <c r="E264" s="288">
        <f t="shared" si="4"/>
        <v>140121</v>
      </c>
      <c r="F264" s="212"/>
      <c r="G264" s="214" t="s">
        <v>497</v>
      </c>
      <c r="H264" s="232">
        <v>0</v>
      </c>
      <c r="I264" s="233">
        <v>6076</v>
      </c>
    </row>
    <row r="265" spans="1:9">
      <c r="A265" s="212"/>
      <c r="B265" s="214" t="s">
        <v>505</v>
      </c>
      <c r="C265" s="220">
        <v>28943</v>
      </c>
      <c r="D265" s="221">
        <v>28943</v>
      </c>
      <c r="E265" s="288">
        <f t="shared" si="4"/>
        <v>-117254</v>
      </c>
      <c r="F265" s="212"/>
      <c r="G265" s="214" t="s">
        <v>498</v>
      </c>
      <c r="H265" s="232">
        <v>0</v>
      </c>
      <c r="I265" s="233">
        <v>146197</v>
      </c>
    </row>
    <row r="266" spans="1:9">
      <c r="A266" s="212"/>
      <c r="B266" s="214" t="s">
        <v>412</v>
      </c>
      <c r="C266" s="220">
        <v>60000</v>
      </c>
      <c r="D266" s="221">
        <v>60000</v>
      </c>
      <c r="E266" s="288">
        <f t="shared" si="4"/>
        <v>31057</v>
      </c>
      <c r="F266" s="212"/>
      <c r="G266" s="214" t="s">
        <v>505</v>
      </c>
      <c r="H266" s="232">
        <v>0</v>
      </c>
      <c r="I266" s="233">
        <v>28943</v>
      </c>
    </row>
    <row r="267" spans="1:9">
      <c r="A267" s="212"/>
      <c r="B267" s="214" t="s">
        <v>241</v>
      </c>
      <c r="C267" s="220">
        <v>15100</v>
      </c>
      <c r="D267" s="221">
        <v>15100</v>
      </c>
      <c r="E267" s="288">
        <f t="shared" si="4"/>
        <v>-44900</v>
      </c>
      <c r="F267" s="212"/>
      <c r="G267" s="214" t="s">
        <v>412</v>
      </c>
      <c r="H267" s="232">
        <v>0</v>
      </c>
      <c r="I267" s="233">
        <v>60000</v>
      </c>
    </row>
    <row r="268" spans="1:9">
      <c r="A268" s="212"/>
      <c r="B268" s="214" t="s">
        <v>234</v>
      </c>
      <c r="C268" s="220">
        <v>15000</v>
      </c>
      <c r="D268" s="221">
        <v>15000</v>
      </c>
      <c r="E268" s="288">
        <f t="shared" si="4"/>
        <v>-100</v>
      </c>
      <c r="F268" s="212"/>
      <c r="G268" s="214" t="s">
        <v>241</v>
      </c>
      <c r="H268" s="232">
        <v>0</v>
      </c>
      <c r="I268" s="233">
        <v>15100</v>
      </c>
    </row>
    <row r="269" spans="1:9">
      <c r="A269" s="212"/>
      <c r="B269" s="214" t="s">
        <v>233</v>
      </c>
      <c r="C269" s="220">
        <v>16000</v>
      </c>
      <c r="D269" s="221">
        <v>16000</v>
      </c>
      <c r="E269" s="288">
        <f t="shared" si="4"/>
        <v>1000</v>
      </c>
      <c r="F269" s="212"/>
      <c r="G269" s="214" t="s">
        <v>234</v>
      </c>
      <c r="H269" s="232">
        <v>0</v>
      </c>
      <c r="I269" s="233">
        <v>15000</v>
      </c>
    </row>
    <row r="270" spans="1:9">
      <c r="A270" s="212"/>
      <c r="B270" s="214" t="s">
        <v>231</v>
      </c>
      <c r="C270" s="220">
        <v>378342</v>
      </c>
      <c r="D270" s="221">
        <v>378342</v>
      </c>
      <c r="E270" s="288">
        <f t="shared" si="4"/>
        <v>362342</v>
      </c>
      <c r="F270" s="212"/>
      <c r="G270" s="214" t="s">
        <v>233</v>
      </c>
      <c r="H270" s="232">
        <v>0</v>
      </c>
      <c r="I270" s="233">
        <v>16000</v>
      </c>
    </row>
    <row r="271" spans="1:9">
      <c r="A271" s="212"/>
      <c r="B271" s="214" t="s">
        <v>506</v>
      </c>
      <c r="C271" s="220">
        <v>51235</v>
      </c>
      <c r="D271" s="221">
        <v>51235</v>
      </c>
      <c r="E271" s="288">
        <f t="shared" si="4"/>
        <v>-327107</v>
      </c>
      <c r="F271" s="212"/>
      <c r="G271" s="214" t="s">
        <v>231</v>
      </c>
      <c r="H271" s="232">
        <v>0</v>
      </c>
      <c r="I271" s="233">
        <v>378342</v>
      </c>
    </row>
    <row r="272" spans="1:9">
      <c r="A272" s="212"/>
      <c r="B272" s="214" t="s">
        <v>232</v>
      </c>
      <c r="C272" s="220">
        <v>387019</v>
      </c>
      <c r="D272" s="221">
        <v>387019</v>
      </c>
      <c r="E272" s="288">
        <f t="shared" si="4"/>
        <v>335784</v>
      </c>
      <c r="F272" s="212"/>
      <c r="G272" s="214" t="s">
        <v>506</v>
      </c>
      <c r="H272" s="232">
        <v>0</v>
      </c>
      <c r="I272" s="233">
        <v>51235</v>
      </c>
    </row>
    <row r="273" spans="1:9">
      <c r="A273" s="209" t="s">
        <v>303</v>
      </c>
      <c r="B273" s="210"/>
      <c r="C273" s="218">
        <v>1474281</v>
      </c>
      <c r="D273" s="219">
        <v>1474281</v>
      </c>
      <c r="E273" s="288">
        <f t="shared" si="4"/>
        <v>1087262</v>
      </c>
      <c r="F273" s="212"/>
      <c r="G273" s="214" t="s">
        <v>232</v>
      </c>
      <c r="H273" s="232">
        <v>0</v>
      </c>
      <c r="I273" s="233">
        <v>387019</v>
      </c>
    </row>
    <row r="274" spans="1:9">
      <c r="A274" s="209" t="s">
        <v>106</v>
      </c>
      <c r="B274" s="209" t="s">
        <v>240</v>
      </c>
      <c r="C274" s="218">
        <v>159756</v>
      </c>
      <c r="D274" s="219">
        <v>159756</v>
      </c>
      <c r="E274" s="288">
        <f t="shared" si="4"/>
        <v>-1314525</v>
      </c>
      <c r="F274" s="209" t="s">
        <v>303</v>
      </c>
      <c r="G274" s="210"/>
      <c r="H274" s="230">
        <v>0</v>
      </c>
      <c r="I274" s="231">
        <v>1474281</v>
      </c>
    </row>
    <row r="275" spans="1:9">
      <c r="A275" s="212"/>
      <c r="B275" s="214" t="s">
        <v>497</v>
      </c>
      <c r="C275" s="220">
        <v>6076</v>
      </c>
      <c r="D275" s="221">
        <v>6076</v>
      </c>
      <c r="E275" s="288">
        <f t="shared" si="4"/>
        <v>-153680</v>
      </c>
      <c r="F275" s="209" t="s">
        <v>106</v>
      </c>
      <c r="G275" s="209" t="s">
        <v>240</v>
      </c>
      <c r="H275" s="230">
        <v>0</v>
      </c>
      <c r="I275" s="231">
        <v>159756</v>
      </c>
    </row>
    <row r="276" spans="1:9">
      <c r="A276" s="212"/>
      <c r="B276" s="214" t="s">
        <v>498</v>
      </c>
      <c r="C276" s="220">
        <v>96835</v>
      </c>
      <c r="D276" s="221">
        <v>96835</v>
      </c>
      <c r="E276" s="288">
        <f t="shared" si="4"/>
        <v>90759</v>
      </c>
      <c r="F276" s="212"/>
      <c r="G276" s="214" t="s">
        <v>497</v>
      </c>
      <c r="H276" s="232">
        <v>0</v>
      </c>
      <c r="I276" s="233">
        <v>6076</v>
      </c>
    </row>
    <row r="277" spans="1:9">
      <c r="A277" s="212"/>
      <c r="B277" s="214" t="s">
        <v>241</v>
      </c>
      <c r="C277" s="220">
        <v>37750</v>
      </c>
      <c r="D277" s="221">
        <v>37750</v>
      </c>
      <c r="E277" s="288">
        <f t="shared" si="4"/>
        <v>-59085</v>
      </c>
      <c r="F277" s="212"/>
      <c r="G277" s="214" t="s">
        <v>498</v>
      </c>
      <c r="H277" s="232">
        <v>0</v>
      </c>
      <c r="I277" s="233">
        <v>96835</v>
      </c>
    </row>
    <row r="278" spans="1:9">
      <c r="A278" s="212"/>
      <c r="B278" s="214" t="s">
        <v>231</v>
      </c>
      <c r="C278" s="220">
        <v>173885</v>
      </c>
      <c r="D278" s="221">
        <v>173885</v>
      </c>
      <c r="E278" s="288">
        <f t="shared" si="4"/>
        <v>136135</v>
      </c>
      <c r="F278" s="212"/>
      <c r="G278" s="214" t="s">
        <v>241</v>
      </c>
      <c r="H278" s="232">
        <v>0</v>
      </c>
      <c r="I278" s="233">
        <v>37750</v>
      </c>
    </row>
    <row r="279" spans="1:9">
      <c r="A279" s="212"/>
      <c r="B279" s="214" t="s">
        <v>506</v>
      </c>
      <c r="C279" s="220">
        <v>51235</v>
      </c>
      <c r="D279" s="221">
        <v>51235</v>
      </c>
      <c r="E279" s="288">
        <f t="shared" si="4"/>
        <v>-122650</v>
      </c>
      <c r="F279" s="212"/>
      <c r="G279" s="214" t="s">
        <v>231</v>
      </c>
      <c r="H279" s="232">
        <v>0</v>
      </c>
      <c r="I279" s="233">
        <v>173885</v>
      </c>
    </row>
    <row r="280" spans="1:9">
      <c r="A280" s="212"/>
      <c r="B280" s="214" t="s">
        <v>232</v>
      </c>
      <c r="C280" s="220">
        <v>367403</v>
      </c>
      <c r="D280" s="221">
        <v>367403</v>
      </c>
      <c r="E280" s="288">
        <f t="shared" si="4"/>
        <v>316168</v>
      </c>
      <c r="F280" s="212"/>
      <c r="G280" s="214" t="s">
        <v>506</v>
      </c>
      <c r="H280" s="232">
        <v>0</v>
      </c>
      <c r="I280" s="233">
        <v>51235</v>
      </c>
    </row>
    <row r="281" spans="1:9">
      <c r="A281" s="209" t="s">
        <v>304</v>
      </c>
      <c r="B281" s="210"/>
      <c r="C281" s="218">
        <v>892940</v>
      </c>
      <c r="D281" s="219">
        <v>892940</v>
      </c>
      <c r="E281" s="288">
        <f t="shared" si="4"/>
        <v>525537</v>
      </c>
      <c r="F281" s="212"/>
      <c r="G281" s="214" t="s">
        <v>232</v>
      </c>
      <c r="H281" s="232">
        <v>0</v>
      </c>
      <c r="I281" s="233">
        <v>367403</v>
      </c>
    </row>
    <row r="282" spans="1:9">
      <c r="A282" s="209" t="s">
        <v>107</v>
      </c>
      <c r="B282" s="209" t="s">
        <v>240</v>
      </c>
      <c r="C282" s="218">
        <v>1434702</v>
      </c>
      <c r="D282" s="219">
        <v>1434702</v>
      </c>
      <c r="E282" s="288">
        <f t="shared" si="4"/>
        <v>541762</v>
      </c>
      <c r="F282" s="209" t="s">
        <v>304</v>
      </c>
      <c r="G282" s="210"/>
      <c r="H282" s="230">
        <v>0</v>
      </c>
      <c r="I282" s="231">
        <v>892940</v>
      </c>
    </row>
    <row r="283" spans="1:9">
      <c r="A283" s="212"/>
      <c r="B283" s="214" t="s">
        <v>497</v>
      </c>
      <c r="C283" s="220">
        <v>5563</v>
      </c>
      <c r="D283" s="221">
        <v>5563</v>
      </c>
      <c r="E283" s="288">
        <f t="shared" si="4"/>
        <v>-1429139</v>
      </c>
      <c r="F283" s="209" t="s">
        <v>323</v>
      </c>
      <c r="G283" s="209" t="s">
        <v>240</v>
      </c>
      <c r="H283" s="230">
        <v>0</v>
      </c>
      <c r="I283" s="231">
        <v>1434702</v>
      </c>
    </row>
    <row r="284" spans="1:9">
      <c r="A284" s="212"/>
      <c r="B284" s="214" t="s">
        <v>498</v>
      </c>
      <c r="C284" s="220">
        <v>260368</v>
      </c>
      <c r="D284" s="221">
        <v>260368</v>
      </c>
      <c r="E284" s="288">
        <f t="shared" si="4"/>
        <v>254805</v>
      </c>
      <c r="F284" s="212"/>
      <c r="G284" s="214" t="s">
        <v>497</v>
      </c>
      <c r="H284" s="232">
        <v>0</v>
      </c>
      <c r="I284" s="233">
        <v>5563</v>
      </c>
    </row>
    <row r="285" spans="1:9">
      <c r="A285" s="212"/>
      <c r="B285" s="214" t="s">
        <v>505</v>
      </c>
      <c r="C285" s="220">
        <v>58268</v>
      </c>
      <c r="D285" s="221">
        <v>58268</v>
      </c>
      <c r="E285" s="288">
        <f t="shared" si="4"/>
        <v>-202100</v>
      </c>
      <c r="F285" s="212"/>
      <c r="G285" s="214" t="s">
        <v>498</v>
      </c>
      <c r="H285" s="232">
        <v>0</v>
      </c>
      <c r="I285" s="233">
        <v>260368</v>
      </c>
    </row>
    <row r="286" spans="1:9">
      <c r="A286" s="212"/>
      <c r="B286" s="214" t="s">
        <v>269</v>
      </c>
      <c r="C286" s="220">
        <v>137094</v>
      </c>
      <c r="D286" s="221">
        <v>137094</v>
      </c>
      <c r="E286" s="288">
        <f t="shared" si="4"/>
        <v>78826</v>
      </c>
      <c r="F286" s="212"/>
      <c r="G286" s="214" t="s">
        <v>505</v>
      </c>
      <c r="H286" s="232">
        <v>0</v>
      </c>
      <c r="I286" s="233">
        <v>58268</v>
      </c>
    </row>
    <row r="287" spans="1:9">
      <c r="A287" s="212"/>
      <c r="B287" s="214" t="s">
        <v>231</v>
      </c>
      <c r="C287" s="220">
        <v>190202</v>
      </c>
      <c r="D287" s="221">
        <v>190202</v>
      </c>
      <c r="E287" s="288">
        <f t="shared" si="4"/>
        <v>53108</v>
      </c>
      <c r="F287" s="212"/>
      <c r="G287" s="214" t="s">
        <v>269</v>
      </c>
      <c r="H287" s="232">
        <v>0</v>
      </c>
      <c r="I287" s="233">
        <v>137094</v>
      </c>
    </row>
    <row r="288" spans="1:9">
      <c r="A288" s="212"/>
      <c r="B288" s="214" t="s">
        <v>506</v>
      </c>
      <c r="C288" s="220">
        <v>51235</v>
      </c>
      <c r="D288" s="221">
        <v>51235</v>
      </c>
      <c r="E288" s="288">
        <f t="shared" si="4"/>
        <v>-138967</v>
      </c>
      <c r="F288" s="212"/>
      <c r="G288" s="214" t="s">
        <v>231</v>
      </c>
      <c r="H288" s="232">
        <v>0</v>
      </c>
      <c r="I288" s="233">
        <v>190202</v>
      </c>
    </row>
    <row r="289" spans="1:9">
      <c r="A289" s="212"/>
      <c r="B289" s="214" t="s">
        <v>232</v>
      </c>
      <c r="C289" s="220">
        <v>297484</v>
      </c>
      <c r="D289" s="221">
        <v>297484</v>
      </c>
      <c r="E289" s="288">
        <f t="shared" si="4"/>
        <v>246249</v>
      </c>
      <c r="F289" s="212"/>
      <c r="G289" s="214" t="s">
        <v>506</v>
      </c>
      <c r="H289" s="232">
        <v>0</v>
      </c>
      <c r="I289" s="233">
        <v>51235</v>
      </c>
    </row>
    <row r="290" spans="1:9">
      <c r="A290" s="209" t="s">
        <v>305</v>
      </c>
      <c r="B290" s="210"/>
      <c r="C290" s="218">
        <v>2434916</v>
      </c>
      <c r="D290" s="219">
        <v>2434916</v>
      </c>
      <c r="E290" s="288">
        <f t="shared" si="4"/>
        <v>2137432</v>
      </c>
      <c r="F290" s="212"/>
      <c r="G290" s="214" t="s">
        <v>232</v>
      </c>
      <c r="H290" s="232">
        <v>0</v>
      </c>
      <c r="I290" s="233">
        <v>297484</v>
      </c>
    </row>
    <row r="291" spans="1:9">
      <c r="A291" s="209" t="s">
        <v>82</v>
      </c>
      <c r="B291" s="209" t="s">
        <v>240</v>
      </c>
      <c r="C291" s="218">
        <v>584887</v>
      </c>
      <c r="D291" s="219">
        <v>584887</v>
      </c>
      <c r="E291" s="288">
        <f t="shared" si="4"/>
        <v>-1850029</v>
      </c>
      <c r="F291" s="209" t="s">
        <v>327</v>
      </c>
      <c r="G291" s="210"/>
      <c r="H291" s="230">
        <v>0</v>
      </c>
      <c r="I291" s="231">
        <v>2434916</v>
      </c>
    </row>
    <row r="292" spans="1:9">
      <c r="A292" s="212"/>
      <c r="B292" s="214" t="s">
        <v>497</v>
      </c>
      <c r="C292" s="220">
        <v>9076</v>
      </c>
      <c r="D292" s="221">
        <v>9076</v>
      </c>
      <c r="E292" s="288">
        <f t="shared" si="4"/>
        <v>-575811</v>
      </c>
      <c r="F292" s="209" t="s">
        <v>82</v>
      </c>
      <c r="G292" s="209" t="s">
        <v>240</v>
      </c>
      <c r="H292" s="230">
        <v>0</v>
      </c>
      <c r="I292" s="231">
        <v>584887</v>
      </c>
    </row>
    <row r="293" spans="1:9">
      <c r="A293" s="212"/>
      <c r="B293" s="214" t="s">
        <v>498</v>
      </c>
      <c r="C293" s="220">
        <v>501991</v>
      </c>
      <c r="D293" s="221">
        <v>501991</v>
      </c>
      <c r="E293" s="288">
        <f t="shared" si="4"/>
        <v>492915</v>
      </c>
      <c r="F293" s="212"/>
      <c r="G293" s="214" t="s">
        <v>497</v>
      </c>
      <c r="H293" s="232">
        <v>0</v>
      </c>
      <c r="I293" s="233">
        <v>9076</v>
      </c>
    </row>
    <row r="294" spans="1:9">
      <c r="A294" s="212"/>
      <c r="B294" s="214" t="s">
        <v>505</v>
      </c>
      <c r="C294" s="220">
        <v>103550</v>
      </c>
      <c r="D294" s="221">
        <v>103550</v>
      </c>
      <c r="E294" s="288">
        <f t="shared" si="4"/>
        <v>-398441</v>
      </c>
      <c r="F294" s="212"/>
      <c r="G294" s="214" t="s">
        <v>498</v>
      </c>
      <c r="H294" s="232">
        <v>0</v>
      </c>
      <c r="I294" s="233">
        <v>501991</v>
      </c>
    </row>
    <row r="295" spans="1:9">
      <c r="A295" s="212"/>
      <c r="B295" s="214" t="s">
        <v>267</v>
      </c>
      <c r="C295" s="220">
        <v>1779716</v>
      </c>
      <c r="D295" s="221">
        <v>1779716</v>
      </c>
      <c r="E295" s="288">
        <f t="shared" si="4"/>
        <v>1676166</v>
      </c>
      <c r="F295" s="212"/>
      <c r="G295" s="214" t="s">
        <v>505</v>
      </c>
      <c r="H295" s="232">
        <v>0</v>
      </c>
      <c r="I295" s="233">
        <v>103550</v>
      </c>
    </row>
    <row r="296" spans="1:9">
      <c r="A296" s="212"/>
      <c r="B296" s="214" t="s">
        <v>242</v>
      </c>
      <c r="C296" s="220">
        <v>205870</v>
      </c>
      <c r="D296" s="221">
        <v>205870</v>
      </c>
      <c r="E296" s="288">
        <f t="shared" si="4"/>
        <v>-1573846</v>
      </c>
      <c r="F296" s="212"/>
      <c r="G296" s="214" t="s">
        <v>267</v>
      </c>
      <c r="H296" s="232">
        <v>0</v>
      </c>
      <c r="I296" s="233">
        <v>1779716</v>
      </c>
    </row>
    <row r="297" spans="1:9">
      <c r="A297" s="212"/>
      <c r="B297" s="214" t="s">
        <v>235</v>
      </c>
      <c r="C297" s="220">
        <v>49000</v>
      </c>
      <c r="D297" s="221">
        <v>49000</v>
      </c>
      <c r="E297" s="288">
        <f t="shared" si="4"/>
        <v>-156870</v>
      </c>
      <c r="F297" s="212"/>
      <c r="G297" s="214" t="s">
        <v>242</v>
      </c>
      <c r="H297" s="232">
        <v>0</v>
      </c>
      <c r="I297" s="233">
        <v>205870</v>
      </c>
    </row>
    <row r="298" spans="1:9">
      <c r="A298" s="212"/>
      <c r="B298" s="214" t="s">
        <v>359</v>
      </c>
      <c r="C298" s="220">
        <v>5000</v>
      </c>
      <c r="D298" s="221">
        <v>5000</v>
      </c>
      <c r="E298" s="288">
        <f t="shared" si="4"/>
        <v>-44000</v>
      </c>
      <c r="F298" s="212"/>
      <c r="G298" s="214" t="s">
        <v>235</v>
      </c>
      <c r="H298" s="232">
        <v>0</v>
      </c>
      <c r="I298" s="233">
        <v>49000</v>
      </c>
    </row>
    <row r="299" spans="1:9">
      <c r="A299" s="212"/>
      <c r="B299" s="214" t="s">
        <v>231</v>
      </c>
      <c r="C299" s="220">
        <v>991379</v>
      </c>
      <c r="D299" s="221">
        <v>991379</v>
      </c>
      <c r="E299" s="288">
        <f t="shared" si="4"/>
        <v>986379</v>
      </c>
      <c r="F299" s="212"/>
      <c r="G299" s="214" t="s">
        <v>359</v>
      </c>
      <c r="H299" s="232">
        <v>0</v>
      </c>
      <c r="I299" s="233">
        <v>5000</v>
      </c>
    </row>
    <row r="300" spans="1:9">
      <c r="A300" s="212"/>
      <c r="B300" s="214" t="s">
        <v>232</v>
      </c>
      <c r="C300" s="220">
        <v>1532619</v>
      </c>
      <c r="D300" s="221">
        <v>1532619</v>
      </c>
      <c r="E300" s="288">
        <f t="shared" si="4"/>
        <v>541240</v>
      </c>
      <c r="F300" s="212"/>
      <c r="G300" s="214" t="s">
        <v>231</v>
      </c>
      <c r="H300" s="232">
        <v>0</v>
      </c>
      <c r="I300" s="233">
        <v>991379</v>
      </c>
    </row>
    <row r="301" spans="1:9">
      <c r="A301" s="209" t="s">
        <v>306</v>
      </c>
      <c r="B301" s="210"/>
      <c r="C301" s="218">
        <v>5763088</v>
      </c>
      <c r="D301" s="219">
        <v>5763088</v>
      </c>
      <c r="E301" s="288">
        <f t="shared" si="4"/>
        <v>4230469</v>
      </c>
      <c r="F301" s="212"/>
      <c r="G301" s="214" t="s">
        <v>232</v>
      </c>
      <c r="H301" s="232">
        <v>0</v>
      </c>
      <c r="I301" s="233">
        <v>1532619</v>
      </c>
    </row>
    <row r="302" spans="1:9">
      <c r="A302" s="209" t="s">
        <v>109</v>
      </c>
      <c r="B302" s="209" t="s">
        <v>233</v>
      </c>
      <c r="C302" s="218">
        <v>16000</v>
      </c>
      <c r="D302" s="219">
        <v>16000</v>
      </c>
      <c r="E302" s="288">
        <f t="shared" si="4"/>
        <v>-5747088</v>
      </c>
      <c r="F302" s="209" t="s">
        <v>306</v>
      </c>
      <c r="G302" s="210"/>
      <c r="H302" s="230">
        <v>0</v>
      </c>
      <c r="I302" s="231">
        <v>5763088</v>
      </c>
    </row>
    <row r="303" spans="1:9">
      <c r="A303" s="209" t="s">
        <v>307</v>
      </c>
      <c r="B303" s="210"/>
      <c r="C303" s="218">
        <v>16000</v>
      </c>
      <c r="D303" s="219">
        <v>16000</v>
      </c>
      <c r="E303" s="288">
        <f t="shared" si="4"/>
        <v>0</v>
      </c>
      <c r="F303" s="209" t="s">
        <v>109</v>
      </c>
      <c r="G303" s="209" t="s">
        <v>233</v>
      </c>
      <c r="H303" s="230">
        <v>0</v>
      </c>
      <c r="I303" s="231">
        <v>16000</v>
      </c>
    </row>
    <row r="304" spans="1:9">
      <c r="A304" s="209" t="s">
        <v>111</v>
      </c>
      <c r="B304" s="209" t="s">
        <v>240</v>
      </c>
      <c r="C304" s="218">
        <v>262203</v>
      </c>
      <c r="D304" s="219">
        <v>262203</v>
      </c>
      <c r="E304" s="288">
        <f t="shared" si="4"/>
        <v>246203</v>
      </c>
      <c r="F304" s="209" t="s">
        <v>307</v>
      </c>
      <c r="G304" s="210"/>
      <c r="H304" s="230">
        <v>0</v>
      </c>
      <c r="I304" s="231">
        <v>16000</v>
      </c>
    </row>
    <row r="305" spans="1:9">
      <c r="A305" s="212"/>
      <c r="B305" s="214" t="s">
        <v>498</v>
      </c>
      <c r="C305" s="220">
        <v>143037</v>
      </c>
      <c r="D305" s="221">
        <v>143037</v>
      </c>
      <c r="E305" s="288">
        <f t="shared" si="4"/>
        <v>-119166</v>
      </c>
      <c r="F305" s="209" t="s">
        <v>111</v>
      </c>
      <c r="G305" s="209" t="s">
        <v>240</v>
      </c>
      <c r="H305" s="230">
        <v>0</v>
      </c>
      <c r="I305" s="231">
        <v>262203</v>
      </c>
    </row>
    <row r="306" spans="1:9">
      <c r="A306" s="212"/>
      <c r="B306" s="214" t="s">
        <v>505</v>
      </c>
      <c r="C306" s="220">
        <v>36714</v>
      </c>
      <c r="D306" s="221">
        <v>36714</v>
      </c>
      <c r="E306" s="288">
        <f t="shared" si="4"/>
        <v>-106323</v>
      </c>
      <c r="F306" s="212"/>
      <c r="G306" s="214" t="s">
        <v>498</v>
      </c>
      <c r="H306" s="232">
        <v>0</v>
      </c>
      <c r="I306" s="233">
        <v>143037</v>
      </c>
    </row>
    <row r="307" spans="1:9">
      <c r="A307" s="212"/>
      <c r="B307" s="214" t="s">
        <v>412</v>
      </c>
      <c r="C307" s="220">
        <v>59891</v>
      </c>
      <c r="D307" s="221">
        <v>59891</v>
      </c>
      <c r="E307" s="288">
        <f t="shared" si="4"/>
        <v>23177</v>
      </c>
      <c r="F307" s="212"/>
      <c r="G307" s="214" t="s">
        <v>505</v>
      </c>
      <c r="H307" s="232">
        <v>0</v>
      </c>
      <c r="I307" s="233">
        <v>36714</v>
      </c>
    </row>
    <row r="308" spans="1:9">
      <c r="A308" s="212"/>
      <c r="B308" s="214" t="s">
        <v>267</v>
      </c>
      <c r="C308" s="220">
        <v>1375460</v>
      </c>
      <c r="D308" s="221">
        <v>1375460</v>
      </c>
      <c r="E308" s="288">
        <f t="shared" si="4"/>
        <v>1315569</v>
      </c>
      <c r="F308" s="212"/>
      <c r="G308" s="214" t="s">
        <v>412</v>
      </c>
      <c r="H308" s="232">
        <v>0</v>
      </c>
      <c r="I308" s="233">
        <v>59891</v>
      </c>
    </row>
    <row r="309" spans="1:9">
      <c r="A309" s="212"/>
      <c r="B309" s="214" t="s">
        <v>274</v>
      </c>
      <c r="C309" s="220">
        <v>5000</v>
      </c>
      <c r="D309" s="221">
        <v>5000</v>
      </c>
      <c r="E309" s="288">
        <f t="shared" si="4"/>
        <v>-1370460</v>
      </c>
      <c r="F309" s="212"/>
      <c r="G309" s="214" t="s">
        <v>267</v>
      </c>
      <c r="H309" s="232">
        <v>0</v>
      </c>
      <c r="I309" s="233">
        <v>1375460</v>
      </c>
    </row>
    <row r="310" spans="1:9">
      <c r="A310" s="212"/>
      <c r="B310" s="214" t="s">
        <v>242</v>
      </c>
      <c r="C310" s="220">
        <v>154635</v>
      </c>
      <c r="D310" s="221">
        <v>154635</v>
      </c>
      <c r="E310" s="288">
        <f t="shared" si="4"/>
        <v>149635</v>
      </c>
      <c r="F310" s="212"/>
      <c r="G310" s="214" t="s">
        <v>274</v>
      </c>
      <c r="H310" s="232">
        <v>0</v>
      </c>
      <c r="I310" s="233">
        <v>5000</v>
      </c>
    </row>
    <row r="311" spans="1:9">
      <c r="A311" s="212"/>
      <c r="B311" s="214" t="s">
        <v>233</v>
      </c>
      <c r="C311" s="220">
        <v>16000</v>
      </c>
      <c r="D311" s="221">
        <v>16000</v>
      </c>
      <c r="E311" s="288">
        <f t="shared" si="4"/>
        <v>-138635</v>
      </c>
      <c r="F311" s="212"/>
      <c r="G311" s="214" t="s">
        <v>242</v>
      </c>
      <c r="H311" s="232">
        <v>0</v>
      </c>
      <c r="I311" s="233">
        <v>154635</v>
      </c>
    </row>
    <row r="312" spans="1:9">
      <c r="A312" s="212"/>
      <c r="B312" s="214" t="s">
        <v>231</v>
      </c>
      <c r="C312" s="220">
        <v>390961</v>
      </c>
      <c r="D312" s="221">
        <v>390961</v>
      </c>
      <c r="E312" s="288">
        <f t="shared" si="4"/>
        <v>374961</v>
      </c>
      <c r="F312" s="212"/>
      <c r="G312" s="214" t="s">
        <v>233</v>
      </c>
      <c r="H312" s="232">
        <v>0</v>
      </c>
      <c r="I312" s="233">
        <v>16000</v>
      </c>
    </row>
    <row r="313" spans="1:9">
      <c r="A313" s="212"/>
      <c r="B313" s="214" t="s">
        <v>429</v>
      </c>
      <c r="C313" s="220">
        <v>14500</v>
      </c>
      <c r="D313" s="221">
        <v>14500</v>
      </c>
      <c r="E313" s="288">
        <f t="shared" si="4"/>
        <v>-376461</v>
      </c>
      <c r="F313" s="212"/>
      <c r="G313" s="214" t="s">
        <v>231</v>
      </c>
      <c r="H313" s="232">
        <v>0</v>
      </c>
      <c r="I313" s="233">
        <v>390961</v>
      </c>
    </row>
    <row r="314" spans="1:9">
      <c r="A314" s="212"/>
      <c r="B314" s="214" t="s">
        <v>232</v>
      </c>
      <c r="C314" s="220">
        <v>625508</v>
      </c>
      <c r="D314" s="221">
        <v>625508</v>
      </c>
      <c r="E314" s="288">
        <f t="shared" si="4"/>
        <v>611008</v>
      </c>
      <c r="F314" s="212"/>
      <c r="G314" s="214" t="s">
        <v>429</v>
      </c>
      <c r="H314" s="232">
        <v>0</v>
      </c>
      <c r="I314" s="233">
        <v>14500</v>
      </c>
    </row>
    <row r="315" spans="1:9">
      <c r="A315" s="209" t="s">
        <v>308</v>
      </c>
      <c r="B315" s="210"/>
      <c r="C315" s="218">
        <v>3083909</v>
      </c>
      <c r="D315" s="219">
        <v>3083909</v>
      </c>
      <c r="E315" s="288">
        <f t="shared" si="4"/>
        <v>2458401</v>
      </c>
      <c r="F315" s="212"/>
      <c r="G315" s="214" t="s">
        <v>232</v>
      </c>
      <c r="H315" s="232">
        <v>0</v>
      </c>
      <c r="I315" s="233">
        <v>625508</v>
      </c>
    </row>
    <row r="316" spans="1:9">
      <c r="A316" s="209" t="s">
        <v>83</v>
      </c>
      <c r="B316" s="209" t="s">
        <v>240</v>
      </c>
      <c r="C316" s="218">
        <v>229837</v>
      </c>
      <c r="D316" s="219">
        <v>229837</v>
      </c>
      <c r="E316" s="288">
        <f t="shared" si="4"/>
        <v>-2854072</v>
      </c>
      <c r="F316" s="209" t="s">
        <v>308</v>
      </c>
      <c r="G316" s="210"/>
      <c r="H316" s="230">
        <v>0</v>
      </c>
      <c r="I316" s="231">
        <v>3083909</v>
      </c>
    </row>
    <row r="317" spans="1:9">
      <c r="A317" s="212"/>
      <c r="B317" s="214" t="s">
        <v>497</v>
      </c>
      <c r="C317" s="220">
        <v>5563</v>
      </c>
      <c r="D317" s="221">
        <v>5563</v>
      </c>
      <c r="E317" s="288">
        <f t="shared" si="4"/>
        <v>-224274</v>
      </c>
      <c r="F317" s="209" t="s">
        <v>83</v>
      </c>
      <c r="G317" s="209" t="s">
        <v>240</v>
      </c>
      <c r="H317" s="230">
        <v>0</v>
      </c>
      <c r="I317" s="231">
        <v>229837</v>
      </c>
    </row>
    <row r="318" spans="1:9">
      <c r="A318" s="212"/>
      <c r="B318" s="214" t="s">
        <v>498</v>
      </c>
      <c r="C318" s="220">
        <v>113971</v>
      </c>
      <c r="D318" s="221">
        <v>113971</v>
      </c>
      <c r="E318" s="288">
        <f t="shared" si="4"/>
        <v>108408</v>
      </c>
      <c r="F318" s="212"/>
      <c r="G318" s="214" t="s">
        <v>497</v>
      </c>
      <c r="H318" s="232">
        <v>0</v>
      </c>
      <c r="I318" s="233">
        <v>5563</v>
      </c>
    </row>
    <row r="319" spans="1:9">
      <c r="A319" s="212"/>
      <c r="B319" s="214" t="s">
        <v>505</v>
      </c>
      <c r="C319" s="220">
        <v>23328</v>
      </c>
      <c r="D319" s="221">
        <v>23328</v>
      </c>
      <c r="E319" s="288">
        <f t="shared" si="4"/>
        <v>-90643</v>
      </c>
      <c r="F319" s="212"/>
      <c r="G319" s="214" t="s">
        <v>498</v>
      </c>
      <c r="H319" s="232">
        <v>0</v>
      </c>
      <c r="I319" s="233">
        <v>113971</v>
      </c>
    </row>
    <row r="320" spans="1:9">
      <c r="A320" s="212"/>
      <c r="B320" s="214" t="s">
        <v>267</v>
      </c>
      <c r="C320" s="220">
        <v>6202351</v>
      </c>
      <c r="D320" s="221">
        <v>6202351</v>
      </c>
      <c r="E320" s="288">
        <f t="shared" si="4"/>
        <v>6179023</v>
      </c>
      <c r="F320" s="212"/>
      <c r="G320" s="214" t="s">
        <v>505</v>
      </c>
      <c r="H320" s="232">
        <v>0</v>
      </c>
      <c r="I320" s="233">
        <v>23328</v>
      </c>
    </row>
    <row r="321" spans="1:9">
      <c r="A321" s="212"/>
      <c r="B321" s="214" t="s">
        <v>242</v>
      </c>
      <c r="C321" s="220">
        <v>154635</v>
      </c>
      <c r="D321" s="221">
        <v>154635</v>
      </c>
      <c r="E321" s="288">
        <f t="shared" si="4"/>
        <v>-6047716</v>
      </c>
      <c r="F321" s="212"/>
      <c r="G321" s="214" t="s">
        <v>267</v>
      </c>
      <c r="H321" s="232">
        <v>0</v>
      </c>
      <c r="I321" s="233">
        <v>6202351</v>
      </c>
    </row>
    <row r="322" spans="1:9">
      <c r="A322" s="212"/>
      <c r="B322" s="214" t="s">
        <v>235</v>
      </c>
      <c r="C322" s="220">
        <v>1000</v>
      </c>
      <c r="D322" s="221">
        <v>1000</v>
      </c>
      <c r="E322" s="288">
        <f t="shared" si="4"/>
        <v>-153635</v>
      </c>
      <c r="F322" s="212"/>
      <c r="G322" s="214" t="s">
        <v>242</v>
      </c>
      <c r="H322" s="232">
        <v>0</v>
      </c>
      <c r="I322" s="233">
        <v>154635</v>
      </c>
    </row>
    <row r="323" spans="1:9">
      <c r="A323" s="212"/>
      <c r="B323" s="214" t="s">
        <v>233</v>
      </c>
      <c r="C323" s="220">
        <v>16000</v>
      </c>
      <c r="D323" s="221">
        <v>16000</v>
      </c>
      <c r="E323" s="288">
        <f t="shared" si="4"/>
        <v>15000</v>
      </c>
      <c r="F323" s="212"/>
      <c r="G323" s="214" t="s">
        <v>235</v>
      </c>
      <c r="H323" s="232">
        <v>0</v>
      </c>
      <c r="I323" s="233">
        <v>1000</v>
      </c>
    </row>
    <row r="324" spans="1:9">
      <c r="A324" s="212"/>
      <c r="B324" s="214" t="s">
        <v>231</v>
      </c>
      <c r="C324" s="220">
        <v>396718</v>
      </c>
      <c r="D324" s="221">
        <v>396718</v>
      </c>
      <c r="E324" s="288">
        <f t="shared" ref="E324:E356" si="5">D324-I324</f>
        <v>380718</v>
      </c>
      <c r="F324" s="212"/>
      <c r="G324" s="214" t="s">
        <v>233</v>
      </c>
      <c r="H324" s="232">
        <v>0</v>
      </c>
      <c r="I324" s="233">
        <v>16000</v>
      </c>
    </row>
    <row r="325" spans="1:9">
      <c r="A325" s="212"/>
      <c r="B325" s="214" t="s">
        <v>232</v>
      </c>
      <c r="C325" s="220">
        <v>245409</v>
      </c>
      <c r="D325" s="221">
        <v>245409</v>
      </c>
      <c r="E325" s="288">
        <f t="shared" si="5"/>
        <v>-151309</v>
      </c>
      <c r="F325" s="212"/>
      <c r="G325" s="214" t="s">
        <v>231</v>
      </c>
      <c r="H325" s="232">
        <v>0</v>
      </c>
      <c r="I325" s="233">
        <v>396718</v>
      </c>
    </row>
    <row r="326" spans="1:9">
      <c r="A326" s="209" t="s">
        <v>309</v>
      </c>
      <c r="B326" s="210"/>
      <c r="C326" s="218">
        <v>7388812</v>
      </c>
      <c r="D326" s="219">
        <v>7388812</v>
      </c>
      <c r="E326" s="288">
        <f t="shared" si="5"/>
        <v>7143403</v>
      </c>
      <c r="F326" s="212"/>
      <c r="G326" s="214" t="s">
        <v>232</v>
      </c>
      <c r="H326" s="232">
        <v>0</v>
      </c>
      <c r="I326" s="233">
        <v>245409</v>
      </c>
    </row>
    <row r="327" spans="1:9">
      <c r="A327" s="209" t="s">
        <v>112</v>
      </c>
      <c r="B327" s="209" t="s">
        <v>240</v>
      </c>
      <c r="C327" s="218">
        <v>113471</v>
      </c>
      <c r="D327" s="219">
        <v>113471</v>
      </c>
      <c r="E327" s="288">
        <f t="shared" si="5"/>
        <v>-7275341</v>
      </c>
      <c r="F327" s="209" t="s">
        <v>309</v>
      </c>
      <c r="G327" s="210"/>
      <c r="H327" s="230">
        <v>0</v>
      </c>
      <c r="I327" s="231">
        <v>7388812</v>
      </c>
    </row>
    <row r="328" spans="1:9">
      <c r="A328" s="212"/>
      <c r="B328" s="214" t="s">
        <v>497</v>
      </c>
      <c r="C328" s="220">
        <v>6076</v>
      </c>
      <c r="D328" s="221">
        <v>6076</v>
      </c>
      <c r="E328" s="288">
        <f t="shared" si="5"/>
        <v>-107395</v>
      </c>
      <c r="F328" s="209" t="s">
        <v>112</v>
      </c>
      <c r="G328" s="209" t="s">
        <v>240</v>
      </c>
      <c r="H328" s="230">
        <v>0</v>
      </c>
      <c r="I328" s="231">
        <v>113471</v>
      </c>
    </row>
    <row r="329" spans="1:9">
      <c r="A329" s="212"/>
      <c r="B329" s="214" t="s">
        <v>498</v>
      </c>
      <c r="C329" s="220">
        <v>85381</v>
      </c>
      <c r="D329" s="221">
        <v>85381</v>
      </c>
      <c r="E329" s="288">
        <f t="shared" si="5"/>
        <v>79305</v>
      </c>
      <c r="F329" s="212"/>
      <c r="G329" s="214" t="s">
        <v>497</v>
      </c>
      <c r="H329" s="232">
        <v>0</v>
      </c>
      <c r="I329" s="233">
        <v>6076</v>
      </c>
    </row>
    <row r="330" spans="1:9">
      <c r="A330" s="212"/>
      <c r="B330" s="214" t="s">
        <v>505</v>
      </c>
      <c r="C330" s="220">
        <v>18037</v>
      </c>
      <c r="D330" s="221">
        <v>18037</v>
      </c>
      <c r="E330" s="288">
        <f t="shared" si="5"/>
        <v>-67344</v>
      </c>
      <c r="F330" s="212"/>
      <c r="G330" s="214" t="s">
        <v>498</v>
      </c>
      <c r="H330" s="232">
        <v>0</v>
      </c>
      <c r="I330" s="233">
        <v>85381</v>
      </c>
    </row>
    <row r="331" spans="1:9">
      <c r="A331" s="212"/>
      <c r="B331" s="214" t="s">
        <v>242</v>
      </c>
      <c r="C331" s="220">
        <v>95435</v>
      </c>
      <c r="D331" s="221">
        <v>95435</v>
      </c>
      <c r="E331" s="288">
        <f t="shared" si="5"/>
        <v>77398</v>
      </c>
      <c r="F331" s="212"/>
      <c r="G331" s="214" t="s">
        <v>505</v>
      </c>
      <c r="H331" s="232">
        <v>0</v>
      </c>
      <c r="I331" s="233">
        <v>18037</v>
      </c>
    </row>
    <row r="332" spans="1:9">
      <c r="A332" s="212"/>
      <c r="B332" s="214" t="s">
        <v>359</v>
      </c>
      <c r="C332" s="220">
        <v>1915</v>
      </c>
      <c r="D332" s="221">
        <v>1915</v>
      </c>
      <c r="E332" s="288">
        <f t="shared" si="5"/>
        <v>-93520</v>
      </c>
      <c r="F332" s="212"/>
      <c r="G332" s="214" t="s">
        <v>242</v>
      </c>
      <c r="H332" s="232">
        <v>0</v>
      </c>
      <c r="I332" s="233">
        <v>95435</v>
      </c>
    </row>
    <row r="333" spans="1:9">
      <c r="A333" s="212"/>
      <c r="B333" s="214" t="s">
        <v>231</v>
      </c>
      <c r="C333" s="220">
        <v>241877</v>
      </c>
      <c r="D333" s="221">
        <v>241877</v>
      </c>
      <c r="E333" s="288">
        <f t="shared" si="5"/>
        <v>239962</v>
      </c>
      <c r="F333" s="212"/>
      <c r="G333" s="214" t="s">
        <v>359</v>
      </c>
      <c r="H333" s="232">
        <v>0</v>
      </c>
      <c r="I333" s="233">
        <v>1915</v>
      </c>
    </row>
    <row r="334" spans="1:9">
      <c r="A334" s="212"/>
      <c r="B334" s="214" t="s">
        <v>232</v>
      </c>
      <c r="C334" s="220">
        <v>200238</v>
      </c>
      <c r="D334" s="221">
        <v>200238</v>
      </c>
      <c r="E334" s="288">
        <f t="shared" si="5"/>
        <v>-41639</v>
      </c>
      <c r="F334" s="212"/>
      <c r="G334" s="214" t="s">
        <v>231</v>
      </c>
      <c r="H334" s="232">
        <v>0</v>
      </c>
      <c r="I334" s="233">
        <v>241877</v>
      </c>
    </row>
    <row r="335" spans="1:9">
      <c r="A335" s="209" t="s">
        <v>310</v>
      </c>
      <c r="B335" s="210"/>
      <c r="C335" s="218">
        <v>762430</v>
      </c>
      <c r="D335" s="219">
        <v>762430</v>
      </c>
      <c r="E335" s="288">
        <f t="shared" si="5"/>
        <v>562192</v>
      </c>
      <c r="F335" s="212"/>
      <c r="G335" s="214" t="s">
        <v>232</v>
      </c>
      <c r="H335" s="232">
        <v>0</v>
      </c>
      <c r="I335" s="233">
        <v>200238</v>
      </c>
    </row>
    <row r="336" spans="1:9">
      <c r="A336" s="209" t="s">
        <v>84</v>
      </c>
      <c r="B336" s="209" t="s">
        <v>240</v>
      </c>
      <c r="C336" s="218">
        <v>157996</v>
      </c>
      <c r="D336" s="219">
        <v>157996</v>
      </c>
      <c r="E336" s="288">
        <f t="shared" si="5"/>
        <v>-604434</v>
      </c>
      <c r="F336" s="209" t="s">
        <v>310</v>
      </c>
      <c r="G336" s="210"/>
      <c r="H336" s="230">
        <v>0</v>
      </c>
      <c r="I336" s="231">
        <v>762430</v>
      </c>
    </row>
    <row r="337" spans="1:9">
      <c r="A337" s="212"/>
      <c r="B337" s="214" t="s">
        <v>497</v>
      </c>
      <c r="C337" s="220">
        <v>5563</v>
      </c>
      <c r="D337" s="221">
        <v>5563</v>
      </c>
      <c r="E337" s="288">
        <f t="shared" si="5"/>
        <v>-152433</v>
      </c>
      <c r="F337" s="209" t="s">
        <v>84</v>
      </c>
      <c r="G337" s="209" t="s">
        <v>240</v>
      </c>
      <c r="H337" s="230">
        <v>0</v>
      </c>
      <c r="I337" s="231">
        <v>157996</v>
      </c>
    </row>
    <row r="338" spans="1:9">
      <c r="A338" s="212"/>
      <c r="B338" s="214" t="s">
        <v>498</v>
      </c>
      <c r="C338" s="220">
        <v>90901</v>
      </c>
      <c r="D338" s="221">
        <v>90901</v>
      </c>
      <c r="E338" s="288">
        <f t="shared" si="5"/>
        <v>85338</v>
      </c>
      <c r="F338" s="212"/>
      <c r="G338" s="214" t="s">
        <v>497</v>
      </c>
      <c r="H338" s="232">
        <v>0</v>
      </c>
      <c r="I338" s="233">
        <v>5563</v>
      </c>
    </row>
    <row r="339" spans="1:9">
      <c r="A339" s="212"/>
      <c r="B339" s="214" t="s">
        <v>505</v>
      </c>
      <c r="C339" s="220">
        <v>18797</v>
      </c>
      <c r="D339" s="221">
        <v>18797</v>
      </c>
      <c r="E339" s="288">
        <f t="shared" si="5"/>
        <v>-72104</v>
      </c>
      <c r="F339" s="212"/>
      <c r="G339" s="214" t="s">
        <v>498</v>
      </c>
      <c r="H339" s="232">
        <v>0</v>
      </c>
      <c r="I339" s="233">
        <v>90901</v>
      </c>
    </row>
    <row r="340" spans="1:9">
      <c r="A340" s="212"/>
      <c r="B340" s="214" t="s">
        <v>241</v>
      </c>
      <c r="C340" s="220">
        <v>30200</v>
      </c>
      <c r="D340" s="221">
        <v>30200</v>
      </c>
      <c r="E340" s="288">
        <f t="shared" si="5"/>
        <v>11403</v>
      </c>
      <c r="F340" s="212"/>
      <c r="G340" s="214" t="s">
        <v>505</v>
      </c>
      <c r="H340" s="232">
        <v>0</v>
      </c>
      <c r="I340" s="233">
        <v>18797</v>
      </c>
    </row>
    <row r="341" spans="1:9">
      <c r="A341" s="212"/>
      <c r="B341" s="214" t="s">
        <v>274</v>
      </c>
      <c r="C341" s="220">
        <v>10000</v>
      </c>
      <c r="D341" s="221">
        <v>10000</v>
      </c>
      <c r="E341" s="288">
        <f t="shared" si="5"/>
        <v>-20200</v>
      </c>
      <c r="F341" s="212"/>
      <c r="G341" s="214" t="s">
        <v>241</v>
      </c>
      <c r="H341" s="232">
        <v>0</v>
      </c>
      <c r="I341" s="233">
        <v>30200</v>
      </c>
    </row>
    <row r="342" spans="1:9">
      <c r="A342" s="212"/>
      <c r="B342" s="214" t="s">
        <v>244</v>
      </c>
      <c r="C342" s="220">
        <v>24000</v>
      </c>
      <c r="D342" s="221">
        <v>24000</v>
      </c>
      <c r="E342" s="288">
        <f t="shared" si="5"/>
        <v>14000</v>
      </c>
      <c r="F342" s="212"/>
      <c r="G342" s="214" t="s">
        <v>274</v>
      </c>
      <c r="H342" s="232">
        <v>0</v>
      </c>
      <c r="I342" s="233">
        <v>10000</v>
      </c>
    </row>
    <row r="343" spans="1:9">
      <c r="A343" s="212"/>
      <c r="B343" s="214" t="s">
        <v>234</v>
      </c>
      <c r="C343" s="220">
        <v>15000</v>
      </c>
      <c r="D343" s="221">
        <v>15000</v>
      </c>
      <c r="E343" s="288">
        <f t="shared" si="5"/>
        <v>-9000</v>
      </c>
      <c r="F343" s="212"/>
      <c r="G343" s="214" t="s">
        <v>244</v>
      </c>
      <c r="H343" s="232">
        <v>0</v>
      </c>
      <c r="I343" s="233">
        <v>24000</v>
      </c>
    </row>
    <row r="344" spans="1:9">
      <c r="A344" s="212"/>
      <c r="B344" s="214" t="s">
        <v>233</v>
      </c>
      <c r="C344" s="220">
        <v>16000</v>
      </c>
      <c r="D344" s="221">
        <v>16000</v>
      </c>
      <c r="E344" s="288">
        <f t="shared" si="5"/>
        <v>1000</v>
      </c>
      <c r="F344" s="212"/>
      <c r="G344" s="214" t="s">
        <v>234</v>
      </c>
      <c r="H344" s="232">
        <v>0</v>
      </c>
      <c r="I344" s="233">
        <v>15000</v>
      </c>
    </row>
    <row r="345" spans="1:9">
      <c r="A345" s="212"/>
      <c r="B345" s="214" t="s">
        <v>359</v>
      </c>
      <c r="C345" s="220">
        <v>5000</v>
      </c>
      <c r="D345" s="221">
        <v>5000</v>
      </c>
      <c r="E345" s="288">
        <f t="shared" si="5"/>
        <v>-11000</v>
      </c>
      <c r="F345" s="212"/>
      <c r="G345" s="214" t="s">
        <v>233</v>
      </c>
      <c r="H345" s="232">
        <v>0</v>
      </c>
      <c r="I345" s="233">
        <v>16000</v>
      </c>
    </row>
    <row r="346" spans="1:9">
      <c r="A346" s="212"/>
      <c r="B346" s="214" t="s">
        <v>231</v>
      </c>
      <c r="C346" s="220">
        <v>186572</v>
      </c>
      <c r="D346" s="221">
        <v>186572</v>
      </c>
      <c r="E346" s="288">
        <f t="shared" si="5"/>
        <v>181572</v>
      </c>
      <c r="F346" s="212"/>
      <c r="G346" s="214" t="s">
        <v>359</v>
      </c>
      <c r="H346" s="232">
        <v>0</v>
      </c>
      <c r="I346" s="233">
        <v>5000</v>
      </c>
    </row>
    <row r="347" spans="1:9">
      <c r="A347" s="212"/>
      <c r="B347" s="214" t="s">
        <v>506</v>
      </c>
      <c r="C347" s="220">
        <v>51235</v>
      </c>
      <c r="D347" s="221">
        <v>51235</v>
      </c>
      <c r="E347" s="288">
        <f t="shared" si="5"/>
        <v>-135337</v>
      </c>
      <c r="F347" s="212"/>
      <c r="G347" s="214" t="s">
        <v>231</v>
      </c>
      <c r="H347" s="232">
        <v>0</v>
      </c>
      <c r="I347" s="233">
        <v>186572</v>
      </c>
    </row>
    <row r="348" spans="1:9">
      <c r="A348" s="212"/>
      <c r="B348" s="214" t="s">
        <v>232</v>
      </c>
      <c r="C348" s="220">
        <v>157240</v>
      </c>
      <c r="D348" s="221">
        <v>157240</v>
      </c>
      <c r="E348" s="288">
        <f t="shared" si="5"/>
        <v>106005</v>
      </c>
      <c r="F348" s="212"/>
      <c r="G348" s="214" t="s">
        <v>506</v>
      </c>
      <c r="H348" s="232">
        <v>0</v>
      </c>
      <c r="I348" s="233">
        <v>51235</v>
      </c>
    </row>
    <row r="349" spans="1:9">
      <c r="A349" s="209" t="s">
        <v>311</v>
      </c>
      <c r="B349" s="210"/>
      <c r="C349" s="218">
        <v>768504</v>
      </c>
      <c r="D349" s="219">
        <v>768504</v>
      </c>
      <c r="E349" s="288">
        <f t="shared" si="5"/>
        <v>611264</v>
      </c>
      <c r="F349" s="212"/>
      <c r="G349" s="214" t="s">
        <v>232</v>
      </c>
      <c r="H349" s="232">
        <v>0</v>
      </c>
      <c r="I349" s="233">
        <v>157240</v>
      </c>
    </row>
    <row r="350" spans="1:9">
      <c r="A350" s="209" t="s">
        <v>85</v>
      </c>
      <c r="B350" s="209" t="s">
        <v>240</v>
      </c>
      <c r="C350" s="218">
        <v>114617</v>
      </c>
      <c r="D350" s="219">
        <v>114617</v>
      </c>
      <c r="E350" s="288">
        <f t="shared" si="5"/>
        <v>-653887</v>
      </c>
      <c r="F350" s="209" t="s">
        <v>311</v>
      </c>
      <c r="G350" s="210"/>
      <c r="H350" s="230">
        <v>0</v>
      </c>
      <c r="I350" s="231">
        <v>768504</v>
      </c>
    </row>
    <row r="351" spans="1:9">
      <c r="A351" s="212"/>
      <c r="B351" s="214" t="s">
        <v>497</v>
      </c>
      <c r="C351" s="220">
        <v>6588</v>
      </c>
      <c r="D351" s="221">
        <v>6588</v>
      </c>
      <c r="E351" s="288">
        <f t="shared" si="5"/>
        <v>-108029</v>
      </c>
      <c r="F351" s="209" t="s">
        <v>85</v>
      </c>
      <c r="G351" s="209" t="s">
        <v>240</v>
      </c>
      <c r="H351" s="230">
        <v>0</v>
      </c>
      <c r="I351" s="231">
        <v>114617</v>
      </c>
    </row>
    <row r="352" spans="1:9">
      <c r="A352" s="212"/>
      <c r="B352" s="214" t="s">
        <v>498</v>
      </c>
      <c r="C352" s="220">
        <v>230424</v>
      </c>
      <c r="D352" s="221">
        <v>230424</v>
      </c>
      <c r="E352" s="288">
        <f t="shared" si="5"/>
        <v>223836</v>
      </c>
      <c r="F352" s="212"/>
      <c r="G352" s="214" t="s">
        <v>497</v>
      </c>
      <c r="H352" s="232">
        <v>0</v>
      </c>
      <c r="I352" s="233">
        <v>6588</v>
      </c>
    </row>
    <row r="353" spans="1:9">
      <c r="A353" s="212"/>
      <c r="B353" s="214" t="s">
        <v>505</v>
      </c>
      <c r="C353" s="220">
        <v>44344</v>
      </c>
      <c r="D353" s="221">
        <v>44344</v>
      </c>
      <c r="E353" s="288">
        <f t="shared" si="5"/>
        <v>-186080</v>
      </c>
      <c r="F353" s="212"/>
      <c r="G353" s="214" t="s">
        <v>498</v>
      </c>
      <c r="H353" s="232">
        <v>0</v>
      </c>
      <c r="I353" s="233">
        <v>230424</v>
      </c>
    </row>
    <row r="354" spans="1:9">
      <c r="A354" s="212"/>
      <c r="B354" s="214" t="s">
        <v>412</v>
      </c>
      <c r="C354" s="220">
        <v>60000</v>
      </c>
      <c r="D354" s="221">
        <v>60000</v>
      </c>
      <c r="E354" s="288">
        <f t="shared" si="5"/>
        <v>15656</v>
      </c>
      <c r="F354" s="212"/>
      <c r="G354" s="214" t="s">
        <v>505</v>
      </c>
      <c r="H354" s="232">
        <v>0</v>
      </c>
      <c r="I354" s="233">
        <v>44344</v>
      </c>
    </row>
    <row r="355" spans="1:9">
      <c r="A355" s="212"/>
      <c r="B355" s="214" t="s">
        <v>241</v>
      </c>
      <c r="C355" s="220">
        <v>37750</v>
      </c>
      <c r="D355" s="221">
        <v>37750</v>
      </c>
      <c r="E355" s="288">
        <f t="shared" si="5"/>
        <v>-22250</v>
      </c>
      <c r="F355" s="212"/>
      <c r="G355" s="214" t="s">
        <v>412</v>
      </c>
      <c r="H355" s="232">
        <v>0</v>
      </c>
      <c r="I355" s="233">
        <v>60000</v>
      </c>
    </row>
    <row r="356" spans="1:9">
      <c r="A356" s="212"/>
      <c r="B356" s="214" t="s">
        <v>231</v>
      </c>
      <c r="C356" s="220">
        <v>465955</v>
      </c>
      <c r="D356" s="221">
        <v>465955</v>
      </c>
      <c r="E356" s="288">
        <f t="shared" si="5"/>
        <v>428205</v>
      </c>
      <c r="F356" s="212"/>
      <c r="G356" s="214" t="s">
        <v>241</v>
      </c>
      <c r="H356" s="232">
        <v>0</v>
      </c>
      <c r="I356" s="233">
        <v>37750</v>
      </c>
    </row>
    <row r="357" spans="1:9">
      <c r="A357" s="212"/>
      <c r="B357" s="214" t="s">
        <v>506</v>
      </c>
      <c r="C357" s="220">
        <v>51235</v>
      </c>
      <c r="D357" s="221">
        <v>51235</v>
      </c>
      <c r="F357" s="212"/>
      <c r="G357" s="214" t="s">
        <v>231</v>
      </c>
      <c r="H357" s="232">
        <v>0</v>
      </c>
      <c r="I357" s="233">
        <v>465955</v>
      </c>
    </row>
    <row r="358" spans="1:9">
      <c r="A358" s="212"/>
      <c r="B358" s="214" t="s">
        <v>232</v>
      </c>
      <c r="C358" s="220">
        <v>752970</v>
      </c>
      <c r="D358" s="221">
        <v>752970</v>
      </c>
      <c r="F358" s="212"/>
      <c r="G358" s="214" t="s">
        <v>506</v>
      </c>
      <c r="H358" s="232">
        <v>0</v>
      </c>
      <c r="I358" s="233">
        <v>51235</v>
      </c>
    </row>
    <row r="359" spans="1:9">
      <c r="A359" s="209" t="s">
        <v>312</v>
      </c>
      <c r="B359" s="210"/>
      <c r="C359" s="218">
        <v>1763883</v>
      </c>
      <c r="D359" s="219">
        <v>1763883</v>
      </c>
      <c r="F359" s="212"/>
      <c r="G359" s="214" t="s">
        <v>232</v>
      </c>
      <c r="H359" s="232">
        <v>0</v>
      </c>
      <c r="I359" s="233">
        <v>752970</v>
      </c>
    </row>
    <row r="360" spans="1:9">
      <c r="A360" s="215" t="s">
        <v>193</v>
      </c>
      <c r="B360" s="216"/>
      <c r="C360" s="222">
        <v>66069089</v>
      </c>
      <c r="D360" s="223">
        <v>66069089</v>
      </c>
      <c r="F360" s="209" t="s">
        <v>312</v>
      </c>
      <c r="G360" s="210"/>
      <c r="H360" s="230">
        <v>0</v>
      </c>
      <c r="I360" s="231">
        <v>1763883</v>
      </c>
    </row>
    <row r="361" spans="1:9">
      <c r="F361" s="209" t="s">
        <v>394</v>
      </c>
      <c r="G361" s="209" t="s">
        <v>394</v>
      </c>
      <c r="H361" s="230"/>
      <c r="I361" s="231">
        <v>66069089</v>
      </c>
    </row>
    <row r="362" spans="1:9">
      <c r="F362" s="209" t="s">
        <v>395</v>
      </c>
      <c r="G362" s="210"/>
      <c r="H362" s="230"/>
      <c r="I362" s="231">
        <v>66069089</v>
      </c>
    </row>
    <row r="363" spans="1:9">
      <c r="F363" s="215" t="s">
        <v>193</v>
      </c>
      <c r="G363" s="216"/>
      <c r="H363" s="234">
        <v>0</v>
      </c>
      <c r="I363" s="235">
        <v>132138178</v>
      </c>
    </row>
  </sheetData>
  <conditionalFormatting pivot="1">
    <cfRule type="cellIs" dxfId="194" priority="77" stopIfTrue="1" operator="notEqual">
      <formula>$I1</formula>
    </cfRule>
  </conditionalFormatting>
  <conditionalFormatting pivot="1" sqref="D3 D7:D9">
    <cfRule type="cellIs" dxfId="193" priority="76" stopIfTrue="1" operator="notEqual">
      <formula>$I3</formula>
    </cfRule>
  </conditionalFormatting>
  <conditionalFormatting pivot="1" sqref="D10">
    <cfRule type="cellIs" dxfId="192" priority="75" stopIfTrue="1" operator="notEqual">
      <formula>$I10</formula>
    </cfRule>
  </conditionalFormatting>
  <conditionalFormatting pivot="1">
    <cfRule type="cellIs" dxfId="191" priority="74" stopIfTrue="1" operator="notEqual">
      <formula>$I1</formula>
    </cfRule>
  </conditionalFormatting>
  <conditionalFormatting pivot="1">
    <cfRule type="cellIs" dxfId="190" priority="73" stopIfTrue="1" operator="notEqual">
      <formula>$I1</formula>
    </cfRule>
  </conditionalFormatting>
  <conditionalFormatting pivot="1">
    <cfRule type="cellIs" dxfId="189" priority="72" stopIfTrue="1" operator="notEqual">
      <formula>$I1</formula>
    </cfRule>
  </conditionalFormatting>
  <conditionalFormatting pivot="1">
    <cfRule type="cellIs" dxfId="188" priority="71" stopIfTrue="1" operator="notEqual">
      <formula>$I1</formula>
    </cfRule>
  </conditionalFormatting>
  <conditionalFormatting pivot="1">
    <cfRule type="cellIs" dxfId="187" priority="70" stopIfTrue="1" operator="notEqual">
      <formula>$I1</formula>
    </cfRule>
  </conditionalFormatting>
  <conditionalFormatting pivot="1">
    <cfRule type="cellIs" dxfId="186" priority="69" stopIfTrue="1" operator="notEqual">
      <formula>$I1</formula>
    </cfRule>
  </conditionalFormatting>
  <conditionalFormatting pivot="1">
    <cfRule type="cellIs" dxfId="185" priority="68" stopIfTrue="1" operator="notEqual">
      <formula>$I1</formula>
    </cfRule>
  </conditionalFormatting>
  <conditionalFormatting pivot="1">
    <cfRule type="cellIs" dxfId="184" priority="67" stopIfTrue="1" operator="notEqual">
      <formula>$I1</formula>
    </cfRule>
  </conditionalFormatting>
  <conditionalFormatting pivot="1">
    <cfRule type="cellIs" dxfId="183" priority="66" stopIfTrue="1" operator="notEqual">
      <formula>$I1</formula>
    </cfRule>
  </conditionalFormatting>
  <conditionalFormatting pivot="1">
    <cfRule type="cellIs" dxfId="182" priority="65" stopIfTrue="1" operator="notEqual">
      <formula>$I1</formula>
    </cfRule>
  </conditionalFormatting>
  <conditionalFormatting pivot="1">
    <cfRule type="cellIs" dxfId="181" priority="64" stopIfTrue="1" operator="notEqual">
      <formula>$I1</formula>
    </cfRule>
  </conditionalFormatting>
  <conditionalFormatting pivot="1">
    <cfRule type="cellIs" dxfId="180" priority="63" stopIfTrue="1" operator="notEqual">
      <formula>$I1</formula>
    </cfRule>
  </conditionalFormatting>
  <conditionalFormatting pivot="1">
    <cfRule type="cellIs" dxfId="179" priority="62" stopIfTrue="1" operator="notEqual">
      <formula>$I1</formula>
    </cfRule>
  </conditionalFormatting>
  <conditionalFormatting pivot="1">
    <cfRule type="cellIs" dxfId="178" priority="61" stopIfTrue="1" operator="notEqual">
      <formula>$I1</formula>
    </cfRule>
  </conditionalFormatting>
  <conditionalFormatting pivot="1">
    <cfRule type="cellIs" dxfId="177" priority="60" stopIfTrue="1" operator="notEqual">
      <formula>$I1</formula>
    </cfRule>
  </conditionalFormatting>
  <conditionalFormatting pivot="1">
    <cfRule type="cellIs" dxfId="176" priority="59" stopIfTrue="1" operator="notEqual">
      <formula>$I1</formula>
    </cfRule>
  </conditionalFormatting>
  <conditionalFormatting pivot="1">
    <cfRule type="cellIs" dxfId="175" priority="58" stopIfTrue="1" operator="notEqual">
      <formula>$I1</formula>
    </cfRule>
  </conditionalFormatting>
  <conditionalFormatting pivot="1">
    <cfRule type="cellIs" dxfId="174" priority="57" stopIfTrue="1" operator="notEqual">
      <formula>$I1</formula>
    </cfRule>
  </conditionalFormatting>
  <conditionalFormatting pivot="1" sqref="D209">
    <cfRule type="cellIs" dxfId="173" priority="56" stopIfTrue="1" operator="notEqual">
      <formula>$I209</formula>
    </cfRule>
  </conditionalFormatting>
  <conditionalFormatting pivot="1">
    <cfRule type="cellIs" dxfId="172" priority="55" stopIfTrue="1" operator="notEqual">
      <formula>$I1</formula>
    </cfRule>
  </conditionalFormatting>
  <conditionalFormatting pivot="1">
    <cfRule type="cellIs" dxfId="171" priority="54" stopIfTrue="1" operator="notEqual">
      <formula>$I1</formula>
    </cfRule>
  </conditionalFormatting>
  <conditionalFormatting pivot="1">
    <cfRule type="cellIs" dxfId="170" priority="53" stopIfTrue="1" operator="notEqual">
      <formula>$I1</formula>
    </cfRule>
  </conditionalFormatting>
  <conditionalFormatting pivot="1">
    <cfRule type="cellIs" dxfId="169" priority="52" stopIfTrue="1" operator="notEqual">
      <formula>$I1</formula>
    </cfRule>
  </conditionalFormatting>
  <conditionalFormatting pivot="1">
    <cfRule type="cellIs" dxfId="168" priority="51" stopIfTrue="1" operator="notEqual">
      <formula>$I1</formula>
    </cfRule>
  </conditionalFormatting>
  <conditionalFormatting pivot="1">
    <cfRule type="cellIs" dxfId="167" priority="49" stopIfTrue="1" operator="notEqual">
      <formula>$I1</formula>
    </cfRule>
  </conditionalFormatting>
  <conditionalFormatting pivot="1">
    <cfRule type="cellIs" dxfId="166" priority="48" stopIfTrue="1" operator="notEqual">
      <formula>$I1</formula>
    </cfRule>
  </conditionalFormatting>
  <conditionalFormatting pivot="1">
    <cfRule type="cellIs" dxfId="165" priority="47" stopIfTrue="1" operator="notEqual">
      <formula>$I1</formula>
    </cfRule>
  </conditionalFormatting>
  <conditionalFormatting pivot="1">
    <cfRule type="cellIs" dxfId="164" priority="46" stopIfTrue="1" operator="notEqual">
      <formula>$I1</formula>
    </cfRule>
  </conditionalFormatting>
  <conditionalFormatting pivot="1">
    <cfRule type="cellIs" dxfId="163" priority="45" stopIfTrue="1" operator="notEqual">
      <formula>$I1</formula>
    </cfRule>
  </conditionalFormatting>
  <conditionalFormatting pivot="1">
    <cfRule type="cellIs" dxfId="162" priority="44" stopIfTrue="1" operator="notEqual">
      <formula>$I1</formula>
    </cfRule>
  </conditionalFormatting>
  <conditionalFormatting pivot="1">
    <cfRule type="cellIs" dxfId="161" priority="43" stopIfTrue="1" operator="notEqual">
      <formula>$I1</formula>
    </cfRule>
  </conditionalFormatting>
  <conditionalFormatting pivot="1">
    <cfRule type="cellIs" dxfId="160" priority="42" stopIfTrue="1" operator="notEqual">
      <formula>$I1</formula>
    </cfRule>
  </conditionalFormatting>
  <conditionalFormatting pivot="1">
    <cfRule type="cellIs" dxfId="159" priority="41" stopIfTrue="1" operator="notEqual">
      <formula>$I1</formula>
    </cfRule>
  </conditionalFormatting>
  <conditionalFormatting pivot="1">
    <cfRule type="cellIs" dxfId="158" priority="40" stopIfTrue="1" operator="notEqual">
      <formula>$I1</formula>
    </cfRule>
  </conditionalFormatting>
  <conditionalFormatting pivot="1">
    <cfRule type="cellIs" dxfId="157" priority="39" stopIfTrue="1" operator="notEqual">
      <formula>$I1</formula>
    </cfRule>
  </conditionalFormatting>
  <conditionalFormatting pivot="1">
    <cfRule type="cellIs" dxfId="156" priority="38" stopIfTrue="1" operator="notEqual">
      <formula>$I1</formula>
    </cfRule>
  </conditionalFormatting>
  <conditionalFormatting pivot="1" sqref="D12 D16:D18 D21">
    <cfRule type="cellIs" dxfId="155" priority="37" stopIfTrue="1" operator="notEqual">
      <formula>$I12</formula>
    </cfRule>
  </conditionalFormatting>
  <conditionalFormatting pivot="1" sqref="D23 D28:D30">
    <cfRule type="cellIs" dxfId="154" priority="36" stopIfTrue="1" operator="notEqual">
      <formula>$I23</formula>
    </cfRule>
  </conditionalFormatting>
  <conditionalFormatting pivot="1" sqref="D32 D37:D39 D41">
    <cfRule type="cellIs" dxfId="153" priority="35" stopIfTrue="1" operator="notEqual">
      <formula>$I32</formula>
    </cfRule>
  </conditionalFormatting>
  <conditionalFormatting pivot="1" sqref="D43 D47:D48">
    <cfRule type="cellIs" dxfId="152" priority="34" stopIfTrue="1" operator="notEqual">
      <formula>$I43</formula>
    </cfRule>
  </conditionalFormatting>
  <conditionalFormatting pivot="1" sqref="D51 D55:D59 D61">
    <cfRule type="cellIs" dxfId="151" priority="33" stopIfTrue="1" operator="notEqual">
      <formula>$I51</formula>
    </cfRule>
  </conditionalFormatting>
  <conditionalFormatting pivot="1" sqref="D63 D67:D69 D71:D73">
    <cfRule type="cellIs" dxfId="150" priority="32" stopIfTrue="1" operator="notEqual">
      <formula>$I63</formula>
    </cfRule>
  </conditionalFormatting>
  <conditionalFormatting pivot="1" sqref="D75 D80 D82">
    <cfRule type="cellIs" dxfId="149" priority="31" stopIfTrue="1" operator="notEqual">
      <formula>$I75</formula>
    </cfRule>
  </conditionalFormatting>
  <conditionalFormatting pivot="1" sqref="D84 D88 D90">
    <cfRule type="cellIs" dxfId="148" priority="30" stopIfTrue="1" operator="notEqual">
      <formula>$I84</formula>
    </cfRule>
  </conditionalFormatting>
  <conditionalFormatting pivot="1" sqref="D92 D96:D97 D99 D101:D102">
    <cfRule type="cellIs" dxfId="147" priority="29" stopIfTrue="1" operator="notEqual">
      <formula>$I92</formula>
    </cfRule>
  </conditionalFormatting>
  <conditionalFormatting pivot="1" sqref="D104 D109:D110 D112 D114">
    <cfRule type="cellIs" dxfId="146" priority="28" stopIfTrue="1" operator="notEqual">
      <formula>$I104</formula>
    </cfRule>
  </conditionalFormatting>
  <conditionalFormatting pivot="1" sqref="D116 D120 D123:D125">
    <cfRule type="cellIs" dxfId="145" priority="27" stopIfTrue="1" operator="notEqual">
      <formula>$I116</formula>
    </cfRule>
  </conditionalFormatting>
  <conditionalFormatting pivot="1" sqref="D127 D132 D134:D135 D138">
    <cfRule type="cellIs" dxfId="144" priority="26" stopIfTrue="1" operator="notEqual">
      <formula>$I127</formula>
    </cfRule>
  </conditionalFormatting>
  <conditionalFormatting pivot="1" sqref="D140 D145:D149">
    <cfRule type="cellIs" dxfId="143" priority="25" stopIfTrue="1" operator="notEqual">
      <formula>$I140</formula>
    </cfRule>
  </conditionalFormatting>
  <conditionalFormatting pivot="1" sqref="D151 D156:D160">
    <cfRule type="cellIs" dxfId="142" priority="24" stopIfTrue="1" operator="notEqual">
      <formula>$I151</formula>
    </cfRule>
  </conditionalFormatting>
  <conditionalFormatting pivot="1" sqref="D162 D166 D169:D170">
    <cfRule type="cellIs" dxfId="141" priority="23" stopIfTrue="1" operator="notEqual">
      <formula>$I162</formula>
    </cfRule>
  </conditionalFormatting>
  <conditionalFormatting pivot="1" sqref="D172 D176:D180">
    <cfRule type="cellIs" dxfId="140" priority="22" stopIfTrue="1" operator="notEqual">
      <formula>$I172</formula>
    </cfRule>
  </conditionalFormatting>
  <conditionalFormatting pivot="1" sqref="D182 D186 D189 D191 D193">
    <cfRule type="cellIs" dxfId="139" priority="21" stopIfTrue="1" operator="notEqual">
      <formula>$I182</formula>
    </cfRule>
  </conditionalFormatting>
  <conditionalFormatting pivot="1" sqref="D195 D200:D201 D204:D205 D207">
    <cfRule type="cellIs" dxfId="138" priority="20" stopIfTrue="1" operator="notEqual">
      <formula>$I195</formula>
    </cfRule>
  </conditionalFormatting>
  <conditionalFormatting pivot="1" sqref="D215:D217 D219 D221">
    <cfRule type="cellIs" dxfId="137" priority="19" stopIfTrue="1" operator="notEqual">
      <formula>$I215</formula>
    </cfRule>
  </conditionalFormatting>
  <conditionalFormatting pivot="1" sqref="D223">
    <cfRule type="cellIs" dxfId="136" priority="18" stopIfTrue="1" operator="notEqual">
      <formula>$I223</formula>
    </cfRule>
  </conditionalFormatting>
  <conditionalFormatting pivot="1" sqref="D225">
    <cfRule type="cellIs" dxfId="135" priority="17" stopIfTrue="1" operator="notEqual">
      <formula>$I225</formula>
    </cfRule>
  </conditionalFormatting>
  <conditionalFormatting pivot="1" sqref="D228 D234:D237">
    <cfRule type="cellIs" dxfId="134" priority="16" stopIfTrue="1" operator="notEqual">
      <formula>$I228</formula>
    </cfRule>
  </conditionalFormatting>
  <conditionalFormatting pivot="1" sqref="D239 D243:D245">
    <cfRule type="cellIs" dxfId="133" priority="15" stopIfTrue="1" operator="notEqual">
      <formula>$I239</formula>
    </cfRule>
  </conditionalFormatting>
  <conditionalFormatting pivot="1" sqref="D247 D250:D251">
    <cfRule type="cellIs" dxfId="132" priority="14" stopIfTrue="1" operator="notEqual">
      <formula>$I247</formula>
    </cfRule>
  </conditionalFormatting>
  <conditionalFormatting pivot="1" sqref="D253 D257:D258 D260">
    <cfRule type="cellIs" dxfId="131" priority="13" stopIfTrue="1" operator="notEqual">
      <formula>$I253</formula>
    </cfRule>
  </conditionalFormatting>
  <conditionalFormatting pivot="1" sqref="D262 D269:D270 D272">
    <cfRule type="cellIs" dxfId="130" priority="12" stopIfTrue="1" operator="notEqual">
      <formula>$I262</formula>
    </cfRule>
  </conditionalFormatting>
  <conditionalFormatting pivot="1" sqref="D274 D277:D278 D280">
    <cfRule type="cellIs" dxfId="129" priority="11" stopIfTrue="1" operator="notEqual">
      <formula>$I274</formula>
    </cfRule>
  </conditionalFormatting>
  <conditionalFormatting pivot="1" sqref="D282 D286:D287 D289">
    <cfRule type="cellIs" dxfId="128" priority="10" stopIfTrue="1" operator="notEqual">
      <formula>$I282</formula>
    </cfRule>
  </conditionalFormatting>
  <conditionalFormatting pivot="1">
    <cfRule type="cellIs" dxfId="127" priority="9" stopIfTrue="1" operator="notEqual">
      <formula>$I1</formula>
    </cfRule>
  </conditionalFormatting>
  <conditionalFormatting pivot="1" sqref="D291 D295:D297 D299:D300">
    <cfRule type="cellIs" dxfId="126" priority="8" stopIfTrue="1" operator="notEqual">
      <formula>$I291</formula>
    </cfRule>
  </conditionalFormatting>
  <conditionalFormatting pivot="1" sqref="D302">
    <cfRule type="cellIs" dxfId="125" priority="7" stopIfTrue="1" operator="notEqual">
      <formula>$I302</formula>
    </cfRule>
  </conditionalFormatting>
  <conditionalFormatting pivot="1" sqref="D304 D308:D312 D314">
    <cfRule type="cellIs" dxfId="124" priority="6" stopIfTrue="1" operator="notEqual">
      <formula>$I304</formula>
    </cfRule>
  </conditionalFormatting>
  <conditionalFormatting pivot="1" sqref="D316 D320:D325">
    <cfRule type="cellIs" dxfId="123" priority="5" stopIfTrue="1" operator="notEqual">
      <formula>$I316</formula>
    </cfRule>
  </conditionalFormatting>
  <conditionalFormatting pivot="1" sqref="D327 D333:D334">
    <cfRule type="cellIs" dxfId="122" priority="4" stopIfTrue="1" operator="notEqual">
      <formula>$I327</formula>
    </cfRule>
  </conditionalFormatting>
  <conditionalFormatting pivot="1" sqref="D336 D340 D342 D344 D346 D348">
    <cfRule type="cellIs" dxfId="121" priority="3" stopIfTrue="1" operator="notEqual">
      <formula>$I336</formula>
    </cfRule>
  </conditionalFormatting>
  <conditionalFormatting pivot="1" sqref="D350 D355:D356 D358">
    <cfRule type="cellIs" dxfId="120" priority="2" stopIfTrue="1" operator="notEqual">
      <formula>$I350</formula>
    </cfRule>
  </conditionalFormatting>
  <pageMargins left="0.7" right="0.7" top="0.75" bottom="0.75" header="0.3" footer="0.3"/>
  <pageSetup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 filterMode="1">
    <tabColor theme="9" tint="-0.249977111117893"/>
    <pageSetUpPr fitToPage="1"/>
  </sheetPr>
  <dimension ref="A1:AG766"/>
  <sheetViews>
    <sheetView topLeftCell="D183" zoomScale="90" zoomScaleNormal="90" workbookViewId="0">
      <selection activeCell="M259" sqref="M229:M259"/>
    </sheetView>
  </sheetViews>
  <sheetFormatPr defaultColWidth="9.140625" defaultRowHeight="12.75" customHeight="1"/>
  <cols>
    <col min="1" max="1" width="37.85546875" style="155" bestFit="1" customWidth="1"/>
    <col min="2" max="2" width="5.42578125" style="159" bestFit="1" customWidth="1"/>
    <col min="3" max="3" width="5.42578125" style="159" customWidth="1"/>
    <col min="4" max="4" width="8.85546875" style="159" customWidth="1"/>
    <col min="5" max="5" width="26.5703125" style="159" customWidth="1"/>
    <col min="6" max="6" width="4.5703125" style="159" customWidth="1"/>
    <col min="7" max="7" width="7.140625" style="157" customWidth="1"/>
    <col min="8" max="8" width="6" style="159" customWidth="1"/>
    <col min="9" max="9" width="12.85546875" style="159" customWidth="1"/>
    <col min="10" max="10" width="14.42578125" style="159" customWidth="1"/>
    <col min="11" max="11" width="38.5703125" style="159" customWidth="1"/>
    <col min="12" max="12" width="13" style="418" bestFit="1" customWidth="1"/>
    <col min="13" max="13" width="12.140625" style="418" bestFit="1" customWidth="1"/>
    <col min="14" max="14" width="14.140625" style="157" bestFit="1" customWidth="1"/>
    <col min="15" max="15" width="11.140625" style="156" bestFit="1" customWidth="1"/>
    <col min="16" max="16" width="10.5703125" style="156" customWidth="1"/>
    <col min="17" max="17" width="9.85546875" style="159" bestFit="1" customWidth="1"/>
    <col min="18" max="18" width="10" style="159" bestFit="1" customWidth="1"/>
    <col min="19" max="19" width="9.140625" style="159" bestFit="1" customWidth="1"/>
    <col min="20" max="23" width="9.140625" style="159" customWidth="1"/>
    <col min="24" max="24" width="9.5703125" style="159" bestFit="1" customWidth="1"/>
    <col min="25" max="25" width="9.85546875" style="159" bestFit="1" customWidth="1"/>
    <col min="26" max="26" width="9.140625" style="159" bestFit="1" customWidth="1"/>
    <col min="27" max="27" width="10.42578125" style="159" bestFit="1" customWidth="1"/>
    <col min="28" max="28" width="9.42578125" style="159" bestFit="1" customWidth="1"/>
    <col min="29" max="29" width="9.140625" style="159"/>
    <col min="30" max="30" width="43.85546875" style="159" customWidth="1"/>
    <col min="31" max="31" width="13.85546875" style="159" customWidth="1"/>
    <col min="32" max="32" width="9.140625" style="159"/>
    <col min="33" max="33" width="12.140625" style="159" bestFit="1" customWidth="1"/>
    <col min="34" max="16384" width="9.140625" style="159"/>
  </cols>
  <sheetData>
    <row r="1" spans="1:33" ht="12.75" customHeight="1">
      <c r="A1" s="369" t="s">
        <v>8</v>
      </c>
      <c r="B1" s="369" t="s">
        <v>7</v>
      </c>
      <c r="C1" s="369" t="s">
        <v>11</v>
      </c>
      <c r="D1" s="369" t="s">
        <v>9</v>
      </c>
      <c r="E1" s="369" t="s">
        <v>12</v>
      </c>
      <c r="F1" s="369" t="s">
        <v>48</v>
      </c>
      <c r="G1" s="369" t="s">
        <v>56</v>
      </c>
      <c r="H1" s="369" t="s">
        <v>49</v>
      </c>
      <c r="I1" s="369" t="s">
        <v>50</v>
      </c>
      <c r="J1" s="369" t="s">
        <v>10</v>
      </c>
      <c r="K1" s="369" t="s">
        <v>13</v>
      </c>
      <c r="L1" s="417" t="s">
        <v>154</v>
      </c>
      <c r="M1" s="417" t="s">
        <v>54</v>
      </c>
      <c r="N1" s="370" t="s">
        <v>57</v>
      </c>
      <c r="O1" s="371" t="s">
        <v>153</v>
      </c>
      <c r="P1" s="371"/>
    </row>
    <row r="2" spans="1:33" ht="12.75" hidden="1" customHeight="1">
      <c r="A2" s="161" t="str">
        <f t="shared" ref="A2:A65" si="0">C2&amp;K2</f>
        <v>90ABE Enrollments</v>
      </c>
      <c r="B2" s="161">
        <v>1</v>
      </c>
      <c r="C2" s="160">
        <v>90</v>
      </c>
      <c r="D2" s="163" t="b">
        <v>1</v>
      </c>
      <c r="E2" s="161" t="s">
        <v>205</v>
      </c>
      <c r="F2" s="161" t="str">
        <f t="shared" ref="F2:F65" si="1">LEFT(J2,3)</f>
        <v>001</v>
      </c>
      <c r="G2" s="161" t="str">
        <f>IF(RIGHT(J2,3)="012","201",IF(RIGHT(J2,3)="232","123",IF(RIGHT(J2,3)="1E2","215",RIGHT(J2,3))))</f>
        <v>011</v>
      </c>
      <c r="H2" s="161" t="str">
        <f t="shared" ref="H2:H65" si="2">RIGHT(J2,3)</f>
        <v>011</v>
      </c>
      <c r="I2" s="161" t="str">
        <f t="shared" ref="I2:I65" si="3">F2&amp;"-"&amp;H2</f>
        <v>001-011</v>
      </c>
      <c r="J2" s="162" t="s">
        <v>491</v>
      </c>
      <c r="K2" s="161" t="s">
        <v>214</v>
      </c>
      <c r="L2" s="418">
        <v>153770</v>
      </c>
      <c r="M2" s="419"/>
      <c r="N2" s="157">
        <f t="shared" ref="N2:N65" si="4">VLOOKUP(H2,Approp,2,FALSE)</f>
        <v>101</v>
      </c>
      <c r="O2" s="156">
        <f t="shared" ref="O2:O12" si="5">SUM(L2:M2)</f>
        <v>153770</v>
      </c>
      <c r="Q2" s="156"/>
    </row>
    <row r="3" spans="1:33" hidden="1">
      <c r="A3" s="161" t="str">
        <f t="shared" si="0"/>
        <v>28Aerospace Apprenticeships</v>
      </c>
      <c r="B3" s="161">
        <f>B2</f>
        <v>1</v>
      </c>
      <c r="C3" s="160">
        <v>28</v>
      </c>
      <c r="D3" s="163" t="b">
        <v>1</v>
      </c>
      <c r="E3" s="161" t="s">
        <v>41</v>
      </c>
      <c r="F3" s="161" t="str">
        <f t="shared" si="1"/>
        <v>001</v>
      </c>
      <c r="G3" s="384">
        <v>101</v>
      </c>
      <c r="H3" s="161" t="str">
        <f t="shared" si="2"/>
        <v>011</v>
      </c>
      <c r="I3" s="161" t="str">
        <f t="shared" si="3"/>
        <v>001-011</v>
      </c>
      <c r="J3" s="162" t="s">
        <v>491</v>
      </c>
      <c r="K3" s="161" t="s">
        <v>160</v>
      </c>
      <c r="L3" s="418">
        <v>207271</v>
      </c>
      <c r="M3" s="420">
        <v>-90330</v>
      </c>
      <c r="N3" s="157">
        <f t="shared" si="4"/>
        <v>101</v>
      </c>
      <c r="O3" s="156">
        <f t="shared" si="5"/>
        <v>116941</v>
      </c>
      <c r="Q3" s="156"/>
      <c r="AD3" s="406" t="s">
        <v>771</v>
      </c>
      <c r="AE3" t="s">
        <v>194</v>
      </c>
      <c r="AF3"/>
    </row>
    <row r="4" spans="1:33" hidden="1">
      <c r="A4" s="161" t="str">
        <f t="shared" si="0"/>
        <v>19Aerospace Apprenticeships</v>
      </c>
      <c r="B4" s="161">
        <f>B3</f>
        <v>1</v>
      </c>
      <c r="C4" s="163">
        <v>19</v>
      </c>
      <c r="D4" s="163" t="b">
        <v>1</v>
      </c>
      <c r="E4" s="161" t="s">
        <v>32</v>
      </c>
      <c r="F4" s="161" t="str">
        <f t="shared" si="1"/>
        <v>001</v>
      </c>
      <c r="G4" s="384">
        <v>101</v>
      </c>
      <c r="H4" s="161" t="str">
        <f t="shared" si="2"/>
        <v>011</v>
      </c>
      <c r="I4" s="161" t="str">
        <f t="shared" si="3"/>
        <v>001-011</v>
      </c>
      <c r="J4" s="162" t="s">
        <v>491</v>
      </c>
      <c r="K4" s="161" t="s">
        <v>160</v>
      </c>
      <c r="L4" s="418">
        <v>29237</v>
      </c>
      <c r="M4" s="419"/>
      <c r="N4" s="157">
        <f t="shared" si="4"/>
        <v>101</v>
      </c>
      <c r="O4" s="156">
        <f t="shared" si="5"/>
        <v>29237</v>
      </c>
      <c r="Q4" s="156"/>
      <c r="AD4" s="407" t="s">
        <v>214</v>
      </c>
      <c r="AE4" s="413">
        <v>153770</v>
      </c>
      <c r="AF4"/>
      <c r="AG4" s="159">
        <f t="shared" ref="AG4:AG67" si="6">IF(AF4="x",AE4,0)</f>
        <v>0</v>
      </c>
    </row>
    <row r="5" spans="1:33" hidden="1">
      <c r="A5" s="161" t="str">
        <f t="shared" si="0"/>
        <v>5Aerospace Apprenticeships</v>
      </c>
      <c r="B5" s="161">
        <f>B4</f>
        <v>1</v>
      </c>
      <c r="C5" s="163">
        <v>5</v>
      </c>
      <c r="D5" s="163" t="b">
        <v>1</v>
      </c>
      <c r="E5" s="161" t="s">
        <v>18</v>
      </c>
      <c r="F5" s="161" t="str">
        <f t="shared" si="1"/>
        <v>001</v>
      </c>
      <c r="G5" s="384">
        <v>101</v>
      </c>
      <c r="H5" s="161" t="str">
        <f t="shared" si="2"/>
        <v>011</v>
      </c>
      <c r="I5" s="161" t="str">
        <f t="shared" si="3"/>
        <v>001-011</v>
      </c>
      <c r="J5" s="162" t="s">
        <v>491</v>
      </c>
      <c r="K5" s="161" t="s">
        <v>160</v>
      </c>
      <c r="L5" s="418">
        <v>208497</v>
      </c>
      <c r="M5" s="419">
        <v>-132484</v>
      </c>
      <c r="N5" s="157">
        <f t="shared" si="4"/>
        <v>101</v>
      </c>
      <c r="O5" s="156">
        <f t="shared" si="5"/>
        <v>76013</v>
      </c>
      <c r="Q5" s="156"/>
      <c r="AD5" s="407" t="s">
        <v>160</v>
      </c>
      <c r="AE5" s="413">
        <v>2720407</v>
      </c>
      <c r="AF5" s="389" t="s">
        <v>782</v>
      </c>
      <c r="AG5" s="159">
        <f t="shared" si="6"/>
        <v>2720407</v>
      </c>
    </row>
    <row r="6" spans="1:33" hidden="1">
      <c r="A6" s="161" t="str">
        <f t="shared" si="0"/>
        <v>00Aerospace Apprenticeships</v>
      </c>
      <c r="B6" s="161">
        <v>1</v>
      </c>
      <c r="C6" s="160" t="s">
        <v>180</v>
      </c>
      <c r="D6" s="163" t="b">
        <v>1</v>
      </c>
      <c r="E6" s="161" t="s">
        <v>181</v>
      </c>
      <c r="F6" s="161" t="str">
        <f t="shared" si="1"/>
        <v>001</v>
      </c>
      <c r="G6" s="385">
        <v>101</v>
      </c>
      <c r="H6" s="161" t="str">
        <f t="shared" si="2"/>
        <v>011</v>
      </c>
      <c r="I6" s="161" t="str">
        <f t="shared" si="3"/>
        <v>001-011</v>
      </c>
      <c r="J6" s="162" t="s">
        <v>491</v>
      </c>
      <c r="K6" s="161" t="s">
        <v>160</v>
      </c>
      <c r="L6" s="418">
        <v>54190</v>
      </c>
      <c r="M6" s="420">
        <v>2344624</v>
      </c>
      <c r="N6" s="157">
        <f t="shared" si="4"/>
        <v>101</v>
      </c>
      <c r="O6" s="156">
        <f t="shared" si="5"/>
        <v>2398814</v>
      </c>
      <c r="Q6" s="156"/>
      <c r="AD6" s="407" t="s">
        <v>345</v>
      </c>
      <c r="AE6" s="413">
        <v>8000000</v>
      </c>
      <c r="AF6" s="389" t="s">
        <v>782</v>
      </c>
      <c r="AG6" s="159">
        <f t="shared" si="6"/>
        <v>8000000</v>
      </c>
    </row>
    <row r="7" spans="1:33" hidden="1">
      <c r="A7" s="161" t="str">
        <f t="shared" si="0"/>
        <v>27Aerospace Apprenticeships</v>
      </c>
      <c r="B7" s="161">
        <f t="shared" ref="B7:B24" si="7">B6</f>
        <v>1</v>
      </c>
      <c r="C7" s="163">
        <v>27</v>
      </c>
      <c r="D7" s="163" t="b">
        <v>1</v>
      </c>
      <c r="E7" s="161" t="s">
        <v>40</v>
      </c>
      <c r="F7" s="161" t="str">
        <f t="shared" si="1"/>
        <v>001</v>
      </c>
      <c r="G7" s="384">
        <v>101</v>
      </c>
      <c r="H7" s="161" t="str">
        <f t="shared" si="2"/>
        <v>011</v>
      </c>
      <c r="I7" s="161" t="str">
        <f t="shared" si="3"/>
        <v>001-011</v>
      </c>
      <c r="J7" s="162" t="s">
        <v>491</v>
      </c>
      <c r="K7" s="161" t="s">
        <v>160</v>
      </c>
      <c r="L7" s="418">
        <v>77238</v>
      </c>
      <c r="M7" s="419">
        <v>-42154</v>
      </c>
      <c r="N7" s="157">
        <f t="shared" si="4"/>
        <v>101</v>
      </c>
      <c r="O7" s="156">
        <f t="shared" si="5"/>
        <v>35084</v>
      </c>
      <c r="Q7" s="156"/>
      <c r="AD7" s="407" t="s">
        <v>211</v>
      </c>
      <c r="AE7" s="413">
        <v>0</v>
      </c>
      <c r="AF7"/>
      <c r="AG7" s="159">
        <f t="shared" si="6"/>
        <v>0</v>
      </c>
    </row>
    <row r="8" spans="1:33" hidden="1">
      <c r="A8" s="161" t="str">
        <f t="shared" si="0"/>
        <v>89Aerospace Apprenticeships</v>
      </c>
      <c r="B8" s="161">
        <f t="shared" si="7"/>
        <v>1</v>
      </c>
      <c r="C8" s="160" t="s">
        <v>144</v>
      </c>
      <c r="D8" s="163" t="b">
        <v>1</v>
      </c>
      <c r="E8" s="161" t="s">
        <v>204</v>
      </c>
      <c r="F8" s="161" t="str">
        <f t="shared" si="1"/>
        <v>001</v>
      </c>
      <c r="G8" s="161" t="str">
        <f t="shared" ref="G8:G9" si="8">IF(RIGHT(J8,3)="012","201",IF(RIGHT(J8,3)="232","123",IF(RIGHT(J8,3)="1E2","215",RIGHT(J8,3))))</f>
        <v>011</v>
      </c>
      <c r="H8" s="161" t="str">
        <f t="shared" si="2"/>
        <v>011</v>
      </c>
      <c r="I8" s="161" t="str">
        <f t="shared" si="3"/>
        <v>001-011</v>
      </c>
      <c r="J8" s="162" t="s">
        <v>491</v>
      </c>
      <c r="K8" s="161" t="s">
        <v>160</v>
      </c>
      <c r="L8" s="418">
        <v>25411</v>
      </c>
      <c r="M8" s="424">
        <f>-25411</f>
        <v>-25411</v>
      </c>
      <c r="N8" s="157">
        <f t="shared" si="4"/>
        <v>101</v>
      </c>
      <c r="O8" s="156">
        <f t="shared" si="5"/>
        <v>0</v>
      </c>
      <c r="Q8" s="156"/>
      <c r="AD8" s="407" t="s">
        <v>453</v>
      </c>
      <c r="AE8" s="413">
        <v>425000</v>
      </c>
      <c r="AF8" s="389" t="s">
        <v>782</v>
      </c>
      <c r="AG8" s="159">
        <f t="shared" si="6"/>
        <v>425000</v>
      </c>
    </row>
    <row r="9" spans="1:33" hidden="1">
      <c r="A9" s="161" t="str">
        <f t="shared" si="0"/>
        <v>90Aerospace Apprenticeships</v>
      </c>
      <c r="B9" s="161">
        <f t="shared" si="7"/>
        <v>1</v>
      </c>
      <c r="C9" s="160">
        <v>90</v>
      </c>
      <c r="D9" s="163" t="b">
        <v>1</v>
      </c>
      <c r="E9" s="161" t="s">
        <v>205</v>
      </c>
      <c r="F9" s="161" t="str">
        <f t="shared" si="1"/>
        <v>001</v>
      </c>
      <c r="G9" s="161" t="str">
        <f t="shared" si="8"/>
        <v>011</v>
      </c>
      <c r="H9" s="161" t="str">
        <f t="shared" si="2"/>
        <v>011</v>
      </c>
      <c r="I9" s="161" t="str">
        <f t="shared" si="3"/>
        <v>001-011</v>
      </c>
      <c r="J9" s="162" t="s">
        <v>491</v>
      </c>
      <c r="K9" s="161" t="s">
        <v>160</v>
      </c>
      <c r="L9" s="418">
        <v>1921761</v>
      </c>
      <c r="M9" s="419">
        <v>-1921761</v>
      </c>
      <c r="N9" s="157">
        <f t="shared" si="4"/>
        <v>101</v>
      </c>
      <c r="O9" s="156">
        <f t="shared" si="5"/>
        <v>0</v>
      </c>
      <c r="Q9" s="156"/>
      <c r="AD9" s="407" t="s">
        <v>208</v>
      </c>
      <c r="AE9" s="413">
        <v>8774000</v>
      </c>
      <c r="AF9" s="389" t="s">
        <v>782</v>
      </c>
      <c r="AG9" s="159">
        <f t="shared" si="6"/>
        <v>8774000</v>
      </c>
    </row>
    <row r="10" spans="1:33" hidden="1">
      <c r="A10" s="161" t="str">
        <f t="shared" si="0"/>
        <v>6Aerospace Apprenticeships</v>
      </c>
      <c r="B10" s="161">
        <f t="shared" si="7"/>
        <v>1</v>
      </c>
      <c r="C10" s="163">
        <v>6</v>
      </c>
      <c r="D10" s="163" t="b">
        <v>1</v>
      </c>
      <c r="E10" s="161" t="s">
        <v>19</v>
      </c>
      <c r="F10" s="161" t="str">
        <f t="shared" si="1"/>
        <v>001</v>
      </c>
      <c r="G10" s="384">
        <v>101</v>
      </c>
      <c r="H10" s="161" t="str">
        <f t="shared" si="2"/>
        <v>011</v>
      </c>
      <c r="I10" s="161" t="str">
        <f t="shared" si="3"/>
        <v>001-011</v>
      </c>
      <c r="J10" s="162" t="s">
        <v>491</v>
      </c>
      <c r="K10" s="161" t="s">
        <v>160</v>
      </c>
      <c r="L10" s="418">
        <v>137456</v>
      </c>
      <c r="M10" s="419">
        <v>-102374</v>
      </c>
      <c r="N10" s="157">
        <f t="shared" si="4"/>
        <v>101</v>
      </c>
      <c r="O10" s="156">
        <f t="shared" si="5"/>
        <v>35082</v>
      </c>
      <c r="Q10" s="156"/>
      <c r="AD10" s="407" t="s">
        <v>171</v>
      </c>
      <c r="AE10" s="413">
        <v>34847466</v>
      </c>
      <c r="AF10"/>
      <c r="AG10" s="159">
        <f t="shared" si="6"/>
        <v>0</v>
      </c>
    </row>
    <row r="11" spans="1:33" hidden="1">
      <c r="A11" s="161" t="str">
        <f t="shared" si="0"/>
        <v>17Aerospace Apprenticeships</v>
      </c>
      <c r="B11" s="161">
        <f t="shared" si="7"/>
        <v>1</v>
      </c>
      <c r="C11" s="163">
        <v>17</v>
      </c>
      <c r="D11" s="163" t="b">
        <v>1</v>
      </c>
      <c r="E11" s="161" t="s">
        <v>30</v>
      </c>
      <c r="F11" s="161" t="str">
        <f t="shared" si="1"/>
        <v>001</v>
      </c>
      <c r="G11" s="384">
        <v>101</v>
      </c>
      <c r="H11" s="161" t="str">
        <f t="shared" si="2"/>
        <v>011</v>
      </c>
      <c r="I11" s="161" t="str">
        <f t="shared" si="3"/>
        <v>001-011</v>
      </c>
      <c r="J11" s="162" t="s">
        <v>491</v>
      </c>
      <c r="K11" s="161" t="s">
        <v>160</v>
      </c>
      <c r="L11" s="418">
        <v>29236</v>
      </c>
      <c r="M11" s="419"/>
      <c r="N11" s="157">
        <f t="shared" si="4"/>
        <v>101</v>
      </c>
      <c r="O11" s="156">
        <f t="shared" si="5"/>
        <v>29236</v>
      </c>
      <c r="Q11" s="156"/>
      <c r="AD11" s="407" t="s">
        <v>186</v>
      </c>
      <c r="AE11" s="413">
        <v>475212606</v>
      </c>
      <c r="AF11"/>
      <c r="AG11" s="159">
        <f t="shared" si="6"/>
        <v>0</v>
      </c>
    </row>
    <row r="12" spans="1:33" hidden="1">
      <c r="A12" s="161" t="str">
        <f t="shared" si="0"/>
        <v>16Aerospace Apprenticeships</v>
      </c>
      <c r="B12" s="161">
        <f t="shared" si="7"/>
        <v>1</v>
      </c>
      <c r="C12" s="163">
        <v>16</v>
      </c>
      <c r="D12" s="163" t="b">
        <v>1</v>
      </c>
      <c r="E12" s="161" t="s">
        <v>29</v>
      </c>
      <c r="F12" s="161" t="str">
        <f t="shared" si="1"/>
        <v>001</v>
      </c>
      <c r="G12" s="384">
        <v>101</v>
      </c>
      <c r="H12" s="161" t="str">
        <f t="shared" si="2"/>
        <v>011</v>
      </c>
      <c r="I12" s="161" t="str">
        <f t="shared" si="3"/>
        <v>001-011</v>
      </c>
      <c r="J12" s="162" t="s">
        <v>491</v>
      </c>
      <c r="K12" s="161" t="s">
        <v>160</v>
      </c>
      <c r="L12" s="418">
        <v>30110</v>
      </c>
      <c r="M12" s="419">
        <v>-30110</v>
      </c>
      <c r="N12" s="157">
        <f t="shared" si="4"/>
        <v>101</v>
      </c>
      <c r="O12" s="156">
        <f t="shared" si="5"/>
        <v>0</v>
      </c>
      <c r="Q12" s="156"/>
      <c r="AD12" s="407" t="s">
        <v>222</v>
      </c>
      <c r="AE12" s="413">
        <v>0</v>
      </c>
      <c r="AF12"/>
      <c r="AG12" s="159">
        <f t="shared" si="6"/>
        <v>0</v>
      </c>
    </row>
    <row r="13" spans="1:33" hidden="1">
      <c r="A13" s="161" t="str">
        <f t="shared" si="0"/>
        <v>28Aerospace Enrollments (1000 FTEs)</v>
      </c>
      <c r="B13" s="161">
        <f t="shared" si="7"/>
        <v>1</v>
      </c>
      <c r="C13" s="160">
        <v>28</v>
      </c>
      <c r="D13" s="163" t="b">
        <v>1</v>
      </c>
      <c r="E13" s="161" t="s">
        <v>41</v>
      </c>
      <c r="F13" s="161" t="str">
        <f t="shared" si="1"/>
        <v>001</v>
      </c>
      <c r="G13" s="384">
        <v>101</v>
      </c>
      <c r="H13" s="161" t="str">
        <f t="shared" si="2"/>
        <v>011</v>
      </c>
      <c r="I13" s="161" t="str">
        <f t="shared" si="3"/>
        <v>001-011</v>
      </c>
      <c r="J13" s="162" t="s">
        <v>491</v>
      </c>
      <c r="K13" s="161" t="s">
        <v>345</v>
      </c>
      <c r="L13" s="418">
        <v>411771</v>
      </c>
      <c r="N13" s="157">
        <f t="shared" si="4"/>
        <v>101</v>
      </c>
      <c r="O13" s="156">
        <f t="shared" ref="O13:O19" si="9">SUM(L13:L13)</f>
        <v>411771</v>
      </c>
      <c r="Q13" s="156"/>
      <c r="AD13" s="407" t="s">
        <v>409</v>
      </c>
      <c r="AE13" s="413">
        <v>0</v>
      </c>
      <c r="AF13" s="389" t="s">
        <v>782</v>
      </c>
      <c r="AG13" s="159">
        <f t="shared" si="6"/>
        <v>0</v>
      </c>
    </row>
    <row r="14" spans="1:33" hidden="1">
      <c r="A14" s="161" t="str">
        <f t="shared" si="0"/>
        <v>25Aerospace Enrollments (1000 FTEs)</v>
      </c>
      <c r="B14" s="161">
        <f t="shared" si="7"/>
        <v>1</v>
      </c>
      <c r="C14" s="160">
        <v>25</v>
      </c>
      <c r="D14" s="163" t="b">
        <v>1</v>
      </c>
      <c r="E14" s="161" t="s">
        <v>38</v>
      </c>
      <c r="F14" s="161" t="str">
        <f t="shared" si="1"/>
        <v>001</v>
      </c>
      <c r="G14" s="384">
        <v>101</v>
      </c>
      <c r="H14" s="161" t="str">
        <f t="shared" si="2"/>
        <v>011</v>
      </c>
      <c r="I14" s="161" t="str">
        <f t="shared" si="3"/>
        <v>001-011</v>
      </c>
      <c r="J14" s="162" t="s">
        <v>491</v>
      </c>
      <c r="K14" s="161" t="s">
        <v>345</v>
      </c>
      <c r="L14" s="418">
        <v>607376</v>
      </c>
      <c r="N14" s="157">
        <f t="shared" si="4"/>
        <v>101</v>
      </c>
      <c r="O14" s="156">
        <f t="shared" si="9"/>
        <v>607376</v>
      </c>
      <c r="Q14" s="156"/>
      <c r="AD14" s="407" t="s">
        <v>184</v>
      </c>
      <c r="AE14" s="413">
        <v>2000000</v>
      </c>
      <c r="AF14"/>
      <c r="AG14" s="159">
        <f t="shared" si="6"/>
        <v>0</v>
      </c>
    </row>
    <row r="15" spans="1:33" hidden="1">
      <c r="A15" s="161" t="str">
        <f t="shared" si="0"/>
        <v>18Aerospace Enrollments (1000 FTEs)</v>
      </c>
      <c r="B15" s="161">
        <f t="shared" si="7"/>
        <v>1</v>
      </c>
      <c r="C15" s="160">
        <v>18</v>
      </c>
      <c r="D15" s="163" t="b">
        <v>1</v>
      </c>
      <c r="E15" s="161" t="s">
        <v>31</v>
      </c>
      <c r="F15" s="161" t="str">
        <f t="shared" si="1"/>
        <v>001</v>
      </c>
      <c r="G15" s="384">
        <v>101</v>
      </c>
      <c r="H15" s="161" t="str">
        <f t="shared" si="2"/>
        <v>011</v>
      </c>
      <c r="I15" s="161" t="str">
        <f t="shared" si="3"/>
        <v>001-011</v>
      </c>
      <c r="J15" s="162" t="s">
        <v>491</v>
      </c>
      <c r="K15" s="161" t="s">
        <v>345</v>
      </c>
      <c r="L15" s="418">
        <v>162026</v>
      </c>
      <c r="N15" s="157">
        <f t="shared" si="4"/>
        <v>101</v>
      </c>
      <c r="O15" s="156">
        <f t="shared" si="9"/>
        <v>162026</v>
      </c>
      <c r="Q15" s="156"/>
      <c r="AD15" s="407" t="s">
        <v>185</v>
      </c>
      <c r="AE15" s="413">
        <v>1469574</v>
      </c>
      <c r="AF15" s="389" t="s">
        <v>782</v>
      </c>
      <c r="AG15" s="159">
        <f t="shared" si="6"/>
        <v>1469574</v>
      </c>
    </row>
    <row r="16" spans="1:33" hidden="1">
      <c r="A16" s="161" t="str">
        <f t="shared" si="0"/>
        <v>14Aerospace Enrollments (1000 FTEs)</v>
      </c>
      <c r="B16" s="161">
        <f t="shared" si="7"/>
        <v>1</v>
      </c>
      <c r="C16" s="163">
        <v>14</v>
      </c>
      <c r="D16" s="163" t="b">
        <v>1</v>
      </c>
      <c r="E16" s="161" t="s">
        <v>27</v>
      </c>
      <c r="F16" s="161" t="str">
        <f t="shared" si="1"/>
        <v>001</v>
      </c>
      <c r="G16" s="384">
        <v>101</v>
      </c>
      <c r="H16" s="161" t="str">
        <f t="shared" si="2"/>
        <v>011</v>
      </c>
      <c r="I16" s="161" t="str">
        <f t="shared" si="3"/>
        <v>001-011</v>
      </c>
      <c r="J16" s="162" t="s">
        <v>491</v>
      </c>
      <c r="K16" s="161" t="s">
        <v>345</v>
      </c>
      <c r="L16" s="418">
        <v>315501</v>
      </c>
      <c r="N16" s="157">
        <f t="shared" si="4"/>
        <v>101</v>
      </c>
      <c r="O16" s="156">
        <f t="shared" si="9"/>
        <v>315501</v>
      </c>
      <c r="Q16" s="156"/>
      <c r="AD16" s="407" t="s">
        <v>441</v>
      </c>
      <c r="AE16" s="413">
        <v>0</v>
      </c>
      <c r="AF16" s="389" t="s">
        <v>782</v>
      </c>
      <c r="AG16" s="159">
        <f t="shared" si="6"/>
        <v>0</v>
      </c>
    </row>
    <row r="17" spans="1:33" hidden="1">
      <c r="A17" s="161" t="str">
        <f t="shared" si="0"/>
        <v>29Aerospace Enrollments (1000 FTEs)</v>
      </c>
      <c r="B17" s="161">
        <f t="shared" si="7"/>
        <v>1</v>
      </c>
      <c r="C17" s="163">
        <v>29</v>
      </c>
      <c r="D17" s="163" t="b">
        <v>1</v>
      </c>
      <c r="E17" s="161" t="s">
        <v>42</v>
      </c>
      <c r="F17" s="161" t="str">
        <f t="shared" si="1"/>
        <v>001</v>
      </c>
      <c r="G17" s="384">
        <v>101</v>
      </c>
      <c r="H17" s="161" t="str">
        <f t="shared" si="2"/>
        <v>011</v>
      </c>
      <c r="I17" s="161" t="str">
        <f t="shared" si="3"/>
        <v>001-011</v>
      </c>
      <c r="J17" s="162" t="s">
        <v>491</v>
      </c>
      <c r="K17" s="161" t="s">
        <v>345</v>
      </c>
      <c r="L17" s="418">
        <v>603161</v>
      </c>
      <c r="N17" s="157">
        <f t="shared" si="4"/>
        <v>101</v>
      </c>
      <c r="O17" s="156">
        <f t="shared" si="9"/>
        <v>603161</v>
      </c>
      <c r="Q17" s="156"/>
      <c r="AD17" s="407" t="s">
        <v>445</v>
      </c>
      <c r="AE17" s="413">
        <v>750000</v>
      </c>
      <c r="AF17" s="389" t="s">
        <v>782</v>
      </c>
      <c r="AG17" s="159">
        <f t="shared" si="6"/>
        <v>750000</v>
      </c>
    </row>
    <row r="18" spans="1:33" hidden="1">
      <c r="A18" s="161" t="str">
        <f t="shared" si="0"/>
        <v>23Aerospace Enrollments (1000 FTEs)</v>
      </c>
      <c r="B18" s="161">
        <f t="shared" si="7"/>
        <v>1</v>
      </c>
      <c r="C18" s="163">
        <v>23</v>
      </c>
      <c r="D18" s="163" t="b">
        <v>1</v>
      </c>
      <c r="E18" s="161" t="s">
        <v>36</v>
      </c>
      <c r="F18" s="161" t="str">
        <f t="shared" si="1"/>
        <v>001</v>
      </c>
      <c r="G18" s="384">
        <v>101</v>
      </c>
      <c r="H18" s="161" t="str">
        <f t="shared" si="2"/>
        <v>011</v>
      </c>
      <c r="I18" s="161" t="str">
        <f t="shared" si="3"/>
        <v>001-011</v>
      </c>
      <c r="J18" s="162" t="s">
        <v>491</v>
      </c>
      <c r="K18" s="161" t="s">
        <v>345</v>
      </c>
      <c r="L18" s="418">
        <v>512720</v>
      </c>
      <c r="N18" s="157">
        <f t="shared" si="4"/>
        <v>101</v>
      </c>
      <c r="O18" s="156">
        <f t="shared" si="9"/>
        <v>512720</v>
      </c>
      <c r="Q18" s="156"/>
      <c r="AD18" s="407" t="s">
        <v>173</v>
      </c>
      <c r="AE18" s="413">
        <v>2041570</v>
      </c>
      <c r="AF18" s="389" t="s">
        <v>782</v>
      </c>
      <c r="AG18" s="159">
        <f t="shared" si="6"/>
        <v>2041570</v>
      </c>
    </row>
    <row r="19" spans="1:33" hidden="1">
      <c r="A19" s="161" t="str">
        <f t="shared" si="0"/>
        <v>5Aerospace Enrollments (1000 FTEs)</v>
      </c>
      <c r="B19" s="161">
        <f t="shared" si="7"/>
        <v>1</v>
      </c>
      <c r="C19" s="163">
        <v>5</v>
      </c>
      <c r="D19" s="163" t="b">
        <v>1</v>
      </c>
      <c r="E19" s="161" t="s">
        <v>18</v>
      </c>
      <c r="F19" s="161" t="str">
        <f t="shared" si="1"/>
        <v>001</v>
      </c>
      <c r="G19" s="384">
        <v>101</v>
      </c>
      <c r="H19" s="161" t="str">
        <f t="shared" si="2"/>
        <v>011</v>
      </c>
      <c r="I19" s="161" t="str">
        <f t="shared" si="3"/>
        <v>001-011</v>
      </c>
      <c r="J19" s="162" t="s">
        <v>491</v>
      </c>
      <c r="K19" s="161" t="s">
        <v>345</v>
      </c>
      <c r="L19" s="418">
        <v>1127984</v>
      </c>
      <c r="N19" s="157">
        <f t="shared" si="4"/>
        <v>101</v>
      </c>
      <c r="O19" s="156">
        <f t="shared" si="9"/>
        <v>1127984</v>
      </c>
      <c r="Q19" s="156"/>
      <c r="AD19" s="407" t="s">
        <v>254</v>
      </c>
      <c r="AE19" s="413">
        <v>100000</v>
      </c>
      <c r="AF19" s="389" t="s">
        <v>782</v>
      </c>
      <c r="AG19" s="159">
        <f t="shared" si="6"/>
        <v>100000</v>
      </c>
    </row>
    <row r="20" spans="1:33" hidden="1">
      <c r="A20" s="161" t="str">
        <f t="shared" si="0"/>
        <v>00Aerospace Enrollments (1000 FTEs)</v>
      </c>
      <c r="B20" s="161">
        <f t="shared" si="7"/>
        <v>1</v>
      </c>
      <c r="C20" s="163" t="s">
        <v>180</v>
      </c>
      <c r="D20" s="163" t="b">
        <v>1</v>
      </c>
      <c r="E20" s="161" t="s">
        <v>181</v>
      </c>
      <c r="F20" s="161" t="str">
        <f t="shared" si="1"/>
        <v>001</v>
      </c>
      <c r="G20" s="385">
        <v>101</v>
      </c>
      <c r="H20" s="161" t="str">
        <f t="shared" si="2"/>
        <v>011</v>
      </c>
      <c r="I20" s="161" t="str">
        <f t="shared" si="3"/>
        <v>001-011</v>
      </c>
      <c r="J20" s="162" t="s">
        <v>491</v>
      </c>
      <c r="K20" s="161" t="s">
        <v>345</v>
      </c>
      <c r="L20" s="418">
        <v>0</v>
      </c>
      <c r="M20" s="420">
        <v>0</v>
      </c>
      <c r="N20" s="157">
        <f t="shared" si="4"/>
        <v>101</v>
      </c>
      <c r="O20" s="156">
        <f>SUM(L20:M20)</f>
        <v>0</v>
      </c>
      <c r="Q20" s="156"/>
      <c r="AD20" s="407" t="s">
        <v>447</v>
      </c>
      <c r="AE20" s="413">
        <v>16672000</v>
      </c>
      <c r="AF20" s="389" t="s">
        <v>782</v>
      </c>
      <c r="AG20" s="159">
        <f t="shared" si="6"/>
        <v>16672000</v>
      </c>
    </row>
    <row r="21" spans="1:33" hidden="1">
      <c r="A21" s="161" t="str">
        <f t="shared" si="0"/>
        <v>10Aerospace Enrollments (1000 FTEs)</v>
      </c>
      <c r="B21" s="161">
        <f t="shared" si="7"/>
        <v>1</v>
      </c>
      <c r="C21" s="163">
        <v>10</v>
      </c>
      <c r="D21" s="163" t="b">
        <v>1</v>
      </c>
      <c r="E21" s="161" t="s">
        <v>23</v>
      </c>
      <c r="F21" s="161" t="str">
        <f t="shared" si="1"/>
        <v>001</v>
      </c>
      <c r="G21" s="384">
        <v>101</v>
      </c>
      <c r="H21" s="161" t="str">
        <f t="shared" si="2"/>
        <v>011</v>
      </c>
      <c r="I21" s="161" t="str">
        <f t="shared" si="3"/>
        <v>001-011</v>
      </c>
      <c r="J21" s="162" t="s">
        <v>491</v>
      </c>
      <c r="K21" s="161" t="s">
        <v>345</v>
      </c>
      <c r="L21" s="418">
        <v>296172</v>
      </c>
      <c r="N21" s="157">
        <f t="shared" si="4"/>
        <v>101</v>
      </c>
      <c r="O21" s="156">
        <f t="shared" ref="O21:O33" si="10">SUM(L21:L21)</f>
        <v>296172</v>
      </c>
      <c r="Q21" s="156"/>
      <c r="AD21" s="407" t="s">
        <v>781</v>
      </c>
      <c r="AE21" s="413">
        <v>3198000</v>
      </c>
      <c r="AG21" s="159">
        <f t="shared" si="6"/>
        <v>0</v>
      </c>
    </row>
    <row r="22" spans="1:33" hidden="1">
      <c r="A22" s="161" t="str">
        <f t="shared" si="0"/>
        <v>9Aerospace Enrollments (1000 FTEs)</v>
      </c>
      <c r="B22" s="161">
        <f t="shared" si="7"/>
        <v>1</v>
      </c>
      <c r="C22" s="163">
        <v>9</v>
      </c>
      <c r="D22" s="163" t="b">
        <v>1</v>
      </c>
      <c r="E22" s="161" t="s">
        <v>22</v>
      </c>
      <c r="F22" s="161" t="str">
        <f t="shared" si="1"/>
        <v>001</v>
      </c>
      <c r="G22" s="384">
        <v>101</v>
      </c>
      <c r="H22" s="161" t="str">
        <f t="shared" si="2"/>
        <v>011</v>
      </c>
      <c r="I22" s="161" t="str">
        <f t="shared" si="3"/>
        <v>001-011</v>
      </c>
      <c r="J22" s="162" t="s">
        <v>491</v>
      </c>
      <c r="K22" s="161" t="s">
        <v>345</v>
      </c>
      <c r="L22" s="418">
        <v>157760</v>
      </c>
      <c r="N22" s="157">
        <f t="shared" si="4"/>
        <v>101</v>
      </c>
      <c r="O22" s="156">
        <f t="shared" si="10"/>
        <v>157760</v>
      </c>
      <c r="Q22" s="156"/>
      <c r="AD22" s="407" t="s">
        <v>170</v>
      </c>
      <c r="AE22" s="413">
        <v>1740808</v>
      </c>
      <c r="AF22" s="159" t="s">
        <v>782</v>
      </c>
      <c r="AG22" s="159">
        <f t="shared" si="6"/>
        <v>1740808</v>
      </c>
    </row>
    <row r="23" spans="1:33" hidden="1">
      <c r="A23" s="161" t="str">
        <f t="shared" si="0"/>
        <v>26Aerospace Enrollments (1000 FTEs)</v>
      </c>
      <c r="B23" s="161">
        <f t="shared" si="7"/>
        <v>1</v>
      </c>
      <c r="C23" s="163">
        <v>26</v>
      </c>
      <c r="D23" s="163" t="b">
        <v>1</v>
      </c>
      <c r="E23" s="161" t="s">
        <v>39</v>
      </c>
      <c r="F23" s="161" t="str">
        <f t="shared" si="1"/>
        <v>001</v>
      </c>
      <c r="G23" s="384">
        <v>101</v>
      </c>
      <c r="H23" s="161" t="str">
        <f t="shared" si="2"/>
        <v>011</v>
      </c>
      <c r="I23" s="161" t="str">
        <f t="shared" si="3"/>
        <v>001-011</v>
      </c>
      <c r="J23" s="162" t="s">
        <v>491</v>
      </c>
      <c r="K23" s="161" t="s">
        <v>345</v>
      </c>
      <c r="L23" s="418">
        <v>354960</v>
      </c>
      <c r="N23" s="157">
        <f t="shared" si="4"/>
        <v>101</v>
      </c>
      <c r="O23" s="156">
        <f t="shared" si="10"/>
        <v>354960</v>
      </c>
      <c r="Q23" s="156"/>
      <c r="AD23" s="407" t="s">
        <v>213</v>
      </c>
      <c r="AE23" s="413">
        <v>597310</v>
      </c>
      <c r="AF23" s="159" t="s">
        <v>782</v>
      </c>
      <c r="AG23" s="159">
        <f t="shared" si="6"/>
        <v>597310</v>
      </c>
    </row>
    <row r="24" spans="1:33" hidden="1">
      <c r="A24" s="161" t="str">
        <f t="shared" si="0"/>
        <v>3Aerospace Enrollments (1000 FTEs)</v>
      </c>
      <c r="B24" s="161">
        <f t="shared" si="7"/>
        <v>1</v>
      </c>
      <c r="C24" s="163">
        <v>3</v>
      </c>
      <c r="D24" s="163" t="b">
        <v>1</v>
      </c>
      <c r="E24" s="161" t="s">
        <v>16</v>
      </c>
      <c r="F24" s="161" t="str">
        <f t="shared" si="1"/>
        <v>001</v>
      </c>
      <c r="G24" s="384">
        <v>101</v>
      </c>
      <c r="H24" s="161" t="str">
        <f t="shared" si="2"/>
        <v>011</v>
      </c>
      <c r="I24" s="161" t="str">
        <f t="shared" si="3"/>
        <v>001-011</v>
      </c>
      <c r="J24" s="162" t="s">
        <v>491</v>
      </c>
      <c r="K24" s="161" t="s">
        <v>345</v>
      </c>
      <c r="L24" s="418">
        <v>481168</v>
      </c>
      <c r="N24" s="157">
        <f t="shared" si="4"/>
        <v>101</v>
      </c>
      <c r="O24" s="156">
        <f t="shared" si="10"/>
        <v>481168</v>
      </c>
      <c r="Q24" s="156"/>
      <c r="AD24" s="407" t="s">
        <v>157</v>
      </c>
      <c r="AE24" s="413">
        <v>1139716</v>
      </c>
      <c r="AG24" s="159">
        <f t="shared" si="6"/>
        <v>0</v>
      </c>
    </row>
    <row r="25" spans="1:33" hidden="1">
      <c r="A25" s="161" t="str">
        <f t="shared" si="0"/>
        <v>1Aerospace Enrollments (1000 FTEs)</v>
      </c>
      <c r="B25" s="161">
        <v>1</v>
      </c>
      <c r="C25" s="163">
        <v>1</v>
      </c>
      <c r="D25" s="163" t="b">
        <v>1</v>
      </c>
      <c r="E25" s="161" t="s">
        <v>14</v>
      </c>
      <c r="F25" s="161" t="str">
        <f t="shared" si="1"/>
        <v>001</v>
      </c>
      <c r="G25" s="384">
        <v>101</v>
      </c>
      <c r="H25" s="161" t="str">
        <f t="shared" si="2"/>
        <v>011</v>
      </c>
      <c r="I25" s="161" t="str">
        <f t="shared" si="3"/>
        <v>001-011</v>
      </c>
      <c r="J25" s="162" t="s">
        <v>491</v>
      </c>
      <c r="K25" s="161" t="s">
        <v>345</v>
      </c>
      <c r="L25" s="418">
        <v>299744</v>
      </c>
      <c r="N25" s="157">
        <f t="shared" si="4"/>
        <v>101</v>
      </c>
      <c r="O25" s="156">
        <f t="shared" si="10"/>
        <v>299744</v>
      </c>
      <c r="Q25" s="156"/>
      <c r="AD25" s="407" t="s">
        <v>341</v>
      </c>
      <c r="AE25" s="413">
        <v>1080000</v>
      </c>
      <c r="AG25" s="159">
        <f t="shared" si="6"/>
        <v>0</v>
      </c>
    </row>
    <row r="26" spans="1:33" hidden="1">
      <c r="A26" s="161" t="str">
        <f t="shared" si="0"/>
        <v>27Aerospace Enrollments (1000 FTEs)</v>
      </c>
      <c r="B26" s="161">
        <f t="shared" ref="B26:B89" si="11">B25</f>
        <v>1</v>
      </c>
      <c r="C26" s="163">
        <v>27</v>
      </c>
      <c r="D26" s="163" t="b">
        <v>1</v>
      </c>
      <c r="E26" s="161" t="s">
        <v>40</v>
      </c>
      <c r="F26" s="161" t="str">
        <f t="shared" si="1"/>
        <v>001</v>
      </c>
      <c r="G26" s="384">
        <v>101</v>
      </c>
      <c r="H26" s="161" t="str">
        <f t="shared" si="2"/>
        <v>011</v>
      </c>
      <c r="I26" s="161" t="str">
        <f t="shared" si="3"/>
        <v>001-011</v>
      </c>
      <c r="J26" s="162" t="s">
        <v>491</v>
      </c>
      <c r="K26" s="161" t="s">
        <v>345</v>
      </c>
      <c r="L26" s="418">
        <v>235338</v>
      </c>
      <c r="N26" s="157">
        <f t="shared" si="4"/>
        <v>101</v>
      </c>
      <c r="O26" s="156">
        <f t="shared" si="10"/>
        <v>235338</v>
      </c>
      <c r="Q26" s="156"/>
      <c r="AD26" s="407" t="s">
        <v>227</v>
      </c>
      <c r="AE26" s="413">
        <v>521708</v>
      </c>
      <c r="AF26" s="159" t="s">
        <v>782</v>
      </c>
      <c r="AG26" s="159">
        <f t="shared" si="6"/>
        <v>521708</v>
      </c>
    </row>
    <row r="27" spans="1:33" hidden="1">
      <c r="A27" s="161" t="str">
        <f t="shared" si="0"/>
        <v>6Aerospace Enrollments (1000 FTEs)</v>
      </c>
      <c r="B27" s="161">
        <f t="shared" si="11"/>
        <v>1</v>
      </c>
      <c r="C27" s="163">
        <v>6</v>
      </c>
      <c r="D27" s="163" t="b">
        <v>1</v>
      </c>
      <c r="E27" s="161" t="s">
        <v>19</v>
      </c>
      <c r="F27" s="161" t="str">
        <f t="shared" si="1"/>
        <v>001</v>
      </c>
      <c r="G27" s="384">
        <v>101</v>
      </c>
      <c r="H27" s="161" t="str">
        <f t="shared" si="2"/>
        <v>011</v>
      </c>
      <c r="I27" s="161" t="str">
        <f t="shared" si="3"/>
        <v>001-011</v>
      </c>
      <c r="J27" s="162" t="s">
        <v>491</v>
      </c>
      <c r="K27" s="161" t="s">
        <v>345</v>
      </c>
      <c r="L27" s="418">
        <v>1280881</v>
      </c>
      <c r="N27" s="157">
        <f t="shared" si="4"/>
        <v>101</v>
      </c>
      <c r="O27" s="156">
        <f t="shared" si="10"/>
        <v>1280881</v>
      </c>
      <c r="Q27" s="156"/>
      <c r="AD27" s="407" t="s">
        <v>252</v>
      </c>
      <c r="AE27" s="413">
        <v>0</v>
      </c>
      <c r="AG27" s="159">
        <f t="shared" si="6"/>
        <v>0</v>
      </c>
    </row>
    <row r="28" spans="1:33" hidden="1">
      <c r="A28" s="161" t="str">
        <f t="shared" si="0"/>
        <v>7Aerospace Enrollments (1000 FTEs)</v>
      </c>
      <c r="B28" s="161">
        <f t="shared" si="11"/>
        <v>1</v>
      </c>
      <c r="C28" s="163">
        <v>7</v>
      </c>
      <c r="D28" s="163" t="b">
        <v>1</v>
      </c>
      <c r="E28" s="161" t="s">
        <v>20</v>
      </c>
      <c r="F28" s="161" t="str">
        <f t="shared" si="1"/>
        <v>001</v>
      </c>
      <c r="G28" s="384">
        <v>101</v>
      </c>
      <c r="H28" s="161" t="str">
        <f t="shared" si="2"/>
        <v>011</v>
      </c>
      <c r="I28" s="161" t="str">
        <f t="shared" si="3"/>
        <v>001-011</v>
      </c>
      <c r="J28" s="162" t="s">
        <v>491</v>
      </c>
      <c r="K28" s="161" t="s">
        <v>345</v>
      </c>
      <c r="L28" s="418">
        <v>152614</v>
      </c>
      <c r="N28" s="157">
        <f t="shared" si="4"/>
        <v>101</v>
      </c>
      <c r="O28" s="156">
        <f t="shared" si="10"/>
        <v>152614</v>
      </c>
      <c r="Q28" s="156"/>
      <c r="AD28" s="407" t="s">
        <v>342</v>
      </c>
      <c r="AE28" s="413">
        <v>458800</v>
      </c>
      <c r="AG28" s="159">
        <f t="shared" si="6"/>
        <v>0</v>
      </c>
    </row>
    <row r="29" spans="1:33" hidden="1">
      <c r="A29" s="161" t="str">
        <f t="shared" si="0"/>
        <v>4Aerospace Enrollments (1000 FTEs)</v>
      </c>
      <c r="B29" s="161">
        <f t="shared" si="11"/>
        <v>1</v>
      </c>
      <c r="C29" s="163">
        <v>4</v>
      </c>
      <c r="D29" s="163" t="b">
        <v>1</v>
      </c>
      <c r="E29" s="161" t="s">
        <v>17</v>
      </c>
      <c r="F29" s="161" t="str">
        <f t="shared" si="1"/>
        <v>001</v>
      </c>
      <c r="G29" s="384">
        <v>101</v>
      </c>
      <c r="H29" s="161" t="str">
        <f t="shared" si="2"/>
        <v>011</v>
      </c>
      <c r="I29" s="161" t="str">
        <f t="shared" si="3"/>
        <v>001-011</v>
      </c>
      <c r="J29" s="162" t="s">
        <v>491</v>
      </c>
      <c r="K29" s="161" t="s">
        <v>345</v>
      </c>
      <c r="L29" s="418">
        <v>212976</v>
      </c>
      <c r="N29" s="157">
        <f t="shared" si="4"/>
        <v>101</v>
      </c>
      <c r="O29" s="156">
        <f t="shared" si="10"/>
        <v>212976</v>
      </c>
      <c r="Q29" s="156"/>
      <c r="AD29" s="407" t="s">
        <v>440</v>
      </c>
      <c r="AE29" s="413">
        <v>216400</v>
      </c>
      <c r="AF29" s="159" t="s">
        <v>782</v>
      </c>
      <c r="AG29" s="159">
        <f t="shared" si="6"/>
        <v>216400</v>
      </c>
    </row>
    <row r="30" spans="1:33" hidden="1">
      <c r="A30" s="161" t="str">
        <f t="shared" si="0"/>
        <v>24Aerospace Enrollments (1000 FTEs)</v>
      </c>
      <c r="B30" s="161">
        <f t="shared" si="11"/>
        <v>1</v>
      </c>
      <c r="C30" s="163">
        <v>24</v>
      </c>
      <c r="D30" s="163" t="b">
        <v>1</v>
      </c>
      <c r="E30" s="161" t="s">
        <v>37</v>
      </c>
      <c r="F30" s="161" t="str">
        <f t="shared" si="1"/>
        <v>001</v>
      </c>
      <c r="G30" s="384">
        <v>101</v>
      </c>
      <c r="H30" s="161" t="str">
        <f t="shared" si="2"/>
        <v>011</v>
      </c>
      <c r="I30" s="161" t="str">
        <f t="shared" si="3"/>
        <v>001-011</v>
      </c>
      <c r="J30" s="162" t="s">
        <v>491</v>
      </c>
      <c r="K30" s="161" t="s">
        <v>345</v>
      </c>
      <c r="L30" s="418">
        <v>118320</v>
      </c>
      <c r="N30" s="157">
        <f t="shared" si="4"/>
        <v>101</v>
      </c>
      <c r="O30" s="156">
        <f t="shared" si="10"/>
        <v>118320</v>
      </c>
      <c r="Q30" s="156"/>
      <c r="AD30" s="407" t="s">
        <v>446</v>
      </c>
      <c r="AE30" s="413">
        <v>150000</v>
      </c>
      <c r="AF30" s="159" t="s">
        <v>782</v>
      </c>
      <c r="AG30" s="159">
        <f t="shared" si="6"/>
        <v>150000</v>
      </c>
    </row>
    <row r="31" spans="1:33" hidden="1">
      <c r="A31" s="161" t="str">
        <f t="shared" si="0"/>
        <v>17Aerospace Enrollments (1000 FTEs)</v>
      </c>
      <c r="B31" s="161">
        <f t="shared" si="11"/>
        <v>1</v>
      </c>
      <c r="C31" s="163">
        <v>17</v>
      </c>
      <c r="D31" s="163" t="b">
        <v>1</v>
      </c>
      <c r="E31" s="161" t="s">
        <v>30</v>
      </c>
      <c r="F31" s="161" t="str">
        <f t="shared" si="1"/>
        <v>001</v>
      </c>
      <c r="G31" s="384">
        <v>101</v>
      </c>
      <c r="H31" s="161" t="str">
        <f t="shared" si="2"/>
        <v>011</v>
      </c>
      <c r="I31" s="161" t="str">
        <f t="shared" si="3"/>
        <v>001-011</v>
      </c>
      <c r="J31" s="162" t="s">
        <v>491</v>
      </c>
      <c r="K31" s="161" t="s">
        <v>345</v>
      </c>
      <c r="L31" s="418">
        <v>314568</v>
      </c>
      <c r="N31" s="157">
        <f t="shared" si="4"/>
        <v>101</v>
      </c>
      <c r="O31" s="156">
        <f t="shared" si="10"/>
        <v>314568</v>
      </c>
      <c r="Q31" s="156"/>
      <c r="AD31" s="407" t="s">
        <v>448</v>
      </c>
      <c r="AE31" s="413">
        <v>11173000</v>
      </c>
      <c r="AF31" s="159" t="s">
        <v>782</v>
      </c>
      <c r="AG31" s="159">
        <f t="shared" si="6"/>
        <v>11173000</v>
      </c>
    </row>
    <row r="32" spans="1:33" hidden="1">
      <c r="A32" s="161" t="str">
        <f t="shared" si="0"/>
        <v>22Aerospace Enrollments (1000 FTEs)</v>
      </c>
      <c r="B32" s="161">
        <f t="shared" si="11"/>
        <v>1</v>
      </c>
      <c r="C32" s="163">
        <v>22</v>
      </c>
      <c r="D32" s="163" t="b">
        <v>1</v>
      </c>
      <c r="E32" s="161" t="s">
        <v>35</v>
      </c>
      <c r="F32" s="161" t="str">
        <f t="shared" si="1"/>
        <v>001</v>
      </c>
      <c r="G32" s="384">
        <v>101</v>
      </c>
      <c r="H32" s="161" t="str">
        <f t="shared" si="2"/>
        <v>011</v>
      </c>
      <c r="I32" s="161" t="str">
        <f t="shared" si="3"/>
        <v>001-011</v>
      </c>
      <c r="J32" s="162" t="s">
        <v>491</v>
      </c>
      <c r="K32" s="161" t="s">
        <v>345</v>
      </c>
      <c r="L32" s="418">
        <v>197200</v>
      </c>
      <c r="N32" s="157">
        <f t="shared" si="4"/>
        <v>101</v>
      </c>
      <c r="O32" s="156">
        <f t="shared" si="10"/>
        <v>197200</v>
      </c>
      <c r="Q32" s="156"/>
      <c r="AD32" s="407" t="s">
        <v>340</v>
      </c>
      <c r="AE32" s="413">
        <v>27505000</v>
      </c>
      <c r="AF32" s="159" t="s">
        <v>782</v>
      </c>
      <c r="AG32" s="159">
        <f t="shared" si="6"/>
        <v>27505000</v>
      </c>
    </row>
    <row r="33" spans="1:33" hidden="1">
      <c r="A33" s="161" t="str">
        <f t="shared" si="0"/>
        <v>15Aerospace Enrollments (1000 FTEs)</v>
      </c>
      <c r="B33" s="161">
        <f t="shared" si="11"/>
        <v>1</v>
      </c>
      <c r="C33" s="163">
        <v>15</v>
      </c>
      <c r="D33" s="163" t="b">
        <v>1</v>
      </c>
      <c r="E33" s="161" t="s">
        <v>28</v>
      </c>
      <c r="F33" s="161" t="str">
        <f t="shared" si="1"/>
        <v>001</v>
      </c>
      <c r="G33" s="384">
        <v>101</v>
      </c>
      <c r="H33" s="161" t="str">
        <f t="shared" si="2"/>
        <v>011</v>
      </c>
      <c r="I33" s="161" t="str">
        <f t="shared" si="3"/>
        <v>001-011</v>
      </c>
      <c r="J33" s="162" t="s">
        <v>491</v>
      </c>
      <c r="K33" s="161" t="s">
        <v>345</v>
      </c>
      <c r="L33" s="418">
        <v>157760</v>
      </c>
      <c r="N33" s="157">
        <f t="shared" si="4"/>
        <v>101</v>
      </c>
      <c r="O33" s="156">
        <f t="shared" si="10"/>
        <v>157760</v>
      </c>
      <c r="Q33" s="156"/>
      <c r="AD33" s="407" t="s">
        <v>162</v>
      </c>
      <c r="AE33" s="413">
        <v>2039906</v>
      </c>
      <c r="AF33" s="159" t="s">
        <v>782</v>
      </c>
      <c r="AG33" s="159">
        <f t="shared" si="6"/>
        <v>2039906</v>
      </c>
    </row>
    <row r="34" spans="1:33" hidden="1">
      <c r="A34" s="161" t="str">
        <f t="shared" si="0"/>
        <v>25Aerospace Training</v>
      </c>
      <c r="B34" s="161">
        <f t="shared" si="11"/>
        <v>1</v>
      </c>
      <c r="C34" s="160">
        <v>25</v>
      </c>
      <c r="D34" s="163" t="b">
        <v>1</v>
      </c>
      <c r="E34" s="161" t="s">
        <v>38</v>
      </c>
      <c r="F34" s="161" t="str">
        <f t="shared" si="1"/>
        <v>001</v>
      </c>
      <c r="G34" s="384">
        <v>101</v>
      </c>
      <c r="H34" s="161" t="str">
        <f t="shared" si="2"/>
        <v>011</v>
      </c>
      <c r="I34" s="161" t="str">
        <f t="shared" si="3"/>
        <v>001-011</v>
      </c>
      <c r="J34" s="162" t="s">
        <v>491</v>
      </c>
      <c r="K34" s="161" t="s">
        <v>211</v>
      </c>
      <c r="L34" s="418">
        <v>251525</v>
      </c>
      <c r="M34" s="420">
        <v>-251525</v>
      </c>
      <c r="N34" s="157">
        <f t="shared" si="4"/>
        <v>101</v>
      </c>
      <c r="O34" s="156">
        <f t="shared" ref="O34:O97" si="12">SUM(L34:M34)</f>
        <v>0</v>
      </c>
      <c r="Q34" s="156"/>
      <c r="AD34" s="407" t="s">
        <v>52</v>
      </c>
      <c r="AE34" s="413">
        <v>2725000</v>
      </c>
      <c r="AF34" s="159" t="s">
        <v>782</v>
      </c>
      <c r="AG34" s="159">
        <f t="shared" si="6"/>
        <v>2725000</v>
      </c>
    </row>
    <row r="35" spans="1:33" hidden="1">
      <c r="A35" s="161" t="str">
        <f t="shared" si="0"/>
        <v>29Aerospace Training</v>
      </c>
      <c r="B35" s="161">
        <f t="shared" si="11"/>
        <v>1</v>
      </c>
      <c r="C35" s="160">
        <v>29</v>
      </c>
      <c r="D35" s="163" t="b">
        <v>1</v>
      </c>
      <c r="E35" s="161" t="s">
        <v>42</v>
      </c>
      <c r="F35" s="161" t="str">
        <f t="shared" si="1"/>
        <v>001</v>
      </c>
      <c r="G35" s="384">
        <v>101</v>
      </c>
      <c r="H35" s="161" t="str">
        <f t="shared" si="2"/>
        <v>011</v>
      </c>
      <c r="I35" s="161" t="str">
        <f t="shared" si="3"/>
        <v>001-011</v>
      </c>
      <c r="J35" s="162" t="s">
        <v>491</v>
      </c>
      <c r="K35" s="161" t="s">
        <v>211</v>
      </c>
      <c r="L35" s="418">
        <v>169713</v>
      </c>
      <c r="M35" s="420">
        <v>-169713</v>
      </c>
      <c r="N35" s="157">
        <f t="shared" si="4"/>
        <v>101</v>
      </c>
      <c r="O35" s="156">
        <f t="shared" si="12"/>
        <v>0</v>
      </c>
      <c r="Q35" s="156"/>
      <c r="AD35" s="407" t="s">
        <v>224</v>
      </c>
      <c r="AE35" s="413">
        <v>149749</v>
      </c>
      <c r="AF35" s="159" t="s">
        <v>782</v>
      </c>
      <c r="AG35" s="159">
        <f t="shared" si="6"/>
        <v>149749</v>
      </c>
    </row>
    <row r="36" spans="1:33" hidden="1">
      <c r="A36" s="161" t="str">
        <f t="shared" si="0"/>
        <v>5Aerospace Training</v>
      </c>
      <c r="B36" s="161">
        <f t="shared" si="11"/>
        <v>1</v>
      </c>
      <c r="C36" s="160">
        <v>5</v>
      </c>
      <c r="D36" s="163" t="b">
        <v>1</v>
      </c>
      <c r="E36" s="161" t="s">
        <v>18</v>
      </c>
      <c r="F36" s="161" t="str">
        <f t="shared" si="1"/>
        <v>001</v>
      </c>
      <c r="G36" s="384">
        <v>101</v>
      </c>
      <c r="H36" s="161" t="str">
        <f t="shared" si="2"/>
        <v>011</v>
      </c>
      <c r="I36" s="161" t="str">
        <f t="shared" si="3"/>
        <v>001-011</v>
      </c>
      <c r="J36" s="162" t="s">
        <v>491</v>
      </c>
      <c r="K36" s="161" t="s">
        <v>211</v>
      </c>
      <c r="L36" s="418">
        <v>457599</v>
      </c>
      <c r="M36" s="420">
        <v>-457599</v>
      </c>
      <c r="N36" s="157">
        <f t="shared" si="4"/>
        <v>101</v>
      </c>
      <c r="O36" s="156">
        <f t="shared" si="12"/>
        <v>0</v>
      </c>
      <c r="Q36" s="156"/>
      <c r="AD36" s="407" t="s">
        <v>225</v>
      </c>
      <c r="AE36" s="413">
        <v>13119</v>
      </c>
      <c r="AF36" s="159" t="s">
        <v>782</v>
      </c>
      <c r="AG36" s="159">
        <f t="shared" si="6"/>
        <v>13119</v>
      </c>
    </row>
    <row r="37" spans="1:33" hidden="1">
      <c r="A37" s="161" t="str">
        <f t="shared" si="0"/>
        <v>00Aerospace Training</v>
      </c>
      <c r="B37" s="161">
        <f t="shared" si="11"/>
        <v>1</v>
      </c>
      <c r="C37" s="160" t="s">
        <v>180</v>
      </c>
      <c r="D37" s="163" t="b">
        <v>1</v>
      </c>
      <c r="E37" s="161" t="s">
        <v>181</v>
      </c>
      <c r="F37" s="161" t="str">
        <f t="shared" si="1"/>
        <v>001</v>
      </c>
      <c r="G37" s="385">
        <v>101</v>
      </c>
      <c r="H37" s="161" t="str">
        <f t="shared" si="2"/>
        <v>011</v>
      </c>
      <c r="I37" s="161" t="str">
        <f t="shared" si="3"/>
        <v>001-011</v>
      </c>
      <c r="J37" s="162" t="s">
        <v>491</v>
      </c>
      <c r="K37" s="161" t="s">
        <v>211</v>
      </c>
      <c r="L37" s="418">
        <v>0</v>
      </c>
      <c r="M37" s="420">
        <v>0</v>
      </c>
      <c r="N37" s="157">
        <f t="shared" si="4"/>
        <v>101</v>
      </c>
      <c r="O37" s="156">
        <f t="shared" si="12"/>
        <v>0</v>
      </c>
      <c r="Q37" s="156"/>
      <c r="AD37" s="407" t="s">
        <v>344</v>
      </c>
      <c r="AE37" s="413">
        <v>0</v>
      </c>
      <c r="AF37" s="415" t="s">
        <v>782</v>
      </c>
      <c r="AG37" s="159">
        <f t="shared" si="6"/>
        <v>0</v>
      </c>
    </row>
    <row r="38" spans="1:33" hidden="1">
      <c r="A38" s="161" t="str">
        <f t="shared" si="0"/>
        <v>26Aerospace Training</v>
      </c>
      <c r="B38" s="161">
        <f t="shared" si="11"/>
        <v>1</v>
      </c>
      <c r="C38" s="163">
        <v>26</v>
      </c>
      <c r="D38" s="163" t="b">
        <v>1</v>
      </c>
      <c r="E38" s="161" t="s">
        <v>39</v>
      </c>
      <c r="F38" s="161" t="str">
        <f t="shared" si="1"/>
        <v>001</v>
      </c>
      <c r="G38" s="384">
        <v>101</v>
      </c>
      <c r="H38" s="161" t="str">
        <f t="shared" si="2"/>
        <v>011</v>
      </c>
      <c r="I38" s="161" t="str">
        <f t="shared" si="3"/>
        <v>001-011</v>
      </c>
      <c r="J38" s="162" t="s">
        <v>491</v>
      </c>
      <c r="K38" s="161" t="s">
        <v>211</v>
      </c>
      <c r="L38" s="418">
        <v>246809</v>
      </c>
      <c r="M38" s="420">
        <v>-246809</v>
      </c>
      <c r="N38" s="157">
        <f t="shared" si="4"/>
        <v>101</v>
      </c>
      <c r="O38" s="156">
        <f t="shared" si="12"/>
        <v>0</v>
      </c>
      <c r="Q38" s="156"/>
      <c r="AD38" s="407" t="s">
        <v>253</v>
      </c>
      <c r="AE38" s="413">
        <v>761000</v>
      </c>
      <c r="AF38" s="159" t="s">
        <v>782</v>
      </c>
      <c r="AG38" s="159">
        <f t="shared" si="6"/>
        <v>761000</v>
      </c>
    </row>
    <row r="39" spans="1:33" hidden="1">
      <c r="A39" s="161" t="str">
        <f t="shared" si="0"/>
        <v>1Aerospace Training</v>
      </c>
      <c r="B39" s="161">
        <f t="shared" si="11"/>
        <v>1</v>
      </c>
      <c r="C39" s="160">
        <v>1</v>
      </c>
      <c r="D39" s="163" t="b">
        <v>1</v>
      </c>
      <c r="E39" s="161" t="s">
        <v>14</v>
      </c>
      <c r="F39" s="161" t="str">
        <f t="shared" si="1"/>
        <v>001</v>
      </c>
      <c r="G39" s="384">
        <v>101</v>
      </c>
      <c r="H39" s="161" t="str">
        <f t="shared" si="2"/>
        <v>011</v>
      </c>
      <c r="I39" s="161" t="str">
        <f t="shared" si="3"/>
        <v>001-011</v>
      </c>
      <c r="J39" s="162" t="s">
        <v>491</v>
      </c>
      <c r="K39" s="161" t="s">
        <v>211</v>
      </c>
      <c r="L39" s="418">
        <v>61015</v>
      </c>
      <c r="M39" s="420">
        <v>-61015</v>
      </c>
      <c r="N39" s="157">
        <f t="shared" si="4"/>
        <v>101</v>
      </c>
      <c r="O39" s="156">
        <f t="shared" si="12"/>
        <v>0</v>
      </c>
      <c r="Q39" s="156"/>
      <c r="AD39" s="407" t="s">
        <v>255</v>
      </c>
      <c r="AE39" s="413">
        <v>255000</v>
      </c>
      <c r="AF39" s="159" t="s">
        <v>782</v>
      </c>
      <c r="AG39" s="159">
        <f t="shared" si="6"/>
        <v>255000</v>
      </c>
    </row>
    <row r="40" spans="1:33" hidden="1">
      <c r="A40" s="161" t="str">
        <f t="shared" si="0"/>
        <v>27Aerospace Training</v>
      </c>
      <c r="B40" s="161">
        <f t="shared" si="11"/>
        <v>1</v>
      </c>
      <c r="C40" s="160">
        <v>27</v>
      </c>
      <c r="D40" s="163" t="b">
        <v>1</v>
      </c>
      <c r="E40" s="161" t="s">
        <v>40</v>
      </c>
      <c r="F40" s="161" t="str">
        <f t="shared" si="1"/>
        <v>001</v>
      </c>
      <c r="G40" s="384">
        <v>101</v>
      </c>
      <c r="H40" s="161" t="str">
        <f t="shared" si="2"/>
        <v>011</v>
      </c>
      <c r="I40" s="161" t="str">
        <f t="shared" si="3"/>
        <v>001-011</v>
      </c>
      <c r="J40" s="162" t="s">
        <v>491</v>
      </c>
      <c r="K40" s="161" t="s">
        <v>211</v>
      </c>
      <c r="L40" s="418">
        <v>73939</v>
      </c>
      <c r="M40" s="420">
        <v>-73939</v>
      </c>
      <c r="N40" s="157">
        <f t="shared" si="4"/>
        <v>101</v>
      </c>
      <c r="O40" s="156">
        <f t="shared" si="12"/>
        <v>0</v>
      </c>
      <c r="Q40" s="156"/>
      <c r="AD40" s="407" t="s">
        <v>397</v>
      </c>
      <c r="AE40" s="413">
        <v>410000</v>
      </c>
      <c r="AF40" s="159" t="s">
        <v>782</v>
      </c>
      <c r="AG40" s="159">
        <f t="shared" si="6"/>
        <v>410000</v>
      </c>
    </row>
    <row r="41" spans="1:33" hidden="1">
      <c r="A41" s="161" t="str">
        <f t="shared" si="0"/>
        <v>20Aerospace Training</v>
      </c>
      <c r="B41" s="161">
        <f t="shared" si="11"/>
        <v>1</v>
      </c>
      <c r="C41" s="163">
        <v>20</v>
      </c>
      <c r="D41" s="163" t="b">
        <v>1</v>
      </c>
      <c r="E41" s="161" t="s">
        <v>33</v>
      </c>
      <c r="F41" s="161" t="str">
        <f t="shared" si="1"/>
        <v>001</v>
      </c>
      <c r="G41" s="384">
        <v>101</v>
      </c>
      <c r="H41" s="161" t="str">
        <f t="shared" si="2"/>
        <v>011</v>
      </c>
      <c r="I41" s="161" t="str">
        <f t="shared" si="3"/>
        <v>001-011</v>
      </c>
      <c r="J41" s="162" t="s">
        <v>491</v>
      </c>
      <c r="K41" s="161" t="s">
        <v>211</v>
      </c>
      <c r="L41" s="418">
        <v>177015</v>
      </c>
      <c r="M41" s="420">
        <v>-177015</v>
      </c>
      <c r="N41" s="157">
        <f t="shared" si="4"/>
        <v>101</v>
      </c>
      <c r="O41" s="156">
        <f t="shared" si="12"/>
        <v>0</v>
      </c>
      <c r="Q41" s="156"/>
      <c r="AD41" s="407" t="s">
        <v>455</v>
      </c>
      <c r="AE41" s="413">
        <v>5000</v>
      </c>
      <c r="AG41" s="159">
        <f t="shared" si="6"/>
        <v>0</v>
      </c>
    </row>
    <row r="42" spans="1:33" hidden="1">
      <c r="A42" s="161" t="str">
        <f t="shared" si="0"/>
        <v>16Aerospace Training</v>
      </c>
      <c r="B42" s="161">
        <f t="shared" si="11"/>
        <v>1</v>
      </c>
      <c r="C42" s="160">
        <v>16</v>
      </c>
      <c r="D42" s="163" t="b">
        <v>1</v>
      </c>
      <c r="E42" s="161" t="s">
        <v>29</v>
      </c>
      <c r="F42" s="161" t="str">
        <f t="shared" si="1"/>
        <v>001</v>
      </c>
      <c r="G42" s="384">
        <v>101</v>
      </c>
      <c r="H42" s="161" t="str">
        <f t="shared" si="2"/>
        <v>011</v>
      </c>
      <c r="I42" s="161" t="str">
        <f t="shared" si="3"/>
        <v>001-011</v>
      </c>
      <c r="J42" s="162" t="s">
        <v>491</v>
      </c>
      <c r="K42" s="161" t="s">
        <v>211</v>
      </c>
      <c r="L42" s="418">
        <v>77785</v>
      </c>
      <c r="M42" s="420">
        <v>-77785</v>
      </c>
      <c r="N42" s="157">
        <f t="shared" si="4"/>
        <v>101</v>
      </c>
      <c r="O42" s="156">
        <f t="shared" si="12"/>
        <v>0</v>
      </c>
      <c r="Q42" s="156"/>
      <c r="AD42" s="407" t="s">
        <v>183</v>
      </c>
      <c r="AE42" s="413">
        <v>1452600</v>
      </c>
      <c r="AG42" s="159">
        <f t="shared" si="6"/>
        <v>0</v>
      </c>
    </row>
    <row r="43" spans="1:33" hidden="1">
      <c r="A43" s="161" t="str">
        <f t="shared" si="0"/>
        <v>6Allied Health Programs</v>
      </c>
      <c r="B43" s="161">
        <f t="shared" si="11"/>
        <v>1</v>
      </c>
      <c r="C43" s="160">
        <v>6</v>
      </c>
      <c r="D43" s="163" t="b">
        <v>1</v>
      </c>
      <c r="E43" s="161" t="s">
        <v>19</v>
      </c>
      <c r="F43" s="161" t="str">
        <f t="shared" si="1"/>
        <v>001</v>
      </c>
      <c r="G43" s="161" t="str">
        <f t="shared" ref="G43:G78" si="13">IF(RIGHT(J43,3)="012","201",IF(RIGHT(J43,3)="232","123",IF(RIGHT(J43,3)="1E2","215",RIGHT(J43,3))))</f>
        <v>BP1</v>
      </c>
      <c r="H43" s="161" t="str">
        <f t="shared" si="2"/>
        <v>BP1</v>
      </c>
      <c r="I43" s="161" t="str">
        <f t="shared" si="3"/>
        <v>001-BP1</v>
      </c>
      <c r="J43" s="162" t="s">
        <v>473</v>
      </c>
      <c r="K43" s="161" t="s">
        <v>453</v>
      </c>
      <c r="L43" s="418">
        <v>0</v>
      </c>
      <c r="M43" s="420">
        <v>425000</v>
      </c>
      <c r="N43" s="157" t="str">
        <f t="shared" si="4"/>
        <v>BP1</v>
      </c>
      <c r="O43" s="156">
        <f t="shared" si="12"/>
        <v>425000</v>
      </c>
      <c r="Q43" s="156"/>
      <c r="R43" s="159" t="s">
        <v>784</v>
      </c>
      <c r="AD43" s="407" t="s">
        <v>151</v>
      </c>
      <c r="AE43" s="413">
        <v>7500000</v>
      </c>
      <c r="AF43" s="159" t="s">
        <v>782</v>
      </c>
      <c r="AG43" s="159">
        <f t="shared" si="6"/>
        <v>7500000</v>
      </c>
    </row>
    <row r="44" spans="1:33">
      <c r="A44" s="161" t="str">
        <f t="shared" si="0"/>
        <v>25Alt. Finance Project Debt Svc.</v>
      </c>
      <c r="B44" s="161">
        <f t="shared" si="11"/>
        <v>1</v>
      </c>
      <c r="C44" s="163">
        <v>25</v>
      </c>
      <c r="D44" s="163" t="b">
        <v>1</v>
      </c>
      <c r="E44" s="161" t="s">
        <v>38</v>
      </c>
      <c r="F44" s="161" t="str">
        <f t="shared" si="1"/>
        <v>060</v>
      </c>
      <c r="G44" s="161" t="str">
        <f t="shared" si="13"/>
        <v>BA0</v>
      </c>
      <c r="H44" s="161" t="str">
        <f t="shared" si="2"/>
        <v>BA0</v>
      </c>
      <c r="I44" s="161" t="str">
        <f t="shared" si="3"/>
        <v>060-BA0</v>
      </c>
      <c r="J44" s="162" t="s">
        <v>209</v>
      </c>
      <c r="K44" s="161" t="s">
        <v>208</v>
      </c>
      <c r="L44" s="418">
        <v>1999596</v>
      </c>
      <c r="M44" s="419">
        <v>-3300</v>
      </c>
      <c r="N44" s="157" t="str">
        <f t="shared" si="4"/>
        <v>BA0</v>
      </c>
      <c r="O44" s="156">
        <f t="shared" si="12"/>
        <v>1996296</v>
      </c>
      <c r="Q44" s="156"/>
      <c r="R44" s="159" t="b">
        <f>SUM(R46:R75)=-SUM(R77:R106)</f>
        <v>1</v>
      </c>
      <c r="S44" s="159" t="b">
        <f t="shared" ref="S44:W44" si="14">SUM(S46:S75)=-SUM(S77:S106)</f>
        <v>1</v>
      </c>
      <c r="T44" s="159" t="b">
        <f t="shared" si="14"/>
        <v>1</v>
      </c>
      <c r="U44" s="159" t="b">
        <f t="shared" si="14"/>
        <v>1</v>
      </c>
      <c r="V44" s="159" t="b">
        <f t="shared" si="14"/>
        <v>1</v>
      </c>
      <c r="W44" s="159" t="b">
        <f t="shared" si="14"/>
        <v>1</v>
      </c>
      <c r="AD44" s="407" t="s">
        <v>150</v>
      </c>
      <c r="AE44" s="413">
        <v>5000000</v>
      </c>
      <c r="AF44" s="159" t="s">
        <v>782</v>
      </c>
      <c r="AG44" s="159">
        <f t="shared" si="6"/>
        <v>5000000</v>
      </c>
    </row>
    <row r="45" spans="1:33">
      <c r="A45" s="161" t="str">
        <f t="shared" si="0"/>
        <v>00Alt. Finance Project Debt Svc.</v>
      </c>
      <c r="B45" s="161">
        <f t="shared" si="11"/>
        <v>1</v>
      </c>
      <c r="C45" s="163" t="s">
        <v>180</v>
      </c>
      <c r="D45" s="163" t="b">
        <v>1</v>
      </c>
      <c r="E45" s="161" t="s">
        <v>181</v>
      </c>
      <c r="F45" s="161" t="str">
        <f t="shared" si="1"/>
        <v>060</v>
      </c>
      <c r="G45" s="161" t="str">
        <f t="shared" si="13"/>
        <v>BA0</v>
      </c>
      <c r="H45" s="161" t="str">
        <f t="shared" si="2"/>
        <v>BA0</v>
      </c>
      <c r="I45" s="161" t="str">
        <f t="shared" si="3"/>
        <v>060-BA0</v>
      </c>
      <c r="J45" s="162" t="s">
        <v>209</v>
      </c>
      <c r="K45" s="161" t="s">
        <v>208</v>
      </c>
      <c r="L45" s="418">
        <v>383824</v>
      </c>
      <c r="M45" s="420">
        <v>3800</v>
      </c>
      <c r="N45" s="157" t="str">
        <f t="shared" si="4"/>
        <v>BA0</v>
      </c>
      <c r="O45" s="156">
        <f t="shared" si="12"/>
        <v>387624</v>
      </c>
      <c r="Q45" s="156"/>
      <c r="R45" s="159" t="s">
        <v>775</v>
      </c>
      <c r="S45" s="159" t="s">
        <v>776</v>
      </c>
      <c r="T45" s="159" t="s">
        <v>777</v>
      </c>
      <c r="U45" s="159" t="s">
        <v>778</v>
      </c>
      <c r="V45" s="159" t="s">
        <v>779</v>
      </c>
      <c r="W45" s="159" t="s">
        <v>780</v>
      </c>
      <c r="X45" s="159" t="s">
        <v>153</v>
      </c>
      <c r="AD45" s="407" t="s">
        <v>207</v>
      </c>
      <c r="AE45" s="413">
        <v>2524000</v>
      </c>
      <c r="AF45" s="159" t="s">
        <v>782</v>
      </c>
      <c r="AG45" s="159">
        <f t="shared" si="6"/>
        <v>2524000</v>
      </c>
    </row>
    <row r="46" spans="1:33">
      <c r="A46" s="161" t="str">
        <f t="shared" si="0"/>
        <v>10Alt. Finance Project Debt Svc.</v>
      </c>
      <c r="B46" s="161">
        <f t="shared" si="11"/>
        <v>1</v>
      </c>
      <c r="C46" s="163">
        <v>10</v>
      </c>
      <c r="D46" s="163" t="b">
        <v>1</v>
      </c>
      <c r="E46" s="161" t="s">
        <v>23</v>
      </c>
      <c r="F46" s="161" t="str">
        <f t="shared" si="1"/>
        <v>060</v>
      </c>
      <c r="G46" s="161" t="str">
        <f t="shared" si="13"/>
        <v>BA0</v>
      </c>
      <c r="H46" s="161" t="str">
        <f t="shared" si="2"/>
        <v>BA0</v>
      </c>
      <c r="I46" s="161" t="str">
        <f t="shared" si="3"/>
        <v>060-BA0</v>
      </c>
      <c r="J46" s="162" t="s">
        <v>209</v>
      </c>
      <c r="K46" s="161" t="s">
        <v>208</v>
      </c>
      <c r="L46" s="418">
        <v>2023280</v>
      </c>
      <c r="M46" s="419">
        <v>-2700</v>
      </c>
      <c r="N46" s="157" t="str">
        <f t="shared" si="4"/>
        <v>BA0</v>
      </c>
      <c r="O46" s="156">
        <f t="shared" si="12"/>
        <v>2020580</v>
      </c>
      <c r="Q46" s="156"/>
      <c r="R46" s="156">
        <f t="shared" ref="R46:U46" si="15">-R77</f>
        <v>-6020</v>
      </c>
      <c r="S46" s="156">
        <f t="shared" si="15"/>
        <v>-706</v>
      </c>
      <c r="T46" s="156">
        <f t="shared" si="15"/>
        <v>0</v>
      </c>
      <c r="U46" s="156">
        <f t="shared" si="15"/>
        <v>0</v>
      </c>
      <c r="V46" s="156">
        <f>-V77</f>
        <v>0</v>
      </c>
      <c r="W46" s="156">
        <f>-W77</f>
        <v>-2250</v>
      </c>
      <c r="X46" s="156">
        <f>SUM(R46:W46)</f>
        <v>-8976</v>
      </c>
      <c r="AD46" s="407" t="s">
        <v>239</v>
      </c>
      <c r="AE46" s="413">
        <v>4453595</v>
      </c>
      <c r="AG46" s="159">
        <f t="shared" si="6"/>
        <v>0</v>
      </c>
    </row>
    <row r="47" spans="1:33">
      <c r="A47" s="161" t="str">
        <f t="shared" si="0"/>
        <v>13Alt. Finance Project Debt Svc.</v>
      </c>
      <c r="B47" s="161">
        <f t="shared" si="11"/>
        <v>1</v>
      </c>
      <c r="C47" s="163">
        <v>13</v>
      </c>
      <c r="D47" s="163" t="b">
        <v>1</v>
      </c>
      <c r="E47" s="161" t="s">
        <v>26</v>
      </c>
      <c r="F47" s="161" t="str">
        <f t="shared" si="1"/>
        <v>060</v>
      </c>
      <c r="G47" s="161" t="str">
        <f t="shared" si="13"/>
        <v>BA0</v>
      </c>
      <c r="H47" s="161" t="str">
        <f t="shared" si="2"/>
        <v>BA0</v>
      </c>
      <c r="I47" s="161" t="str">
        <f t="shared" si="3"/>
        <v>060-BA0</v>
      </c>
      <c r="J47" s="162" t="s">
        <v>209</v>
      </c>
      <c r="K47" s="161" t="s">
        <v>208</v>
      </c>
      <c r="L47" s="418">
        <v>2403975</v>
      </c>
      <c r="M47" s="419">
        <v>2200</v>
      </c>
      <c r="N47" s="157" t="str">
        <f t="shared" si="4"/>
        <v>BA0</v>
      </c>
      <c r="O47" s="156">
        <f t="shared" si="12"/>
        <v>2406175</v>
      </c>
      <c r="Q47" s="156"/>
      <c r="R47" s="156">
        <f t="shared" ref="R47" si="16">-R78</f>
        <v>-17305</v>
      </c>
      <c r="S47" s="156">
        <v>-1252</v>
      </c>
      <c r="T47" s="156"/>
      <c r="U47" s="156"/>
      <c r="V47" s="156">
        <f t="shared" ref="V47:W75" si="17">-V78</f>
        <v>0</v>
      </c>
      <c r="W47" s="156">
        <f t="shared" si="17"/>
        <v>-5791</v>
      </c>
      <c r="X47" s="156">
        <f t="shared" ref="X47:X75" si="18">SUM(R47:W47)</f>
        <v>-24348</v>
      </c>
      <c r="AD47" s="407" t="s">
        <v>238</v>
      </c>
      <c r="AE47" s="413">
        <v>2101953</v>
      </c>
      <c r="AG47" s="159">
        <f t="shared" si="6"/>
        <v>0</v>
      </c>
    </row>
    <row r="48" spans="1:33">
      <c r="A48" s="161" t="str">
        <f t="shared" si="0"/>
        <v>4Alt. Finance Project Debt Svc.</v>
      </c>
      <c r="B48" s="161">
        <f t="shared" si="11"/>
        <v>1</v>
      </c>
      <c r="C48" s="163">
        <v>4</v>
      </c>
      <c r="D48" s="163" t="b">
        <v>1</v>
      </c>
      <c r="E48" s="161" t="s">
        <v>17</v>
      </c>
      <c r="F48" s="161" t="str">
        <f t="shared" si="1"/>
        <v>060</v>
      </c>
      <c r="G48" s="161" t="str">
        <f t="shared" si="13"/>
        <v>BA0</v>
      </c>
      <c r="H48" s="161" t="str">
        <f t="shared" si="2"/>
        <v>BA0</v>
      </c>
      <c r="I48" s="161" t="str">
        <f t="shared" si="3"/>
        <v>060-BA0</v>
      </c>
      <c r="J48" s="162" t="s">
        <v>209</v>
      </c>
      <c r="K48" s="161" t="s">
        <v>208</v>
      </c>
      <c r="L48" s="418">
        <v>1963325</v>
      </c>
      <c r="M48" s="419">
        <v>0</v>
      </c>
      <c r="N48" s="157" t="str">
        <f t="shared" si="4"/>
        <v>BA0</v>
      </c>
      <c r="O48" s="156">
        <f t="shared" si="12"/>
        <v>1963325</v>
      </c>
      <c r="Q48" s="156"/>
      <c r="R48" s="156">
        <f t="shared" ref="R48" si="19">-R79</f>
        <v>-4855</v>
      </c>
      <c r="S48" s="156">
        <v>-491</v>
      </c>
      <c r="T48" s="156"/>
      <c r="U48" s="156"/>
      <c r="V48" s="156">
        <f t="shared" si="17"/>
        <v>0</v>
      </c>
      <c r="W48" s="156">
        <f t="shared" si="17"/>
        <v>-1905</v>
      </c>
      <c r="X48" s="156">
        <f t="shared" si="18"/>
        <v>-7251</v>
      </c>
      <c r="AD48" s="407" t="s">
        <v>182</v>
      </c>
      <c r="AE48" s="413">
        <v>1648</v>
      </c>
      <c r="AF48" s="159" t="s">
        <v>782</v>
      </c>
      <c r="AG48" s="159">
        <f t="shared" si="6"/>
        <v>1648</v>
      </c>
    </row>
    <row r="49" spans="1:33">
      <c r="A49" s="161" t="str">
        <f t="shared" si="0"/>
        <v>28Base Allocation (ELTA)</v>
      </c>
      <c r="B49" s="161">
        <f t="shared" si="11"/>
        <v>1</v>
      </c>
      <c r="C49" s="163">
        <v>28</v>
      </c>
      <c r="D49" s="163" t="b">
        <v>1</v>
      </c>
      <c r="E49" s="161" t="s">
        <v>41</v>
      </c>
      <c r="F49" s="161" t="str">
        <f t="shared" si="1"/>
        <v>08A</v>
      </c>
      <c r="G49" s="161" t="str">
        <f t="shared" si="13"/>
        <v>3E0</v>
      </c>
      <c r="H49" s="161" t="str">
        <f t="shared" si="2"/>
        <v>3E0</v>
      </c>
      <c r="I49" s="161" t="str">
        <f t="shared" si="3"/>
        <v>08A-3E0</v>
      </c>
      <c r="J49" s="161" t="s">
        <v>149</v>
      </c>
      <c r="K49" s="161" t="s">
        <v>171</v>
      </c>
      <c r="L49" s="418">
        <v>1243584</v>
      </c>
      <c r="M49" s="418">
        <v>8976</v>
      </c>
      <c r="N49" s="157" t="str">
        <f t="shared" si="4"/>
        <v>3E0</v>
      </c>
      <c r="O49" s="156">
        <f t="shared" si="12"/>
        <v>1252560</v>
      </c>
      <c r="Q49" s="156"/>
      <c r="R49" s="156">
        <f t="shared" ref="R49" si="20">-R80</f>
        <v>-3954</v>
      </c>
      <c r="S49" s="156">
        <v>-391</v>
      </c>
      <c r="T49" s="156"/>
      <c r="U49" s="156"/>
      <c r="V49" s="156">
        <f t="shared" si="17"/>
        <v>0</v>
      </c>
      <c r="W49" s="156">
        <f t="shared" si="17"/>
        <v>-2234</v>
      </c>
      <c r="X49" s="156">
        <f t="shared" si="18"/>
        <v>-6579</v>
      </c>
      <c r="AD49" s="407" t="s">
        <v>263</v>
      </c>
      <c r="AE49" s="413">
        <v>4684626</v>
      </c>
      <c r="AF49" s="159" t="s">
        <v>782</v>
      </c>
      <c r="AG49" s="159">
        <f t="shared" si="6"/>
        <v>4684626</v>
      </c>
    </row>
    <row r="50" spans="1:33">
      <c r="A50" s="161" t="str">
        <f t="shared" si="0"/>
        <v>8Base Allocation (ELTA)</v>
      </c>
      <c r="B50" s="161">
        <f t="shared" si="11"/>
        <v>1</v>
      </c>
      <c r="C50" s="163">
        <v>8</v>
      </c>
      <c r="D50" s="163" t="b">
        <v>1</v>
      </c>
      <c r="E50" s="161" t="s">
        <v>21</v>
      </c>
      <c r="F50" s="161" t="str">
        <f t="shared" si="1"/>
        <v>08A</v>
      </c>
      <c r="G50" s="161" t="str">
        <f t="shared" si="13"/>
        <v>3E0</v>
      </c>
      <c r="H50" s="161" t="str">
        <f t="shared" si="2"/>
        <v>3E0</v>
      </c>
      <c r="I50" s="161" t="str">
        <f t="shared" si="3"/>
        <v>08A-3E0</v>
      </c>
      <c r="J50" s="161" t="s">
        <v>149</v>
      </c>
      <c r="K50" s="161" t="s">
        <v>171</v>
      </c>
      <c r="L50" s="418">
        <v>1776543</v>
      </c>
      <c r="M50" s="418">
        <v>24348</v>
      </c>
      <c r="N50" s="157" t="str">
        <f t="shared" si="4"/>
        <v>3E0</v>
      </c>
      <c r="O50" s="156">
        <f t="shared" si="12"/>
        <v>1800891</v>
      </c>
      <c r="Q50" s="156"/>
      <c r="R50" s="156">
        <f t="shared" ref="R50" si="21">-R81</f>
        <v>-6128</v>
      </c>
      <c r="S50" s="156">
        <v>-212</v>
      </c>
      <c r="T50" s="156"/>
      <c r="U50" s="156"/>
      <c r="V50" s="156">
        <f t="shared" si="17"/>
        <v>0</v>
      </c>
      <c r="W50" s="156">
        <f t="shared" si="17"/>
        <v>-1909</v>
      </c>
      <c r="X50" s="156">
        <f t="shared" si="18"/>
        <v>-8249</v>
      </c>
      <c r="AD50" s="407" t="s">
        <v>272</v>
      </c>
      <c r="AE50" s="413">
        <v>565374</v>
      </c>
      <c r="AF50" s="159" t="s">
        <v>782</v>
      </c>
      <c r="AG50" s="159">
        <f t="shared" si="6"/>
        <v>565374</v>
      </c>
    </row>
    <row r="51" spans="1:33">
      <c r="A51" s="161" t="str">
        <f t="shared" si="0"/>
        <v>25Base Allocation (ELTA)</v>
      </c>
      <c r="B51" s="161">
        <f t="shared" si="11"/>
        <v>1</v>
      </c>
      <c r="C51" s="163">
        <v>25</v>
      </c>
      <c r="D51" s="163" t="b">
        <v>1</v>
      </c>
      <c r="E51" s="161" t="s">
        <v>38</v>
      </c>
      <c r="F51" s="161" t="str">
        <f t="shared" si="1"/>
        <v>08A</v>
      </c>
      <c r="G51" s="161" t="str">
        <f t="shared" si="13"/>
        <v>3E0</v>
      </c>
      <c r="H51" s="161" t="str">
        <f t="shared" si="2"/>
        <v>3E0</v>
      </c>
      <c r="I51" s="161" t="str">
        <f t="shared" si="3"/>
        <v>08A-3E0</v>
      </c>
      <c r="J51" s="161" t="s">
        <v>149</v>
      </c>
      <c r="K51" s="161" t="s">
        <v>171</v>
      </c>
      <c r="L51" s="418">
        <v>871393</v>
      </c>
      <c r="M51" s="418">
        <v>7251</v>
      </c>
      <c r="N51" s="157" t="str">
        <f t="shared" si="4"/>
        <v>3E0</v>
      </c>
      <c r="O51" s="156">
        <f t="shared" si="12"/>
        <v>878644</v>
      </c>
      <c r="Q51" s="156"/>
      <c r="R51" s="156">
        <f t="shared" ref="R51" si="22">-R82</f>
        <v>-5188</v>
      </c>
      <c r="S51" s="156">
        <v>-459</v>
      </c>
      <c r="T51" s="156"/>
      <c r="U51" s="156"/>
      <c r="V51" s="156">
        <f t="shared" si="17"/>
        <v>-1192</v>
      </c>
      <c r="W51" s="156">
        <f t="shared" si="17"/>
        <v>-1853</v>
      </c>
      <c r="X51" s="156">
        <f t="shared" si="18"/>
        <v>-8692</v>
      </c>
      <c r="AD51" s="407" t="s">
        <v>273</v>
      </c>
      <c r="AE51" s="413">
        <v>0</v>
      </c>
      <c r="AG51" s="159">
        <f t="shared" si="6"/>
        <v>0</v>
      </c>
    </row>
    <row r="52" spans="1:33">
      <c r="A52" s="161" t="str">
        <f t="shared" si="0"/>
        <v>18Base Allocation (ELTA)</v>
      </c>
      <c r="B52" s="161">
        <f t="shared" si="11"/>
        <v>1</v>
      </c>
      <c r="C52" s="163">
        <v>18</v>
      </c>
      <c r="D52" s="163" t="b">
        <v>1</v>
      </c>
      <c r="E52" s="161" t="s">
        <v>31</v>
      </c>
      <c r="F52" s="161" t="str">
        <f t="shared" si="1"/>
        <v>08A</v>
      </c>
      <c r="G52" s="161" t="str">
        <f t="shared" si="13"/>
        <v>3E0</v>
      </c>
      <c r="H52" s="161" t="str">
        <f t="shared" si="2"/>
        <v>3E0</v>
      </c>
      <c r="I52" s="161" t="str">
        <f t="shared" si="3"/>
        <v>08A-3E0</v>
      </c>
      <c r="J52" s="161" t="s">
        <v>149</v>
      </c>
      <c r="K52" s="161" t="s">
        <v>171</v>
      </c>
      <c r="L52" s="418">
        <v>814529</v>
      </c>
      <c r="M52" s="418">
        <v>6579</v>
      </c>
      <c r="N52" s="157" t="str">
        <f t="shared" si="4"/>
        <v>3E0</v>
      </c>
      <c r="O52" s="156">
        <f t="shared" si="12"/>
        <v>821108</v>
      </c>
      <c r="Q52" s="156"/>
      <c r="R52" s="156">
        <f t="shared" ref="R52" si="23">-R83</f>
        <v>-18119</v>
      </c>
      <c r="S52" s="156">
        <v>-1767</v>
      </c>
      <c r="T52" s="156"/>
      <c r="U52" s="156">
        <v>-2000</v>
      </c>
      <c r="V52" s="156">
        <f t="shared" si="17"/>
        <v>0</v>
      </c>
      <c r="W52" s="156">
        <f t="shared" si="17"/>
        <v>-4238</v>
      </c>
      <c r="X52" s="156">
        <f t="shared" si="18"/>
        <v>-26124</v>
      </c>
      <c r="AD52" s="407" t="s">
        <v>6</v>
      </c>
      <c r="AE52" s="413">
        <v>1011628</v>
      </c>
      <c r="AG52" s="159">
        <f t="shared" si="6"/>
        <v>0</v>
      </c>
    </row>
    <row r="53" spans="1:33">
      <c r="A53" s="161" t="str">
        <f t="shared" si="0"/>
        <v>30Base Allocation (ELTA)</v>
      </c>
      <c r="B53" s="161">
        <f t="shared" si="11"/>
        <v>1</v>
      </c>
      <c r="C53" s="163">
        <v>30</v>
      </c>
      <c r="D53" s="163" t="b">
        <v>1</v>
      </c>
      <c r="E53" s="161" t="s">
        <v>43</v>
      </c>
      <c r="F53" s="161" t="str">
        <f t="shared" si="1"/>
        <v>08A</v>
      </c>
      <c r="G53" s="161" t="str">
        <f t="shared" si="13"/>
        <v>3E0</v>
      </c>
      <c r="H53" s="161" t="str">
        <f t="shared" si="2"/>
        <v>3E0</v>
      </c>
      <c r="I53" s="161" t="str">
        <f t="shared" si="3"/>
        <v>08A-3E0</v>
      </c>
      <c r="J53" s="161" t="s">
        <v>149</v>
      </c>
      <c r="K53" s="161" t="s">
        <v>171</v>
      </c>
      <c r="L53" s="418">
        <v>1144733</v>
      </c>
      <c r="M53" s="418">
        <v>8249</v>
      </c>
      <c r="N53" s="157" t="str">
        <f t="shared" si="4"/>
        <v>3E0</v>
      </c>
      <c r="O53" s="156">
        <f t="shared" si="12"/>
        <v>1152982</v>
      </c>
      <c r="Q53" s="156"/>
      <c r="R53" s="156">
        <f t="shared" ref="R53" si="24">-R84</f>
        <v>-7274</v>
      </c>
      <c r="S53" s="156">
        <v>-706</v>
      </c>
      <c r="T53" s="156"/>
      <c r="U53" s="156"/>
      <c r="V53" s="156">
        <f t="shared" si="17"/>
        <v>0</v>
      </c>
      <c r="W53" s="156">
        <f t="shared" si="17"/>
        <v>-2626</v>
      </c>
      <c r="X53" s="156">
        <f t="shared" si="18"/>
        <v>-10606</v>
      </c>
      <c r="AD53" s="407" t="s">
        <v>203</v>
      </c>
      <c r="AE53" s="413">
        <v>500000</v>
      </c>
      <c r="AF53" s="159" t="s">
        <v>782</v>
      </c>
      <c r="AG53" s="159">
        <f t="shared" si="6"/>
        <v>500000</v>
      </c>
    </row>
    <row r="54" spans="1:33">
      <c r="A54" s="161" t="str">
        <f t="shared" si="0"/>
        <v>12Base Allocation (ELTA)</v>
      </c>
      <c r="B54" s="161">
        <f t="shared" si="11"/>
        <v>1</v>
      </c>
      <c r="C54" s="163">
        <v>12</v>
      </c>
      <c r="D54" s="163" t="b">
        <v>1</v>
      </c>
      <c r="E54" s="161" t="s">
        <v>25</v>
      </c>
      <c r="F54" s="161" t="str">
        <f t="shared" si="1"/>
        <v>08A</v>
      </c>
      <c r="G54" s="161" t="str">
        <f t="shared" si="13"/>
        <v>3E0</v>
      </c>
      <c r="H54" s="161" t="str">
        <f t="shared" si="2"/>
        <v>3E0</v>
      </c>
      <c r="I54" s="161" t="str">
        <f t="shared" si="3"/>
        <v>08A-3E0</v>
      </c>
      <c r="J54" s="161" t="s">
        <v>149</v>
      </c>
      <c r="K54" s="161" t="s">
        <v>171</v>
      </c>
      <c r="L54" s="418">
        <v>804793</v>
      </c>
      <c r="M54" s="418">
        <v>8692</v>
      </c>
      <c r="N54" s="157" t="str">
        <f t="shared" si="4"/>
        <v>3E0</v>
      </c>
      <c r="O54" s="156">
        <f t="shared" si="12"/>
        <v>813485</v>
      </c>
      <c r="Q54" s="156"/>
      <c r="R54" s="156">
        <f t="shared" ref="R54" si="25">-R85</f>
        <v>-8371</v>
      </c>
      <c r="S54" s="156">
        <v>-623</v>
      </c>
      <c r="T54" s="156"/>
      <c r="U54" s="156"/>
      <c r="V54" s="156">
        <f t="shared" si="17"/>
        <v>0</v>
      </c>
      <c r="W54" s="156">
        <f t="shared" si="17"/>
        <v>-2673</v>
      </c>
      <c r="X54" s="156">
        <f t="shared" si="18"/>
        <v>-11667</v>
      </c>
      <c r="AD54" s="407" t="s">
        <v>221</v>
      </c>
      <c r="AE54" s="413">
        <v>0</v>
      </c>
      <c r="AF54" s="159" t="s">
        <v>783</v>
      </c>
      <c r="AG54" s="159">
        <f t="shared" si="6"/>
        <v>0</v>
      </c>
    </row>
    <row r="55" spans="1:33">
      <c r="A55" s="161" t="str">
        <f t="shared" si="0"/>
        <v>14Base Allocation (ELTA)</v>
      </c>
      <c r="B55" s="161">
        <f t="shared" si="11"/>
        <v>1</v>
      </c>
      <c r="C55" s="163">
        <v>14</v>
      </c>
      <c r="D55" s="163" t="b">
        <v>1</v>
      </c>
      <c r="E55" s="161" t="s">
        <v>27</v>
      </c>
      <c r="F55" s="161" t="str">
        <f t="shared" si="1"/>
        <v>08A</v>
      </c>
      <c r="G55" s="161" t="str">
        <f t="shared" si="13"/>
        <v>3E0</v>
      </c>
      <c r="H55" s="161" t="str">
        <f t="shared" si="2"/>
        <v>3E0</v>
      </c>
      <c r="I55" s="161" t="str">
        <f t="shared" si="3"/>
        <v>08A-3E0</v>
      </c>
      <c r="J55" s="161" t="s">
        <v>149</v>
      </c>
      <c r="K55" s="161" t="s">
        <v>171</v>
      </c>
      <c r="L55" s="418">
        <v>1757000</v>
      </c>
      <c r="M55" s="418">
        <v>26124</v>
      </c>
      <c r="N55" s="157" t="str">
        <f t="shared" si="4"/>
        <v>3E0</v>
      </c>
      <c r="O55" s="156">
        <f t="shared" si="12"/>
        <v>1783124</v>
      </c>
      <c r="Q55" s="156"/>
      <c r="R55" s="156">
        <f t="shared" ref="R55" si="26">-R86</f>
        <v>-13939</v>
      </c>
      <c r="S55" s="156">
        <v>-1330</v>
      </c>
      <c r="T55" s="156"/>
      <c r="U55" s="156"/>
      <c r="V55" s="156">
        <f t="shared" si="17"/>
        <v>0</v>
      </c>
      <c r="W55" s="156">
        <f t="shared" si="17"/>
        <v>-4299</v>
      </c>
      <c r="X55" s="156">
        <f t="shared" si="18"/>
        <v>-19568</v>
      </c>
      <c r="AD55" s="407" t="s">
        <v>343</v>
      </c>
      <c r="AE55" s="413">
        <v>0</v>
      </c>
      <c r="AF55" s="159" t="s">
        <v>782</v>
      </c>
      <c r="AG55" s="159">
        <f t="shared" si="6"/>
        <v>0</v>
      </c>
    </row>
    <row r="56" spans="1:33">
      <c r="A56" s="161" t="str">
        <f t="shared" si="0"/>
        <v>29Base Allocation (ELTA)</v>
      </c>
      <c r="B56" s="161">
        <f t="shared" si="11"/>
        <v>1</v>
      </c>
      <c r="C56" s="163">
        <v>29</v>
      </c>
      <c r="D56" s="163" t="b">
        <v>1</v>
      </c>
      <c r="E56" s="161" t="s">
        <v>42</v>
      </c>
      <c r="F56" s="161" t="str">
        <f t="shared" si="1"/>
        <v>08A</v>
      </c>
      <c r="G56" s="161" t="str">
        <f t="shared" si="13"/>
        <v>3E0</v>
      </c>
      <c r="H56" s="161" t="str">
        <f t="shared" si="2"/>
        <v>3E0</v>
      </c>
      <c r="I56" s="161" t="str">
        <f t="shared" si="3"/>
        <v>08A-3E0</v>
      </c>
      <c r="J56" s="161" t="s">
        <v>149</v>
      </c>
      <c r="K56" s="161" t="s">
        <v>171</v>
      </c>
      <c r="L56" s="418">
        <v>1206184</v>
      </c>
      <c r="M56" s="418">
        <v>10606</v>
      </c>
      <c r="N56" s="157" t="str">
        <f t="shared" si="4"/>
        <v>3E0</v>
      </c>
      <c r="O56" s="156">
        <f t="shared" si="12"/>
        <v>1216790</v>
      </c>
      <c r="Q56" s="156"/>
      <c r="R56" s="156">
        <f t="shared" ref="R56" si="27">-R87</f>
        <v>-11841</v>
      </c>
      <c r="S56" s="156">
        <v>-1267</v>
      </c>
      <c r="T56" s="156"/>
      <c r="U56" s="156"/>
      <c r="V56" s="156">
        <f t="shared" si="17"/>
        <v>-4249</v>
      </c>
      <c r="W56" s="156">
        <f t="shared" si="17"/>
        <v>-3049</v>
      </c>
      <c r="X56" s="156">
        <f t="shared" si="18"/>
        <v>-20406</v>
      </c>
      <c r="AD56" s="407" t="s">
        <v>66</v>
      </c>
      <c r="AE56" s="413">
        <v>738137</v>
      </c>
      <c r="AF56" s="159" t="s">
        <v>782</v>
      </c>
      <c r="AG56" s="159">
        <f t="shared" si="6"/>
        <v>738137</v>
      </c>
    </row>
    <row r="57" spans="1:33">
      <c r="A57" s="161" t="str">
        <f t="shared" si="0"/>
        <v>19Base Allocation (ELTA)</v>
      </c>
      <c r="B57" s="161">
        <f t="shared" si="11"/>
        <v>1</v>
      </c>
      <c r="C57" s="163">
        <v>19</v>
      </c>
      <c r="D57" s="163" t="b">
        <v>1</v>
      </c>
      <c r="E57" s="161" t="s">
        <v>32</v>
      </c>
      <c r="F57" s="161" t="str">
        <f t="shared" si="1"/>
        <v>08A</v>
      </c>
      <c r="G57" s="161" t="str">
        <f t="shared" si="13"/>
        <v>3E0</v>
      </c>
      <c r="H57" s="161" t="str">
        <f t="shared" si="2"/>
        <v>3E0</v>
      </c>
      <c r="I57" s="161" t="str">
        <f t="shared" si="3"/>
        <v>08A-3E0</v>
      </c>
      <c r="J57" s="161" t="s">
        <v>149</v>
      </c>
      <c r="K57" s="161" t="s">
        <v>171</v>
      </c>
      <c r="L57" s="418">
        <v>1327003</v>
      </c>
      <c r="M57" s="418">
        <v>11667</v>
      </c>
      <c r="N57" s="157" t="str">
        <f t="shared" si="4"/>
        <v>3E0</v>
      </c>
      <c r="O57" s="156">
        <f t="shared" si="12"/>
        <v>1338670</v>
      </c>
      <c r="Q57" s="156"/>
      <c r="R57" s="156">
        <f t="shared" ref="R57" si="28">-R88</f>
        <v>-3742</v>
      </c>
      <c r="S57" s="156">
        <v>-471</v>
      </c>
      <c r="T57" s="156"/>
      <c r="U57" s="156"/>
      <c r="V57" s="156">
        <f t="shared" si="17"/>
        <v>0</v>
      </c>
      <c r="W57" s="156">
        <f t="shared" si="17"/>
        <v>-1472</v>
      </c>
      <c r="X57" s="156">
        <f t="shared" si="18"/>
        <v>-5685</v>
      </c>
      <c r="AD57" s="407" t="s">
        <v>65</v>
      </c>
      <c r="AE57" s="413">
        <v>204485</v>
      </c>
      <c r="AF57" s="414" t="s">
        <v>782</v>
      </c>
      <c r="AG57" s="159">
        <f t="shared" si="6"/>
        <v>204485</v>
      </c>
    </row>
    <row r="58" spans="1:33">
      <c r="A58" s="161" t="str">
        <f t="shared" si="0"/>
        <v>23Base Allocation (ELTA)</v>
      </c>
      <c r="B58" s="161">
        <f t="shared" si="11"/>
        <v>1</v>
      </c>
      <c r="C58" s="163">
        <v>23</v>
      </c>
      <c r="D58" s="163" t="b">
        <v>1</v>
      </c>
      <c r="E58" s="161" t="s">
        <v>36</v>
      </c>
      <c r="F58" s="161" t="str">
        <f t="shared" si="1"/>
        <v>08A</v>
      </c>
      <c r="G58" s="161" t="str">
        <f t="shared" si="13"/>
        <v>3E0</v>
      </c>
      <c r="H58" s="161" t="str">
        <f t="shared" si="2"/>
        <v>3E0</v>
      </c>
      <c r="I58" s="161" t="str">
        <f t="shared" si="3"/>
        <v>08A-3E0</v>
      </c>
      <c r="J58" s="161" t="s">
        <v>149</v>
      </c>
      <c r="K58" s="161" t="s">
        <v>171</v>
      </c>
      <c r="L58" s="418">
        <v>799873</v>
      </c>
      <c r="M58" s="418">
        <v>19568</v>
      </c>
      <c r="N58" s="157" t="str">
        <f t="shared" si="4"/>
        <v>3E0</v>
      </c>
      <c r="O58" s="156">
        <f t="shared" si="12"/>
        <v>819441</v>
      </c>
      <c r="Q58" s="156"/>
      <c r="R58" s="156">
        <f t="shared" ref="R58" si="29">-R89</f>
        <v>-13982</v>
      </c>
      <c r="S58" s="156">
        <v>-1169</v>
      </c>
      <c r="T58" s="156"/>
      <c r="U58" s="156"/>
      <c r="V58" s="156">
        <f t="shared" si="17"/>
        <v>-3677</v>
      </c>
      <c r="W58" s="156">
        <f t="shared" si="17"/>
        <v>-4242</v>
      </c>
      <c r="X58" s="156">
        <f t="shared" si="18"/>
        <v>-23070</v>
      </c>
      <c r="AD58" s="407" t="s">
        <v>449</v>
      </c>
      <c r="AE58" s="413">
        <v>1727000</v>
      </c>
      <c r="AF58" s="415" t="s">
        <v>782</v>
      </c>
      <c r="AG58" s="159">
        <f t="shared" si="6"/>
        <v>1727000</v>
      </c>
    </row>
    <row r="59" spans="1:33">
      <c r="A59" s="161" t="str">
        <f t="shared" si="0"/>
        <v>5Base Allocation (ELTA)</v>
      </c>
      <c r="B59" s="161">
        <f t="shared" si="11"/>
        <v>1</v>
      </c>
      <c r="C59" s="163">
        <v>5</v>
      </c>
      <c r="D59" s="163" t="b">
        <v>1</v>
      </c>
      <c r="E59" s="161" t="s">
        <v>18</v>
      </c>
      <c r="F59" s="161" t="str">
        <f t="shared" si="1"/>
        <v>08A</v>
      </c>
      <c r="G59" s="161" t="str">
        <f t="shared" si="13"/>
        <v>3E0</v>
      </c>
      <c r="H59" s="161" t="str">
        <f t="shared" si="2"/>
        <v>3E0</v>
      </c>
      <c r="I59" s="161" t="str">
        <f t="shared" si="3"/>
        <v>08A-3E0</v>
      </c>
      <c r="J59" s="161" t="s">
        <v>149</v>
      </c>
      <c r="K59" s="161" t="s">
        <v>171</v>
      </c>
      <c r="L59" s="418">
        <v>2501977</v>
      </c>
      <c r="M59" s="418">
        <v>20406</v>
      </c>
      <c r="N59" s="157" t="str">
        <f t="shared" si="4"/>
        <v>3E0</v>
      </c>
      <c r="O59" s="156">
        <f t="shared" si="12"/>
        <v>2522383</v>
      </c>
      <c r="Q59" s="156"/>
      <c r="R59" s="156">
        <f t="shared" ref="R59" si="30">-R90</f>
        <v>-11840</v>
      </c>
      <c r="S59" s="156">
        <v>-779</v>
      </c>
      <c r="T59" s="156"/>
      <c r="U59" s="156"/>
      <c r="V59" s="156">
        <f t="shared" si="17"/>
        <v>0</v>
      </c>
      <c r="W59" s="156">
        <f t="shared" si="17"/>
        <v>-3623</v>
      </c>
      <c r="X59" s="156">
        <f t="shared" si="18"/>
        <v>-16242</v>
      </c>
      <c r="AD59" s="407" t="s">
        <v>333</v>
      </c>
      <c r="AE59" s="413">
        <v>6498100</v>
      </c>
      <c r="AG59" s="159">
        <f t="shared" si="6"/>
        <v>0</v>
      </c>
    </row>
    <row r="60" spans="1:33">
      <c r="A60" s="161" t="str">
        <f t="shared" si="0"/>
        <v>2Base Allocation (ELTA)</v>
      </c>
      <c r="B60" s="161">
        <f t="shared" si="11"/>
        <v>1</v>
      </c>
      <c r="C60" s="163">
        <v>2</v>
      </c>
      <c r="D60" s="163" t="b">
        <v>1</v>
      </c>
      <c r="E60" s="161" t="s">
        <v>15</v>
      </c>
      <c r="F60" s="161" t="str">
        <f t="shared" si="1"/>
        <v>08A</v>
      </c>
      <c r="G60" s="161" t="str">
        <f t="shared" si="13"/>
        <v>3E0</v>
      </c>
      <c r="H60" s="161" t="str">
        <f t="shared" si="2"/>
        <v>3E0</v>
      </c>
      <c r="I60" s="161" t="str">
        <f t="shared" si="3"/>
        <v>08A-3E0</v>
      </c>
      <c r="J60" s="161" t="s">
        <v>149</v>
      </c>
      <c r="K60" s="161" t="s">
        <v>171</v>
      </c>
      <c r="L60" s="418">
        <v>434801</v>
      </c>
      <c r="M60" s="418">
        <v>5685</v>
      </c>
      <c r="N60" s="157" t="str">
        <f t="shared" si="4"/>
        <v>3E0</v>
      </c>
      <c r="O60" s="156">
        <f t="shared" si="12"/>
        <v>440486</v>
      </c>
      <c r="Q60" s="156"/>
      <c r="R60" s="156">
        <f t="shared" ref="R60" si="31">-R91</f>
        <v>-6685</v>
      </c>
      <c r="S60" s="156">
        <v>-463</v>
      </c>
      <c r="T60" s="156"/>
      <c r="U60" s="156"/>
      <c r="V60" s="156">
        <f t="shared" si="17"/>
        <v>0</v>
      </c>
      <c r="W60" s="156">
        <f t="shared" si="17"/>
        <v>-2150</v>
      </c>
      <c r="X60" s="156">
        <f t="shared" si="18"/>
        <v>-9298</v>
      </c>
      <c r="AD60" s="407" t="s">
        <v>332</v>
      </c>
      <c r="AE60" s="413">
        <v>20824817</v>
      </c>
      <c r="AF60" s="159" t="s">
        <v>782</v>
      </c>
      <c r="AG60" s="159">
        <f t="shared" si="6"/>
        <v>20824817</v>
      </c>
    </row>
    <row r="61" spans="1:33">
      <c r="A61" s="161" t="str">
        <f t="shared" si="0"/>
        <v>10Base Allocation (ELTA)</v>
      </c>
      <c r="B61" s="161">
        <f t="shared" si="11"/>
        <v>1</v>
      </c>
      <c r="C61" s="163">
        <v>10</v>
      </c>
      <c r="D61" s="163" t="b">
        <v>1</v>
      </c>
      <c r="E61" s="161" t="s">
        <v>23</v>
      </c>
      <c r="F61" s="161" t="str">
        <f t="shared" si="1"/>
        <v>08A</v>
      </c>
      <c r="G61" s="161" t="str">
        <f t="shared" si="13"/>
        <v>3E0</v>
      </c>
      <c r="H61" s="161" t="str">
        <f t="shared" si="2"/>
        <v>3E0</v>
      </c>
      <c r="I61" s="161" t="str">
        <f t="shared" si="3"/>
        <v>08A-3E0</v>
      </c>
      <c r="J61" s="161" t="s">
        <v>149</v>
      </c>
      <c r="K61" s="161" t="s">
        <v>171</v>
      </c>
      <c r="L61" s="418">
        <v>955276</v>
      </c>
      <c r="M61" s="418">
        <v>23070</v>
      </c>
      <c r="N61" s="157" t="str">
        <f t="shared" si="4"/>
        <v>3E0</v>
      </c>
      <c r="O61" s="156">
        <f t="shared" si="12"/>
        <v>978346</v>
      </c>
      <c r="Q61" s="156"/>
      <c r="R61" s="156">
        <f t="shared" ref="R61" si="32">-R92</f>
        <v>-4791</v>
      </c>
      <c r="S61" s="156">
        <v>-472</v>
      </c>
      <c r="T61" s="156"/>
      <c r="U61" s="156"/>
      <c r="V61" s="156">
        <f t="shared" si="17"/>
        <v>-1424</v>
      </c>
      <c r="W61" s="156">
        <f t="shared" si="17"/>
        <v>-1794</v>
      </c>
      <c r="X61" s="156">
        <f t="shared" si="18"/>
        <v>-8481</v>
      </c>
      <c r="AD61" s="407" t="s">
        <v>215</v>
      </c>
      <c r="AE61" s="413">
        <v>12402500</v>
      </c>
      <c r="AF61" s="159" t="s">
        <v>782</v>
      </c>
      <c r="AG61" s="159">
        <f t="shared" si="6"/>
        <v>12402500</v>
      </c>
    </row>
    <row r="62" spans="1:33">
      <c r="A62" s="161" t="str">
        <f t="shared" si="0"/>
        <v>9Base Allocation (ELTA)</v>
      </c>
      <c r="B62" s="161">
        <f t="shared" si="11"/>
        <v>1</v>
      </c>
      <c r="C62" s="163">
        <v>9</v>
      </c>
      <c r="D62" s="163" t="b">
        <v>1</v>
      </c>
      <c r="E62" s="161" t="s">
        <v>22</v>
      </c>
      <c r="F62" s="161" t="str">
        <f t="shared" si="1"/>
        <v>08A</v>
      </c>
      <c r="G62" s="161" t="str">
        <f t="shared" si="13"/>
        <v>3E0</v>
      </c>
      <c r="H62" s="161" t="str">
        <f t="shared" si="2"/>
        <v>3E0</v>
      </c>
      <c r="I62" s="161" t="str">
        <f t="shared" si="3"/>
        <v>08A-3E0</v>
      </c>
      <c r="J62" s="161" t="s">
        <v>149</v>
      </c>
      <c r="K62" s="161" t="s">
        <v>171</v>
      </c>
      <c r="L62" s="418">
        <v>1152175</v>
      </c>
      <c r="M62" s="418">
        <v>16242</v>
      </c>
      <c r="N62" s="157" t="str">
        <f t="shared" si="4"/>
        <v>3E0</v>
      </c>
      <c r="O62" s="156">
        <f t="shared" si="12"/>
        <v>1168417</v>
      </c>
      <c r="Q62" s="156"/>
      <c r="R62" s="156">
        <f t="shared" ref="R62" si="33">-R93</f>
        <v>-11059</v>
      </c>
      <c r="S62" s="156">
        <v>-826</v>
      </c>
      <c r="T62" s="156"/>
      <c r="U62" s="156"/>
      <c r="V62" s="156">
        <f t="shared" si="17"/>
        <v>0</v>
      </c>
      <c r="W62" s="156">
        <f t="shared" si="17"/>
        <v>-3316</v>
      </c>
      <c r="X62" s="156">
        <f t="shared" si="18"/>
        <v>-15201</v>
      </c>
      <c r="AD62" s="407" t="s">
        <v>454</v>
      </c>
      <c r="AE62" s="413">
        <v>183000</v>
      </c>
      <c r="AF62" s="159" t="s">
        <v>782</v>
      </c>
      <c r="AG62" s="159">
        <f t="shared" si="6"/>
        <v>183000</v>
      </c>
    </row>
    <row r="63" spans="1:33">
      <c r="A63" s="161" t="str">
        <f t="shared" si="0"/>
        <v>26Base Allocation (ELTA)</v>
      </c>
      <c r="B63" s="161">
        <f t="shared" si="11"/>
        <v>1</v>
      </c>
      <c r="C63" s="163">
        <v>26</v>
      </c>
      <c r="D63" s="163" t="b">
        <v>1</v>
      </c>
      <c r="E63" s="161" t="s">
        <v>39</v>
      </c>
      <c r="F63" s="161" t="str">
        <f t="shared" si="1"/>
        <v>08A</v>
      </c>
      <c r="G63" s="161" t="str">
        <f t="shared" si="13"/>
        <v>3E0</v>
      </c>
      <c r="H63" s="161" t="str">
        <f t="shared" si="2"/>
        <v>3E0</v>
      </c>
      <c r="I63" s="161" t="str">
        <f t="shared" si="3"/>
        <v>08A-3E0</v>
      </c>
      <c r="J63" s="161" t="s">
        <v>149</v>
      </c>
      <c r="K63" s="161" t="s">
        <v>171</v>
      </c>
      <c r="L63" s="418">
        <v>1212989</v>
      </c>
      <c r="M63" s="418">
        <v>9298</v>
      </c>
      <c r="N63" s="157" t="str">
        <f t="shared" si="4"/>
        <v>3E0</v>
      </c>
      <c r="O63" s="156">
        <f t="shared" si="12"/>
        <v>1222287</v>
      </c>
      <c r="Q63" s="156"/>
      <c r="R63" s="156">
        <f t="shared" ref="R63" si="34">-R94</f>
        <v>-4409</v>
      </c>
      <c r="S63" s="156">
        <v>-329</v>
      </c>
      <c r="T63" s="156"/>
      <c r="U63" s="156"/>
      <c r="V63" s="156">
        <f t="shared" si="17"/>
        <v>-915</v>
      </c>
      <c r="W63" s="156">
        <f t="shared" si="17"/>
        <v>-1871</v>
      </c>
      <c r="X63" s="156">
        <f t="shared" si="18"/>
        <v>-7524</v>
      </c>
      <c r="AD63" s="407" t="s">
        <v>64</v>
      </c>
      <c r="AE63" s="413">
        <v>1569945</v>
      </c>
      <c r="AF63" s="159" t="s">
        <v>782</v>
      </c>
      <c r="AG63" s="159">
        <f t="shared" si="6"/>
        <v>1569945</v>
      </c>
    </row>
    <row r="64" spans="1:33">
      <c r="A64" s="161" t="str">
        <f t="shared" si="0"/>
        <v>13Base Allocation (ELTA)</v>
      </c>
      <c r="B64" s="161">
        <f t="shared" si="11"/>
        <v>1</v>
      </c>
      <c r="C64" s="163">
        <v>13</v>
      </c>
      <c r="D64" s="163" t="b">
        <v>1</v>
      </c>
      <c r="E64" s="161" t="s">
        <v>26</v>
      </c>
      <c r="F64" s="161" t="str">
        <f t="shared" si="1"/>
        <v>08A</v>
      </c>
      <c r="G64" s="161" t="str">
        <f t="shared" si="13"/>
        <v>3E0</v>
      </c>
      <c r="H64" s="161" t="str">
        <f t="shared" si="2"/>
        <v>3E0</v>
      </c>
      <c r="I64" s="161" t="str">
        <f t="shared" si="3"/>
        <v>08A-3E0</v>
      </c>
      <c r="J64" s="161" t="s">
        <v>149</v>
      </c>
      <c r="K64" s="161" t="s">
        <v>171</v>
      </c>
      <c r="L64" s="418">
        <v>779637</v>
      </c>
      <c r="M64" s="418">
        <v>8481</v>
      </c>
      <c r="N64" s="157" t="str">
        <f t="shared" si="4"/>
        <v>3E0</v>
      </c>
      <c r="O64" s="156">
        <f t="shared" si="12"/>
        <v>788118</v>
      </c>
      <c r="Q64" s="156"/>
      <c r="R64" s="156">
        <f t="shared" ref="R64" si="35">-R95</f>
        <v>-13575</v>
      </c>
      <c r="S64" s="156">
        <v>-1591</v>
      </c>
      <c r="T64" s="156"/>
      <c r="U64" s="156"/>
      <c r="V64" s="156">
        <f t="shared" si="17"/>
        <v>0</v>
      </c>
      <c r="W64" s="156">
        <f t="shared" si="17"/>
        <v>-3403</v>
      </c>
      <c r="X64" s="156">
        <f t="shared" si="18"/>
        <v>-18569</v>
      </c>
      <c r="AD64" s="407" t="s">
        <v>228</v>
      </c>
      <c r="AE64" s="413">
        <v>0</v>
      </c>
      <c r="AF64" s="159" t="s">
        <v>782</v>
      </c>
      <c r="AG64" s="159">
        <f t="shared" si="6"/>
        <v>0</v>
      </c>
    </row>
    <row r="65" spans="1:33">
      <c r="A65" s="161" t="str">
        <f t="shared" si="0"/>
        <v>3Base Allocation (ELTA)</v>
      </c>
      <c r="B65" s="161">
        <f t="shared" si="11"/>
        <v>1</v>
      </c>
      <c r="C65" s="163">
        <v>3</v>
      </c>
      <c r="D65" s="163" t="b">
        <v>1</v>
      </c>
      <c r="E65" s="161" t="s">
        <v>16</v>
      </c>
      <c r="F65" s="161" t="str">
        <f t="shared" si="1"/>
        <v>08A</v>
      </c>
      <c r="G65" s="161" t="str">
        <f t="shared" si="13"/>
        <v>3E0</v>
      </c>
      <c r="H65" s="161" t="str">
        <f t="shared" si="2"/>
        <v>3E0</v>
      </c>
      <c r="I65" s="161" t="str">
        <f t="shared" si="3"/>
        <v>08A-3E0</v>
      </c>
      <c r="J65" s="161" t="s">
        <v>149</v>
      </c>
      <c r="K65" s="161" t="s">
        <v>171</v>
      </c>
      <c r="L65" s="418">
        <v>1621383</v>
      </c>
      <c r="M65" s="418">
        <v>15201</v>
      </c>
      <c r="N65" s="157" t="str">
        <f t="shared" si="4"/>
        <v>3E0</v>
      </c>
      <c r="O65" s="156">
        <f t="shared" si="12"/>
        <v>1636584</v>
      </c>
      <c r="Q65" s="156"/>
      <c r="R65" s="156">
        <f t="shared" ref="R65" si="36">-R96</f>
        <v>-6337</v>
      </c>
      <c r="S65" s="156">
        <v>-596</v>
      </c>
      <c r="T65" s="156"/>
      <c r="U65" s="156"/>
      <c r="V65" s="156">
        <f t="shared" si="17"/>
        <v>0</v>
      </c>
      <c r="W65" s="156">
        <f t="shared" si="17"/>
        <v>-2295</v>
      </c>
      <c r="X65" s="156">
        <f t="shared" si="18"/>
        <v>-9228</v>
      </c>
      <c r="AD65" s="407" t="s">
        <v>451</v>
      </c>
      <c r="AE65" s="413">
        <v>1333000</v>
      </c>
      <c r="AF65" s="159" t="s">
        <v>782</v>
      </c>
      <c r="AG65" s="159">
        <f t="shared" si="6"/>
        <v>1333000</v>
      </c>
    </row>
    <row r="66" spans="1:33" s="380" customFormat="1">
      <c r="A66" s="161" t="str">
        <f t="shared" ref="A66:A129" si="37">C66&amp;K66</f>
        <v>1Base Allocation (ELTA)</v>
      </c>
      <c r="B66" s="161">
        <f t="shared" si="11"/>
        <v>1</v>
      </c>
      <c r="C66" s="163">
        <v>1</v>
      </c>
      <c r="D66" s="163" t="b">
        <v>1</v>
      </c>
      <c r="E66" s="161" t="s">
        <v>14</v>
      </c>
      <c r="F66" s="161" t="str">
        <f t="shared" ref="F66:F129" si="38">LEFT(J66,3)</f>
        <v>08A</v>
      </c>
      <c r="G66" s="161" t="str">
        <f t="shared" si="13"/>
        <v>3E0</v>
      </c>
      <c r="H66" s="161" t="str">
        <f t="shared" ref="H66:H129" si="39">RIGHT(J66,3)</f>
        <v>3E0</v>
      </c>
      <c r="I66" s="161" t="str">
        <f t="shared" ref="I66:I129" si="40">F66&amp;"-"&amp;H66</f>
        <v>08A-3E0</v>
      </c>
      <c r="J66" s="161" t="s">
        <v>149</v>
      </c>
      <c r="K66" s="161" t="s">
        <v>171</v>
      </c>
      <c r="L66" s="418">
        <v>470295</v>
      </c>
      <c r="M66" s="418">
        <v>7524</v>
      </c>
      <c r="N66" s="157" t="str">
        <f t="shared" ref="N66:N129" si="41">VLOOKUP(H66,Approp,2,FALSE)</f>
        <v>3E0</v>
      </c>
      <c r="O66" s="156">
        <f t="shared" si="12"/>
        <v>477819</v>
      </c>
      <c r="P66" s="365"/>
      <c r="Q66" s="365"/>
      <c r="R66" s="156">
        <f t="shared" ref="R66" si="42">-R97</f>
        <v>-32553</v>
      </c>
      <c r="S66" s="365">
        <v>-2956</v>
      </c>
      <c r="T66" s="365"/>
      <c r="U66" s="365"/>
      <c r="V66" s="156">
        <f t="shared" si="17"/>
        <v>-8401</v>
      </c>
      <c r="W66" s="156">
        <f t="shared" si="17"/>
        <v>-10321</v>
      </c>
      <c r="X66" s="156">
        <f t="shared" si="18"/>
        <v>-54231</v>
      </c>
      <c r="AD66" s="407" t="s">
        <v>442</v>
      </c>
      <c r="AE66" s="413">
        <v>145000</v>
      </c>
      <c r="AG66" s="159">
        <f t="shared" si="6"/>
        <v>0</v>
      </c>
    </row>
    <row r="67" spans="1:33">
      <c r="A67" s="161" t="str">
        <f t="shared" si="37"/>
        <v>11Base Allocation (ELTA)</v>
      </c>
      <c r="B67" s="161">
        <f t="shared" si="11"/>
        <v>1</v>
      </c>
      <c r="C67" s="163">
        <v>11</v>
      </c>
      <c r="D67" s="163" t="b">
        <v>1</v>
      </c>
      <c r="E67" s="161" t="s">
        <v>24</v>
      </c>
      <c r="F67" s="161" t="str">
        <f t="shared" si="38"/>
        <v>08A</v>
      </c>
      <c r="G67" s="161" t="str">
        <f t="shared" si="13"/>
        <v>3E0</v>
      </c>
      <c r="H67" s="161" t="str">
        <f t="shared" si="39"/>
        <v>3E0</v>
      </c>
      <c r="I67" s="161" t="str">
        <f t="shared" si="40"/>
        <v>08A-3E0</v>
      </c>
      <c r="J67" s="161" t="s">
        <v>149</v>
      </c>
      <c r="K67" s="161" t="s">
        <v>171</v>
      </c>
      <c r="L67" s="418">
        <v>1506570</v>
      </c>
      <c r="M67" s="418">
        <v>18569</v>
      </c>
      <c r="N67" s="157" t="str">
        <f t="shared" si="41"/>
        <v>3E0</v>
      </c>
      <c r="O67" s="156">
        <f t="shared" si="12"/>
        <v>1525139</v>
      </c>
      <c r="Q67" s="156"/>
      <c r="R67" s="156">
        <f t="shared" ref="R67" si="43">-R98</f>
        <v>-10307</v>
      </c>
      <c r="S67" s="156">
        <v>-814</v>
      </c>
      <c r="T67" s="156"/>
      <c r="U67" s="156"/>
      <c r="V67" s="156">
        <f t="shared" si="17"/>
        <v>-2827</v>
      </c>
      <c r="W67" s="156">
        <f t="shared" si="17"/>
        <v>-2653</v>
      </c>
      <c r="X67" s="156">
        <f t="shared" si="18"/>
        <v>-16601</v>
      </c>
      <c r="AD67" s="407" t="s">
        <v>443</v>
      </c>
      <c r="AE67" s="413">
        <v>272000</v>
      </c>
      <c r="AF67" s="159" t="s">
        <v>782</v>
      </c>
      <c r="AG67" s="159">
        <f t="shared" si="6"/>
        <v>272000</v>
      </c>
    </row>
    <row r="68" spans="1:33">
      <c r="A68" s="161" t="str">
        <f t="shared" si="37"/>
        <v>27Base Allocation (ELTA)</v>
      </c>
      <c r="B68" s="161">
        <f t="shared" si="11"/>
        <v>1</v>
      </c>
      <c r="C68" s="163">
        <v>27</v>
      </c>
      <c r="D68" s="163" t="b">
        <v>1</v>
      </c>
      <c r="E68" s="161" t="s">
        <v>40</v>
      </c>
      <c r="F68" s="161" t="str">
        <f t="shared" si="38"/>
        <v>08A</v>
      </c>
      <c r="G68" s="161" t="str">
        <f t="shared" si="13"/>
        <v>3E0</v>
      </c>
      <c r="H68" s="161" t="str">
        <f t="shared" si="39"/>
        <v>3E0</v>
      </c>
      <c r="I68" s="161" t="str">
        <f t="shared" si="40"/>
        <v>08A-3E0</v>
      </c>
      <c r="J68" s="161" t="s">
        <v>149</v>
      </c>
      <c r="K68" s="161" t="s">
        <v>171</v>
      </c>
      <c r="L68" s="418">
        <v>1248218</v>
      </c>
      <c r="M68" s="418">
        <v>9228</v>
      </c>
      <c r="N68" s="157" t="str">
        <f t="shared" si="41"/>
        <v>3E0</v>
      </c>
      <c r="O68" s="156">
        <f t="shared" si="12"/>
        <v>1257446</v>
      </c>
      <c r="Q68" s="156"/>
      <c r="R68" s="156">
        <f t="shared" ref="R68" si="44">-R99</f>
        <v>-8720</v>
      </c>
      <c r="S68" s="156">
        <v>-751</v>
      </c>
      <c r="T68" s="156"/>
      <c r="U68" s="156"/>
      <c r="V68" s="156">
        <f t="shared" si="17"/>
        <v>0</v>
      </c>
      <c r="W68" s="156">
        <f t="shared" si="17"/>
        <v>-2493</v>
      </c>
      <c r="X68" s="156">
        <f t="shared" si="18"/>
        <v>-11964</v>
      </c>
      <c r="AD68" s="407" t="s">
        <v>786</v>
      </c>
      <c r="AE68" s="413">
        <v>33683</v>
      </c>
      <c r="AF68" s="159" t="s">
        <v>782</v>
      </c>
      <c r="AG68" s="159">
        <f t="shared" ref="AG68:AG69" si="45">IF(AF68="x",AE68,0)</f>
        <v>33683</v>
      </c>
    </row>
    <row r="69" spans="1:33">
      <c r="A69" s="378" t="str">
        <f t="shared" si="37"/>
        <v>6Base Allocation (ELTA)</v>
      </c>
      <c r="B69" s="161">
        <f t="shared" si="11"/>
        <v>1</v>
      </c>
      <c r="C69" s="379">
        <v>6</v>
      </c>
      <c r="D69" s="379" t="b">
        <v>1</v>
      </c>
      <c r="E69" s="378" t="s">
        <v>19</v>
      </c>
      <c r="F69" s="378" t="str">
        <f t="shared" si="38"/>
        <v>08A</v>
      </c>
      <c r="G69" s="378" t="str">
        <f t="shared" si="13"/>
        <v>3E0</v>
      </c>
      <c r="H69" s="378" t="str">
        <f t="shared" si="39"/>
        <v>3E0</v>
      </c>
      <c r="I69" s="378" t="str">
        <f t="shared" si="40"/>
        <v>08A-3E0</v>
      </c>
      <c r="J69" s="378" t="s">
        <v>149</v>
      </c>
      <c r="K69" s="378" t="s">
        <v>171</v>
      </c>
      <c r="L69" s="421">
        <f>51781</f>
        <v>51781</v>
      </c>
      <c r="M69" s="418">
        <v>54231</v>
      </c>
      <c r="N69" s="157" t="str">
        <f t="shared" si="41"/>
        <v>3E0</v>
      </c>
      <c r="O69" s="156">
        <f t="shared" si="12"/>
        <v>106012</v>
      </c>
      <c r="Q69" s="156"/>
      <c r="R69" s="156">
        <f t="shared" ref="R69" si="46">-R100</f>
        <v>-8563</v>
      </c>
      <c r="S69" s="156">
        <v>-840</v>
      </c>
      <c r="T69" s="156"/>
      <c r="U69" s="156"/>
      <c r="V69" s="156">
        <f t="shared" si="17"/>
        <v>-2517</v>
      </c>
      <c r="W69" s="156">
        <f t="shared" si="17"/>
        <v>-2373</v>
      </c>
      <c r="X69" s="156">
        <f t="shared" si="18"/>
        <v>-14293</v>
      </c>
      <c r="AD69" s="407" t="s">
        <v>193</v>
      </c>
      <c r="AE69" s="413">
        <v>683033000</v>
      </c>
      <c r="AF69" s="159" t="s">
        <v>782</v>
      </c>
      <c r="AG69" s="159">
        <f t="shared" si="45"/>
        <v>683033000</v>
      </c>
    </row>
    <row r="70" spans="1:33">
      <c r="A70" s="161" t="str">
        <f t="shared" si="37"/>
        <v>7Base Allocation (ELTA)</v>
      </c>
      <c r="B70" s="161">
        <f t="shared" si="11"/>
        <v>1</v>
      </c>
      <c r="C70" s="163">
        <v>7</v>
      </c>
      <c r="D70" s="163" t="b">
        <v>1</v>
      </c>
      <c r="E70" s="161" t="s">
        <v>20</v>
      </c>
      <c r="F70" s="161" t="str">
        <f t="shared" si="38"/>
        <v>08A</v>
      </c>
      <c r="G70" s="161" t="str">
        <f t="shared" si="13"/>
        <v>3E0</v>
      </c>
      <c r="H70" s="161" t="str">
        <f t="shared" si="39"/>
        <v>3E0</v>
      </c>
      <c r="I70" s="161" t="str">
        <f t="shared" si="40"/>
        <v>08A-3E0</v>
      </c>
      <c r="J70" s="161" t="s">
        <v>149</v>
      </c>
      <c r="K70" s="161" t="s">
        <v>171</v>
      </c>
      <c r="L70" s="418">
        <v>442887</v>
      </c>
      <c r="M70" s="418">
        <v>16601</v>
      </c>
      <c r="N70" s="157" t="str">
        <f t="shared" si="41"/>
        <v>3E0</v>
      </c>
      <c r="O70" s="156">
        <f t="shared" si="12"/>
        <v>459488</v>
      </c>
      <c r="Q70" s="156"/>
      <c r="R70" s="156">
        <f t="shared" ref="R70" si="47">-R101</f>
        <v>-26809</v>
      </c>
      <c r="S70" s="156">
        <v>-2447</v>
      </c>
      <c r="T70" s="156"/>
      <c r="U70" s="156"/>
      <c r="V70" s="156">
        <f t="shared" si="17"/>
        <v>-7978</v>
      </c>
      <c r="W70" s="156">
        <f t="shared" si="17"/>
        <v>-6741</v>
      </c>
      <c r="X70" s="156">
        <f t="shared" si="18"/>
        <v>-43975</v>
      </c>
      <c r="AD70"/>
      <c r="AE70"/>
      <c r="AG70" s="159">
        <f>IF(AF70="x",AE70,0)</f>
        <v>0</v>
      </c>
    </row>
    <row r="71" spans="1:33">
      <c r="A71" s="161" t="str">
        <f t="shared" si="37"/>
        <v>4Base Allocation (ELTA)</v>
      </c>
      <c r="B71" s="161">
        <f t="shared" si="11"/>
        <v>1</v>
      </c>
      <c r="C71" s="163">
        <v>4</v>
      </c>
      <c r="D71" s="163" t="b">
        <v>1</v>
      </c>
      <c r="E71" s="161" t="s">
        <v>17</v>
      </c>
      <c r="F71" s="161" t="str">
        <f t="shared" si="38"/>
        <v>08A</v>
      </c>
      <c r="G71" s="161" t="str">
        <f t="shared" si="13"/>
        <v>3E0</v>
      </c>
      <c r="H71" s="161" t="str">
        <f t="shared" si="39"/>
        <v>3E0</v>
      </c>
      <c r="I71" s="161" t="str">
        <f t="shared" si="40"/>
        <v>08A-3E0</v>
      </c>
      <c r="J71" s="161" t="s">
        <v>149</v>
      </c>
      <c r="K71" s="161" t="s">
        <v>171</v>
      </c>
      <c r="L71" s="418">
        <v>1359591</v>
      </c>
      <c r="M71" s="418">
        <v>11964</v>
      </c>
      <c r="N71" s="157" t="str">
        <f t="shared" si="41"/>
        <v>3E0</v>
      </c>
      <c r="O71" s="156">
        <f t="shared" si="12"/>
        <v>1371555</v>
      </c>
      <c r="Q71" s="156"/>
      <c r="R71" s="156">
        <f t="shared" ref="R71" si="48">-R102</f>
        <v>-11678</v>
      </c>
      <c r="S71" s="156">
        <v>-1028</v>
      </c>
      <c r="T71" s="156"/>
      <c r="U71" s="156"/>
      <c r="V71" s="156">
        <f t="shared" si="17"/>
        <v>-2445</v>
      </c>
      <c r="W71" s="156">
        <f t="shared" si="17"/>
        <v>-3825</v>
      </c>
      <c r="X71" s="156">
        <f t="shared" si="18"/>
        <v>-18976</v>
      </c>
      <c r="AD71"/>
      <c r="AE71"/>
    </row>
    <row r="72" spans="1:33">
      <c r="A72" s="161" t="str">
        <f t="shared" si="37"/>
        <v>24Base Allocation (ELTA)</v>
      </c>
      <c r="B72" s="161">
        <f t="shared" si="11"/>
        <v>1</v>
      </c>
      <c r="C72" s="163">
        <v>24</v>
      </c>
      <c r="D72" s="163" t="b">
        <v>1</v>
      </c>
      <c r="E72" s="161" t="s">
        <v>37</v>
      </c>
      <c r="F72" s="161" t="str">
        <f t="shared" si="38"/>
        <v>08A</v>
      </c>
      <c r="G72" s="161" t="str">
        <f t="shared" si="13"/>
        <v>3E0</v>
      </c>
      <c r="H72" s="161" t="str">
        <f t="shared" si="39"/>
        <v>3E0</v>
      </c>
      <c r="I72" s="161" t="str">
        <f t="shared" si="40"/>
        <v>08A-3E0</v>
      </c>
      <c r="J72" s="161" t="s">
        <v>149</v>
      </c>
      <c r="K72" s="161" t="s">
        <v>171</v>
      </c>
      <c r="L72" s="418">
        <v>875901</v>
      </c>
      <c r="M72" s="418">
        <v>14293</v>
      </c>
      <c r="N72" s="157" t="str">
        <f t="shared" si="41"/>
        <v>3E0</v>
      </c>
      <c r="O72" s="156">
        <f t="shared" si="12"/>
        <v>890194</v>
      </c>
      <c r="Q72" s="156"/>
      <c r="R72" s="156">
        <f t="shared" ref="R72" si="49">-R103</f>
        <v>-7723</v>
      </c>
      <c r="S72" s="156">
        <v>-636</v>
      </c>
      <c r="T72" s="156"/>
      <c r="U72" s="156"/>
      <c r="V72" s="156">
        <f t="shared" si="17"/>
        <v>0</v>
      </c>
      <c r="W72" s="156">
        <f t="shared" si="17"/>
        <v>-2843</v>
      </c>
      <c r="X72" s="156">
        <f t="shared" si="18"/>
        <v>-11202</v>
      </c>
      <c r="AD72"/>
      <c r="AE72"/>
      <c r="AG72" s="416">
        <f>SUM(AG4:AG71)</f>
        <v>832307766</v>
      </c>
    </row>
    <row r="73" spans="1:33">
      <c r="A73" s="161" t="str">
        <f t="shared" si="37"/>
        <v>17Base Allocation (ELTA)</v>
      </c>
      <c r="B73" s="161">
        <f t="shared" si="11"/>
        <v>1</v>
      </c>
      <c r="C73" s="163">
        <v>17</v>
      </c>
      <c r="D73" s="163" t="b">
        <v>1</v>
      </c>
      <c r="E73" s="161" t="s">
        <v>30</v>
      </c>
      <c r="F73" s="161" t="str">
        <f t="shared" si="38"/>
        <v>08A</v>
      </c>
      <c r="G73" s="161" t="str">
        <f t="shared" si="13"/>
        <v>3E0</v>
      </c>
      <c r="H73" s="161" t="str">
        <f t="shared" si="39"/>
        <v>3E0</v>
      </c>
      <c r="I73" s="161" t="str">
        <f t="shared" si="40"/>
        <v>08A-3E0</v>
      </c>
      <c r="J73" s="161" t="s">
        <v>149</v>
      </c>
      <c r="K73" s="161" t="s">
        <v>171</v>
      </c>
      <c r="L73" s="418">
        <v>2658895</v>
      </c>
      <c r="M73" s="418">
        <v>43975</v>
      </c>
      <c r="N73" s="157" t="str">
        <f t="shared" si="41"/>
        <v>3E0</v>
      </c>
      <c r="O73" s="156">
        <f t="shared" si="12"/>
        <v>2702870</v>
      </c>
      <c r="Q73" s="156"/>
      <c r="R73" s="156">
        <f t="shared" ref="R73" si="50">-R104</f>
        <v>-6537</v>
      </c>
      <c r="S73" s="156">
        <v>-491</v>
      </c>
      <c r="T73" s="156"/>
      <c r="U73" s="156"/>
      <c r="V73" s="156">
        <f t="shared" si="17"/>
        <v>0</v>
      </c>
      <c r="W73" s="156">
        <f t="shared" si="17"/>
        <v>-1853</v>
      </c>
      <c r="X73" s="156">
        <f t="shared" si="18"/>
        <v>-8881</v>
      </c>
      <c r="AD73"/>
      <c r="AE73"/>
    </row>
    <row r="74" spans="1:33">
      <c r="A74" s="161" t="str">
        <f t="shared" si="37"/>
        <v>22Base Allocation (ELTA)</v>
      </c>
      <c r="B74" s="161">
        <f t="shared" si="11"/>
        <v>1</v>
      </c>
      <c r="C74" s="163">
        <v>22</v>
      </c>
      <c r="D74" s="163" t="b">
        <v>1</v>
      </c>
      <c r="E74" s="161" t="s">
        <v>35</v>
      </c>
      <c r="F74" s="161" t="str">
        <f t="shared" si="38"/>
        <v>08A</v>
      </c>
      <c r="G74" s="161" t="str">
        <f t="shared" si="13"/>
        <v>3E0</v>
      </c>
      <c r="H74" s="161" t="str">
        <f t="shared" si="39"/>
        <v>3E0</v>
      </c>
      <c r="I74" s="161" t="str">
        <f t="shared" si="40"/>
        <v>08A-3E0</v>
      </c>
      <c r="J74" s="161" t="s">
        <v>149</v>
      </c>
      <c r="K74" s="161" t="s">
        <v>171</v>
      </c>
      <c r="L74" s="418">
        <v>1371602</v>
      </c>
      <c r="M74" s="418">
        <v>18976</v>
      </c>
      <c r="N74" s="157" t="str">
        <f t="shared" si="41"/>
        <v>3E0</v>
      </c>
      <c r="O74" s="156">
        <f t="shared" si="12"/>
        <v>1390578</v>
      </c>
      <c r="Q74" s="156"/>
      <c r="R74" s="156">
        <f t="shared" ref="R74" si="51">-R105</f>
        <v>-6272</v>
      </c>
      <c r="S74" s="156">
        <v>-455</v>
      </c>
      <c r="T74" s="156"/>
      <c r="U74" s="156"/>
      <c r="V74" s="156">
        <f t="shared" si="17"/>
        <v>-1375</v>
      </c>
      <c r="W74" s="156">
        <f t="shared" si="17"/>
        <v>-1949</v>
      </c>
      <c r="X74" s="156">
        <f t="shared" si="18"/>
        <v>-10051</v>
      </c>
      <c r="AD74"/>
      <c r="AE74"/>
    </row>
    <row r="75" spans="1:33">
      <c r="A75" s="161" t="str">
        <f t="shared" si="37"/>
        <v>20Base Allocation (ELTA)</v>
      </c>
      <c r="B75" s="161">
        <f t="shared" si="11"/>
        <v>1</v>
      </c>
      <c r="C75" s="163">
        <v>20</v>
      </c>
      <c r="D75" s="163" t="b">
        <v>1</v>
      </c>
      <c r="E75" s="161" t="s">
        <v>33</v>
      </c>
      <c r="F75" s="161" t="str">
        <f t="shared" si="38"/>
        <v>08A</v>
      </c>
      <c r="G75" s="161" t="str">
        <f t="shared" si="13"/>
        <v>3E0</v>
      </c>
      <c r="H75" s="161" t="str">
        <f t="shared" si="39"/>
        <v>3E0</v>
      </c>
      <c r="I75" s="161" t="str">
        <f t="shared" si="40"/>
        <v>08A-3E0</v>
      </c>
      <c r="J75" s="161" t="s">
        <v>149</v>
      </c>
      <c r="K75" s="161" t="s">
        <v>171</v>
      </c>
      <c r="L75" s="418">
        <v>688156</v>
      </c>
      <c r="M75" s="418">
        <v>11202</v>
      </c>
      <c r="N75" s="157" t="str">
        <f t="shared" si="41"/>
        <v>3E0</v>
      </c>
      <c r="O75" s="156">
        <f t="shared" si="12"/>
        <v>699358</v>
      </c>
      <c r="Q75" s="156"/>
      <c r="R75" s="156">
        <f t="shared" ref="R75" si="52">-R106</f>
        <v>-8424</v>
      </c>
      <c r="S75" s="156">
        <v>-682</v>
      </c>
      <c r="T75" s="156">
        <v>-1000</v>
      </c>
      <c r="U75" s="156"/>
      <c r="V75" s="156">
        <f t="shared" si="17"/>
        <v>0</v>
      </c>
      <c r="W75" s="156">
        <f t="shared" si="17"/>
        <v>-1956</v>
      </c>
      <c r="X75" s="156">
        <f t="shared" si="18"/>
        <v>-12062</v>
      </c>
      <c r="AD75"/>
      <c r="AE75"/>
    </row>
    <row r="76" spans="1:33">
      <c r="A76" s="161" t="str">
        <f t="shared" si="37"/>
        <v>15Base Allocation (ELTA)</v>
      </c>
      <c r="B76" s="161">
        <f t="shared" si="11"/>
        <v>1</v>
      </c>
      <c r="C76" s="163">
        <v>15</v>
      </c>
      <c r="D76" s="163" t="b">
        <v>1</v>
      </c>
      <c r="E76" s="161" t="s">
        <v>28</v>
      </c>
      <c r="F76" s="161" t="str">
        <f t="shared" si="38"/>
        <v>08A</v>
      </c>
      <c r="G76" s="161" t="str">
        <f t="shared" si="13"/>
        <v>3E0</v>
      </c>
      <c r="H76" s="161" t="str">
        <f t="shared" si="39"/>
        <v>3E0</v>
      </c>
      <c r="I76" s="161" t="str">
        <f t="shared" si="40"/>
        <v>08A-3E0</v>
      </c>
      <c r="J76" s="161" t="s">
        <v>149</v>
      </c>
      <c r="K76" s="161" t="s">
        <v>171</v>
      </c>
      <c r="L76" s="418">
        <v>1063632</v>
      </c>
      <c r="M76" s="418">
        <v>8881</v>
      </c>
      <c r="N76" s="157" t="str">
        <f t="shared" si="41"/>
        <v>3E0</v>
      </c>
      <c r="O76" s="156">
        <f t="shared" si="12"/>
        <v>1072513</v>
      </c>
      <c r="Q76" s="156"/>
      <c r="R76" s="165"/>
      <c r="S76" s="156"/>
      <c r="T76" s="156"/>
      <c r="U76" s="156"/>
      <c r="V76" s="156"/>
      <c r="W76" s="156"/>
      <c r="X76" s="156"/>
      <c r="Y76" s="156">
        <f>SUM(X46:X75)</f>
        <v>-468000</v>
      </c>
      <c r="AD76"/>
      <c r="AE76"/>
    </row>
    <row r="77" spans="1:33">
      <c r="A77" s="161" t="str">
        <f t="shared" si="37"/>
        <v>21Base Allocation (ELTA)</v>
      </c>
      <c r="B77" s="161">
        <f t="shared" si="11"/>
        <v>1</v>
      </c>
      <c r="C77" s="163">
        <v>21</v>
      </c>
      <c r="D77" s="163" t="b">
        <v>1</v>
      </c>
      <c r="E77" s="161" t="s">
        <v>34</v>
      </c>
      <c r="F77" s="161" t="str">
        <f t="shared" si="38"/>
        <v>08A</v>
      </c>
      <c r="G77" s="161" t="str">
        <f t="shared" si="13"/>
        <v>3E0</v>
      </c>
      <c r="H77" s="161" t="str">
        <f t="shared" si="39"/>
        <v>3E0</v>
      </c>
      <c r="I77" s="161" t="str">
        <f t="shared" si="40"/>
        <v>08A-3E0</v>
      </c>
      <c r="J77" s="161" t="s">
        <v>149</v>
      </c>
      <c r="K77" s="161" t="s">
        <v>171</v>
      </c>
      <c r="L77" s="418">
        <v>1047225</v>
      </c>
      <c r="M77" s="418">
        <v>10051</v>
      </c>
      <c r="N77" s="157" t="str">
        <f t="shared" si="41"/>
        <v>3E0</v>
      </c>
      <c r="O77" s="156">
        <f t="shared" si="12"/>
        <v>1057276</v>
      </c>
      <c r="Q77" s="156"/>
      <c r="R77" s="21">
        <v>6020</v>
      </c>
      <c r="S77" s="156">
        <v>706</v>
      </c>
      <c r="T77" s="156"/>
      <c r="U77" s="156"/>
      <c r="V77" s="156"/>
      <c r="W77" s="156">
        <v>2250</v>
      </c>
      <c r="X77" s="156">
        <f>SUM(R77:W77)</f>
        <v>8976</v>
      </c>
      <c r="Y77" s="156"/>
      <c r="Z77" s="156"/>
    </row>
    <row r="78" spans="1:33">
      <c r="A78" s="161" t="str">
        <f t="shared" si="37"/>
        <v>16Base Allocation (ELTA)</v>
      </c>
      <c r="B78" s="161">
        <f t="shared" si="11"/>
        <v>1</v>
      </c>
      <c r="C78" s="163">
        <v>16</v>
      </c>
      <c r="D78" s="163" t="b">
        <v>1</v>
      </c>
      <c r="E78" s="161" t="s">
        <v>29</v>
      </c>
      <c r="F78" s="161" t="str">
        <f t="shared" si="38"/>
        <v>08A</v>
      </c>
      <c r="G78" s="161" t="str">
        <f t="shared" si="13"/>
        <v>3E0</v>
      </c>
      <c r="H78" s="161" t="str">
        <f t="shared" si="39"/>
        <v>3E0</v>
      </c>
      <c r="I78" s="161" t="str">
        <f t="shared" si="40"/>
        <v>08A-3E0</v>
      </c>
      <c r="J78" s="161" t="s">
        <v>149</v>
      </c>
      <c r="K78" s="161" t="s">
        <v>171</v>
      </c>
      <c r="L78" s="418">
        <v>1190840</v>
      </c>
      <c r="M78" s="418">
        <v>12062</v>
      </c>
      <c r="N78" s="157" t="str">
        <f t="shared" si="41"/>
        <v>3E0</v>
      </c>
      <c r="O78" s="156">
        <f t="shared" si="12"/>
        <v>1202902</v>
      </c>
      <c r="Q78" s="156"/>
      <c r="R78" s="21">
        <v>17305</v>
      </c>
      <c r="S78" s="156">
        <v>1252</v>
      </c>
      <c r="T78" s="156"/>
      <c r="U78" s="156"/>
      <c r="V78" s="156"/>
      <c r="W78" s="156">
        <v>5791</v>
      </c>
      <c r="X78" s="156">
        <f t="shared" ref="X78:X105" si="53">SUM(R78:W78)</f>
        <v>24348</v>
      </c>
      <c r="Y78" s="156"/>
      <c r="Z78" s="156"/>
    </row>
    <row r="79" spans="1:33">
      <c r="A79" s="161" t="str">
        <f t="shared" si="37"/>
        <v>28Base Allocation (GF-State)</v>
      </c>
      <c r="B79" s="161">
        <f t="shared" si="11"/>
        <v>1</v>
      </c>
      <c r="C79" s="163">
        <v>28</v>
      </c>
      <c r="D79" s="163" t="b">
        <v>1</v>
      </c>
      <c r="E79" s="161" t="s">
        <v>41</v>
      </c>
      <c r="F79" s="161" t="str">
        <f t="shared" si="38"/>
        <v>001</v>
      </c>
      <c r="G79" s="384">
        <v>101</v>
      </c>
      <c r="H79" s="161" t="str">
        <f t="shared" si="39"/>
        <v>011</v>
      </c>
      <c r="I79" s="161" t="str">
        <f t="shared" si="40"/>
        <v>001-011</v>
      </c>
      <c r="J79" s="162" t="s">
        <v>491</v>
      </c>
      <c r="K79" s="161" t="s">
        <v>186</v>
      </c>
      <c r="L79" s="418">
        <f>15205701-431903</f>
        <v>14773798</v>
      </c>
      <c r="M79" s="418">
        <v>-8976</v>
      </c>
      <c r="N79" s="157">
        <f t="shared" si="41"/>
        <v>101</v>
      </c>
      <c r="O79" s="156">
        <f t="shared" si="12"/>
        <v>14764822</v>
      </c>
      <c r="Q79" s="156"/>
      <c r="R79" s="21">
        <v>4855</v>
      </c>
      <c r="S79" s="156">
        <v>491</v>
      </c>
      <c r="T79" s="156"/>
      <c r="U79" s="156"/>
      <c r="V79" s="156"/>
      <c r="W79" s="156">
        <v>1905</v>
      </c>
      <c r="X79" s="156">
        <f t="shared" si="53"/>
        <v>7251</v>
      </c>
      <c r="Y79" s="156"/>
      <c r="Z79" s="156"/>
    </row>
    <row r="80" spans="1:33">
      <c r="A80" s="161" t="str">
        <f t="shared" si="37"/>
        <v>8Base Allocation (GF-State)</v>
      </c>
      <c r="B80" s="161">
        <f t="shared" si="11"/>
        <v>1</v>
      </c>
      <c r="C80" s="163">
        <v>8</v>
      </c>
      <c r="D80" s="163" t="b">
        <v>1</v>
      </c>
      <c r="E80" s="161" t="s">
        <v>21</v>
      </c>
      <c r="F80" s="161" t="str">
        <f t="shared" si="38"/>
        <v>001</v>
      </c>
      <c r="G80" s="384">
        <v>101</v>
      </c>
      <c r="H80" s="161" t="str">
        <f t="shared" si="39"/>
        <v>011</v>
      </c>
      <c r="I80" s="161" t="str">
        <f t="shared" si="40"/>
        <v>001-011</v>
      </c>
      <c r="J80" s="162" t="s">
        <v>491</v>
      </c>
      <c r="K80" s="161" t="s">
        <v>186</v>
      </c>
      <c r="L80" s="418">
        <f>23189907-816849</f>
        <v>22373058</v>
      </c>
      <c r="M80" s="418">
        <v>-24348</v>
      </c>
      <c r="N80" s="157">
        <f t="shared" si="41"/>
        <v>101</v>
      </c>
      <c r="O80" s="156">
        <f t="shared" si="12"/>
        <v>22348710</v>
      </c>
      <c r="Q80" s="156"/>
      <c r="R80" s="21">
        <v>3954</v>
      </c>
      <c r="S80" s="156">
        <v>391</v>
      </c>
      <c r="T80" s="156"/>
      <c r="U80" s="156"/>
      <c r="V80" s="156"/>
      <c r="W80" s="156">
        <v>2234</v>
      </c>
      <c r="X80" s="156">
        <f t="shared" si="53"/>
        <v>6579</v>
      </c>
      <c r="Y80" s="156"/>
      <c r="Z80" s="156"/>
    </row>
    <row r="81" spans="1:26">
      <c r="A81" s="161" t="str">
        <f t="shared" si="37"/>
        <v>25Base Allocation (GF-State)</v>
      </c>
      <c r="B81" s="161">
        <f t="shared" si="11"/>
        <v>1</v>
      </c>
      <c r="C81" s="163">
        <v>25</v>
      </c>
      <c r="D81" s="163" t="b">
        <v>1</v>
      </c>
      <c r="E81" s="161" t="s">
        <v>38</v>
      </c>
      <c r="F81" s="161" t="str">
        <f t="shared" si="38"/>
        <v>001</v>
      </c>
      <c r="G81" s="384">
        <v>101</v>
      </c>
      <c r="H81" s="161" t="str">
        <f t="shared" si="39"/>
        <v>011</v>
      </c>
      <c r="I81" s="161" t="str">
        <f t="shared" si="40"/>
        <v>001-011</v>
      </c>
      <c r="J81" s="162" t="s">
        <v>491</v>
      </c>
      <c r="K81" s="161" t="s">
        <v>186</v>
      </c>
      <c r="L81" s="418">
        <f>7678559-313000</f>
        <v>7365559</v>
      </c>
      <c r="M81" s="418">
        <v>-7251</v>
      </c>
      <c r="N81" s="157">
        <f t="shared" si="41"/>
        <v>101</v>
      </c>
      <c r="O81" s="156">
        <f t="shared" si="12"/>
        <v>7358308</v>
      </c>
      <c r="Q81" s="156"/>
      <c r="R81" s="21">
        <v>6128</v>
      </c>
      <c r="S81" s="156">
        <v>212</v>
      </c>
      <c r="T81" s="156"/>
      <c r="U81" s="156"/>
      <c r="V81" s="156"/>
      <c r="W81" s="156">
        <v>1909</v>
      </c>
      <c r="X81" s="156">
        <f t="shared" si="53"/>
        <v>8249</v>
      </c>
      <c r="Y81" s="156"/>
      <c r="Z81" s="156"/>
    </row>
    <row r="82" spans="1:26">
      <c r="A82" s="161" t="str">
        <f t="shared" si="37"/>
        <v>18Base Allocation (GF-State)</v>
      </c>
      <c r="B82" s="161">
        <f t="shared" si="11"/>
        <v>1</v>
      </c>
      <c r="C82" s="163">
        <v>18</v>
      </c>
      <c r="D82" s="163" t="b">
        <v>1</v>
      </c>
      <c r="E82" s="161" t="s">
        <v>31</v>
      </c>
      <c r="F82" s="161" t="str">
        <f t="shared" si="38"/>
        <v>001</v>
      </c>
      <c r="G82" s="384">
        <v>101</v>
      </c>
      <c r="H82" s="161" t="str">
        <f t="shared" si="39"/>
        <v>011</v>
      </c>
      <c r="I82" s="161" t="str">
        <f t="shared" si="40"/>
        <v>001-011</v>
      </c>
      <c r="J82" s="162" t="s">
        <v>491</v>
      </c>
      <c r="K82" s="161" t="s">
        <v>186</v>
      </c>
      <c r="L82" s="418">
        <f>7317535-253031</f>
        <v>7064504</v>
      </c>
      <c r="M82" s="418">
        <v>-6579</v>
      </c>
      <c r="N82" s="157">
        <f t="shared" si="41"/>
        <v>101</v>
      </c>
      <c r="O82" s="156">
        <f t="shared" si="12"/>
        <v>7057925</v>
      </c>
      <c r="Q82" s="156"/>
      <c r="R82" s="21">
        <v>5188</v>
      </c>
      <c r="S82" s="156">
        <v>459</v>
      </c>
      <c r="T82" s="156"/>
      <c r="U82" s="156"/>
      <c r="V82" s="156">
        <v>1192</v>
      </c>
      <c r="W82" s="156">
        <v>1853</v>
      </c>
      <c r="X82" s="156">
        <f t="shared" si="53"/>
        <v>8692</v>
      </c>
      <c r="Y82" s="156"/>
      <c r="Z82" s="156"/>
    </row>
    <row r="83" spans="1:26">
      <c r="A83" s="161" t="str">
        <f t="shared" si="37"/>
        <v>30Base Allocation (GF-State)</v>
      </c>
      <c r="B83" s="161">
        <f t="shared" si="11"/>
        <v>1</v>
      </c>
      <c r="C83" s="163">
        <v>30</v>
      </c>
      <c r="D83" s="163" t="b">
        <v>1</v>
      </c>
      <c r="E83" s="161" t="s">
        <v>43</v>
      </c>
      <c r="F83" s="161" t="str">
        <f t="shared" si="38"/>
        <v>001</v>
      </c>
      <c r="G83" s="384">
        <v>101</v>
      </c>
      <c r="H83" s="161" t="str">
        <f t="shared" si="39"/>
        <v>011</v>
      </c>
      <c r="I83" s="161" t="str">
        <f t="shared" si="40"/>
        <v>001-011</v>
      </c>
      <c r="J83" s="162" t="s">
        <v>491</v>
      </c>
      <c r="K83" s="161" t="s">
        <v>186</v>
      </c>
      <c r="L83" s="418">
        <f>7000861-276138+42000</f>
        <v>6766723</v>
      </c>
      <c r="M83" s="418">
        <v>-8249</v>
      </c>
      <c r="N83" s="157">
        <f t="shared" si="41"/>
        <v>101</v>
      </c>
      <c r="O83" s="156">
        <f t="shared" si="12"/>
        <v>6758474</v>
      </c>
      <c r="Q83" s="156"/>
      <c r="R83" s="21">
        <v>18119</v>
      </c>
      <c r="S83" s="156">
        <v>1767</v>
      </c>
      <c r="T83" s="156"/>
      <c r="U83" s="156">
        <v>2000</v>
      </c>
      <c r="V83" s="156"/>
      <c r="W83" s="156">
        <v>4238</v>
      </c>
      <c r="X83" s="156">
        <f t="shared" si="53"/>
        <v>26124</v>
      </c>
      <c r="Y83" s="156"/>
      <c r="Z83" s="156"/>
    </row>
    <row r="84" spans="1:26">
      <c r="A84" s="161" t="str">
        <f t="shared" si="37"/>
        <v>12Base Allocation (GF-State)</v>
      </c>
      <c r="B84" s="161">
        <f t="shared" si="11"/>
        <v>1</v>
      </c>
      <c r="C84" s="163">
        <v>12</v>
      </c>
      <c r="D84" s="163" t="b">
        <v>1</v>
      </c>
      <c r="E84" s="161" t="s">
        <v>25</v>
      </c>
      <c r="F84" s="161" t="str">
        <f t="shared" si="38"/>
        <v>001</v>
      </c>
      <c r="G84" s="384">
        <v>101</v>
      </c>
      <c r="H84" s="161" t="str">
        <f t="shared" si="39"/>
        <v>011</v>
      </c>
      <c r="I84" s="161" t="str">
        <f t="shared" si="40"/>
        <v>001-011</v>
      </c>
      <c r="J84" s="162" t="s">
        <v>491</v>
      </c>
      <c r="K84" s="161" t="s">
        <v>186</v>
      </c>
      <c r="L84" s="418">
        <f>8378239-269975</f>
        <v>8108264</v>
      </c>
      <c r="M84" s="418">
        <v>-8692</v>
      </c>
      <c r="N84" s="157">
        <f t="shared" si="41"/>
        <v>101</v>
      </c>
      <c r="O84" s="156">
        <f t="shared" si="12"/>
        <v>8099572</v>
      </c>
      <c r="Q84" s="156"/>
      <c r="R84" s="21">
        <v>7274</v>
      </c>
      <c r="S84" s="156">
        <v>706</v>
      </c>
      <c r="T84" s="156"/>
      <c r="U84" s="156"/>
      <c r="V84" s="156"/>
      <c r="W84" s="156">
        <v>2626</v>
      </c>
      <c r="X84" s="156">
        <f t="shared" si="53"/>
        <v>10606</v>
      </c>
      <c r="Y84" s="156"/>
      <c r="Z84" s="156"/>
    </row>
    <row r="85" spans="1:26">
      <c r="A85" s="161" t="str">
        <f t="shared" si="37"/>
        <v>14Base Allocation (GF-State)</v>
      </c>
      <c r="B85" s="161">
        <f t="shared" si="11"/>
        <v>1</v>
      </c>
      <c r="C85" s="163">
        <v>14</v>
      </c>
      <c r="D85" s="163" t="b">
        <v>1</v>
      </c>
      <c r="E85" s="161" t="s">
        <v>27</v>
      </c>
      <c r="F85" s="161" t="str">
        <f t="shared" si="38"/>
        <v>001</v>
      </c>
      <c r="G85" s="384">
        <v>101</v>
      </c>
      <c r="H85" s="161" t="str">
        <f t="shared" si="39"/>
        <v>011</v>
      </c>
      <c r="I85" s="161" t="str">
        <f t="shared" si="40"/>
        <v>001-011</v>
      </c>
      <c r="J85" s="162" t="s">
        <v>491</v>
      </c>
      <c r="K85" s="161" t="s">
        <v>186</v>
      </c>
      <c r="L85" s="418">
        <f>22866624-1110441</f>
        <v>21756183</v>
      </c>
      <c r="M85" s="418">
        <v>-26124</v>
      </c>
      <c r="N85" s="157">
        <f t="shared" si="41"/>
        <v>101</v>
      </c>
      <c r="O85" s="156">
        <f t="shared" si="12"/>
        <v>21730059</v>
      </c>
      <c r="Q85" s="156"/>
      <c r="R85" s="21">
        <v>8371</v>
      </c>
      <c r="S85" s="156">
        <v>623</v>
      </c>
      <c r="T85" s="156"/>
      <c r="U85" s="156"/>
      <c r="V85" s="156"/>
      <c r="W85" s="156">
        <v>2673</v>
      </c>
      <c r="X85" s="156">
        <f t="shared" si="53"/>
        <v>11667</v>
      </c>
      <c r="Y85" s="156"/>
      <c r="Z85" s="156"/>
    </row>
    <row r="86" spans="1:26">
      <c r="A86" s="161" t="str">
        <f t="shared" si="37"/>
        <v>29Base Allocation (GF-State)</v>
      </c>
      <c r="B86" s="161">
        <f t="shared" si="11"/>
        <v>1</v>
      </c>
      <c r="C86" s="163">
        <v>29</v>
      </c>
      <c r="D86" s="163" t="b">
        <v>1</v>
      </c>
      <c r="E86" s="161" t="s">
        <v>42</v>
      </c>
      <c r="F86" s="161" t="str">
        <f t="shared" si="38"/>
        <v>001</v>
      </c>
      <c r="G86" s="384">
        <v>101</v>
      </c>
      <c r="H86" s="161" t="str">
        <f t="shared" si="39"/>
        <v>011</v>
      </c>
      <c r="I86" s="161" t="str">
        <f t="shared" si="40"/>
        <v>001-011</v>
      </c>
      <c r="J86" s="162" t="s">
        <v>491</v>
      </c>
      <c r="K86" s="161" t="s">
        <v>186</v>
      </c>
      <c r="L86" s="418">
        <f>14013755-496331</f>
        <v>13517424</v>
      </c>
      <c r="M86" s="418">
        <v>-10606</v>
      </c>
      <c r="N86" s="157">
        <f t="shared" si="41"/>
        <v>101</v>
      </c>
      <c r="O86" s="156">
        <f t="shared" si="12"/>
        <v>13506818</v>
      </c>
      <c r="Q86" s="156"/>
      <c r="R86" s="21">
        <v>13939</v>
      </c>
      <c r="S86" s="156">
        <v>1330</v>
      </c>
      <c r="T86" s="156"/>
      <c r="U86" s="156"/>
      <c r="V86" s="156"/>
      <c r="W86" s="156">
        <v>4299</v>
      </c>
      <c r="X86" s="156">
        <f t="shared" si="53"/>
        <v>19568</v>
      </c>
      <c r="Y86" s="156"/>
      <c r="Z86" s="156"/>
    </row>
    <row r="87" spans="1:26">
      <c r="A87" s="161" t="str">
        <f t="shared" si="37"/>
        <v>19Base Allocation (GF-State)</v>
      </c>
      <c r="B87" s="161">
        <f t="shared" si="11"/>
        <v>1</v>
      </c>
      <c r="C87" s="163">
        <v>19</v>
      </c>
      <c r="D87" s="163" t="b">
        <v>1</v>
      </c>
      <c r="E87" s="161" t="s">
        <v>32</v>
      </c>
      <c r="F87" s="161" t="str">
        <f t="shared" si="38"/>
        <v>001</v>
      </c>
      <c r="G87" s="384">
        <v>101</v>
      </c>
      <c r="H87" s="161" t="str">
        <f t="shared" si="39"/>
        <v>011</v>
      </c>
      <c r="I87" s="161" t="str">
        <f t="shared" si="40"/>
        <v>001-011</v>
      </c>
      <c r="J87" s="162" t="s">
        <v>491</v>
      </c>
      <c r="K87" s="161" t="s">
        <v>186</v>
      </c>
      <c r="L87" s="418">
        <f>15369291-294621</f>
        <v>15074670</v>
      </c>
      <c r="M87" s="418">
        <v>-11667</v>
      </c>
      <c r="N87" s="157">
        <f t="shared" si="41"/>
        <v>101</v>
      </c>
      <c r="O87" s="156">
        <f t="shared" si="12"/>
        <v>15063003</v>
      </c>
      <c r="Q87" s="156"/>
      <c r="R87" s="21">
        <v>11841</v>
      </c>
      <c r="S87" s="156">
        <v>1267</v>
      </c>
      <c r="T87" s="156"/>
      <c r="U87" s="156"/>
      <c r="V87" s="156">
        <v>4249</v>
      </c>
      <c r="W87" s="156">
        <v>3049</v>
      </c>
      <c r="X87" s="156">
        <f t="shared" si="53"/>
        <v>20406</v>
      </c>
      <c r="Y87" s="156"/>
      <c r="Z87" s="156"/>
    </row>
    <row r="88" spans="1:26">
      <c r="A88" s="161" t="str">
        <f t="shared" si="37"/>
        <v>23Base Allocation (GF-State)</v>
      </c>
      <c r="B88" s="161">
        <f t="shared" si="11"/>
        <v>1</v>
      </c>
      <c r="C88" s="163">
        <v>23</v>
      </c>
      <c r="D88" s="163" t="b">
        <v>1</v>
      </c>
      <c r="E88" s="161" t="s">
        <v>36</v>
      </c>
      <c r="F88" s="161" t="str">
        <f t="shared" si="38"/>
        <v>001</v>
      </c>
      <c r="G88" s="384">
        <v>101</v>
      </c>
      <c r="H88" s="161" t="str">
        <f t="shared" si="39"/>
        <v>011</v>
      </c>
      <c r="I88" s="161" t="str">
        <f t="shared" si="40"/>
        <v>001-011</v>
      </c>
      <c r="J88" s="162" t="s">
        <v>491</v>
      </c>
      <c r="K88" s="161" t="s">
        <v>186</v>
      </c>
      <c r="L88" s="418">
        <f>18750521-792919</f>
        <v>17957602</v>
      </c>
      <c r="M88" s="418">
        <v>-19568</v>
      </c>
      <c r="N88" s="157">
        <f t="shared" si="41"/>
        <v>101</v>
      </c>
      <c r="O88" s="156">
        <f t="shared" si="12"/>
        <v>17938034</v>
      </c>
      <c r="Q88" s="156"/>
      <c r="R88" s="21">
        <v>3742</v>
      </c>
      <c r="S88" s="156">
        <v>471</v>
      </c>
      <c r="T88" s="156"/>
      <c r="U88" s="156"/>
      <c r="V88" s="156"/>
      <c r="W88" s="156">
        <v>1472</v>
      </c>
      <c r="X88" s="156">
        <f t="shared" si="53"/>
        <v>5685</v>
      </c>
      <c r="Y88" s="156"/>
      <c r="Z88" s="156"/>
    </row>
    <row r="89" spans="1:26">
      <c r="A89" s="161" t="str">
        <f t="shared" si="37"/>
        <v>5Base Allocation (GF-State)</v>
      </c>
      <c r="B89" s="161">
        <f t="shared" si="11"/>
        <v>1</v>
      </c>
      <c r="C89" s="163">
        <v>5</v>
      </c>
      <c r="D89" s="163" t="b">
        <v>1</v>
      </c>
      <c r="E89" s="161" t="s">
        <v>18</v>
      </c>
      <c r="F89" s="161" t="str">
        <f t="shared" si="38"/>
        <v>001</v>
      </c>
      <c r="G89" s="384">
        <v>101</v>
      </c>
      <c r="H89" s="161" t="str">
        <f t="shared" si="39"/>
        <v>011</v>
      </c>
      <c r="I89" s="161" t="str">
        <f t="shared" si="40"/>
        <v>001-011</v>
      </c>
      <c r="J89" s="162" t="s">
        <v>491</v>
      </c>
      <c r="K89" s="161" t="s">
        <v>186</v>
      </c>
      <c r="L89" s="418">
        <f>16259498-688553</f>
        <v>15570945</v>
      </c>
      <c r="M89" s="418">
        <v>-20406</v>
      </c>
      <c r="N89" s="157">
        <f t="shared" si="41"/>
        <v>101</v>
      </c>
      <c r="O89" s="156">
        <f t="shared" si="12"/>
        <v>15550539</v>
      </c>
      <c r="Q89" s="156"/>
      <c r="R89" s="21">
        <v>13982</v>
      </c>
      <c r="S89" s="156">
        <v>1169</v>
      </c>
      <c r="T89" s="156"/>
      <c r="U89" s="156"/>
      <c r="V89" s="156">
        <v>3677</v>
      </c>
      <c r="W89" s="156">
        <v>4242</v>
      </c>
      <c r="X89" s="156">
        <f t="shared" si="53"/>
        <v>23070</v>
      </c>
      <c r="Y89" s="156"/>
      <c r="Z89" s="156"/>
    </row>
    <row r="90" spans="1:26">
      <c r="A90" s="161" t="str">
        <f t="shared" si="37"/>
        <v>2Base Allocation (GF-State)</v>
      </c>
      <c r="B90" s="161">
        <f t="shared" ref="B90:B153" si="54">B89</f>
        <v>1</v>
      </c>
      <c r="C90" s="163">
        <v>2</v>
      </c>
      <c r="D90" s="163" t="b">
        <v>1</v>
      </c>
      <c r="E90" s="161" t="s">
        <v>15</v>
      </c>
      <c r="F90" s="161" t="str">
        <f t="shared" si="38"/>
        <v>001</v>
      </c>
      <c r="G90" s="384">
        <v>101</v>
      </c>
      <c r="H90" s="161" t="str">
        <f t="shared" si="39"/>
        <v>011</v>
      </c>
      <c r="I90" s="161" t="str">
        <f t="shared" si="40"/>
        <v>001-011</v>
      </c>
      <c r="J90" s="162" t="s">
        <v>491</v>
      </c>
      <c r="K90" s="161" t="s">
        <v>186</v>
      </c>
      <c r="L90" s="418">
        <f>6940149-229859</f>
        <v>6710290</v>
      </c>
      <c r="M90" s="418">
        <v>-5685</v>
      </c>
      <c r="N90" s="157">
        <f t="shared" si="41"/>
        <v>101</v>
      </c>
      <c r="O90" s="156">
        <f t="shared" si="12"/>
        <v>6704605</v>
      </c>
      <c r="Q90" s="156"/>
      <c r="R90" s="21">
        <v>11840</v>
      </c>
      <c r="S90" s="156">
        <v>779</v>
      </c>
      <c r="T90" s="156"/>
      <c r="U90" s="156"/>
      <c r="V90" s="156"/>
      <c r="W90" s="156">
        <v>3623</v>
      </c>
      <c r="X90" s="156">
        <f t="shared" si="53"/>
        <v>16242</v>
      </c>
      <c r="Y90" s="156"/>
      <c r="Z90" s="156"/>
    </row>
    <row r="91" spans="1:26">
      <c r="A91" s="161" t="str">
        <f t="shared" si="37"/>
        <v>10Base Allocation (GF-State)</v>
      </c>
      <c r="B91" s="161">
        <f t="shared" si="54"/>
        <v>1</v>
      </c>
      <c r="C91" s="163">
        <v>10</v>
      </c>
      <c r="D91" s="163" t="b">
        <v>1</v>
      </c>
      <c r="E91" s="161" t="s">
        <v>23</v>
      </c>
      <c r="F91" s="161" t="str">
        <f t="shared" si="38"/>
        <v>001</v>
      </c>
      <c r="G91" s="384">
        <v>101</v>
      </c>
      <c r="H91" s="161" t="str">
        <f t="shared" si="39"/>
        <v>011</v>
      </c>
      <c r="I91" s="161" t="str">
        <f t="shared" si="40"/>
        <v>001-011</v>
      </c>
      <c r="J91" s="162" t="s">
        <v>491</v>
      </c>
      <c r="K91" s="161" t="s">
        <v>186</v>
      </c>
      <c r="L91" s="418">
        <f>19049420-841315</f>
        <v>18208105</v>
      </c>
      <c r="M91" s="418">
        <v>-23070</v>
      </c>
      <c r="N91" s="157">
        <f t="shared" si="41"/>
        <v>101</v>
      </c>
      <c r="O91" s="156">
        <f t="shared" si="12"/>
        <v>18185035</v>
      </c>
      <c r="Q91" s="156"/>
      <c r="R91" s="21">
        <v>6685</v>
      </c>
      <c r="S91" s="156">
        <v>463</v>
      </c>
      <c r="T91" s="156"/>
      <c r="U91" s="156"/>
      <c r="V91" s="156"/>
      <c r="W91" s="156">
        <v>2150</v>
      </c>
      <c r="X91" s="156">
        <f t="shared" si="53"/>
        <v>9298</v>
      </c>
      <c r="Y91" s="156"/>
      <c r="Z91" s="156"/>
    </row>
    <row r="92" spans="1:26">
      <c r="A92" s="161" t="str">
        <f t="shared" si="37"/>
        <v>9Base Allocation (GF-State)</v>
      </c>
      <c r="B92" s="161">
        <f t="shared" si="54"/>
        <v>1</v>
      </c>
      <c r="C92" s="163">
        <v>9</v>
      </c>
      <c r="D92" s="163" t="b">
        <v>1</v>
      </c>
      <c r="E92" s="161" t="s">
        <v>22</v>
      </c>
      <c r="F92" s="161" t="str">
        <f t="shared" si="38"/>
        <v>001</v>
      </c>
      <c r="G92" s="384">
        <v>101</v>
      </c>
      <c r="H92" s="161" t="str">
        <f t="shared" si="39"/>
        <v>011</v>
      </c>
      <c r="I92" s="161" t="str">
        <f t="shared" si="40"/>
        <v>001-011</v>
      </c>
      <c r="J92" s="162" t="s">
        <v>491</v>
      </c>
      <c r="K92" s="161" t="s">
        <v>186</v>
      </c>
      <c r="L92" s="418">
        <f>18273122-704632</f>
        <v>17568490</v>
      </c>
      <c r="M92" s="418">
        <v>-16242</v>
      </c>
      <c r="N92" s="157">
        <f t="shared" si="41"/>
        <v>101</v>
      </c>
      <c r="O92" s="156">
        <f t="shared" si="12"/>
        <v>17552248</v>
      </c>
      <c r="Q92" s="156"/>
      <c r="R92" s="21">
        <v>4791</v>
      </c>
      <c r="S92" s="156">
        <v>472</v>
      </c>
      <c r="T92" s="156"/>
      <c r="U92" s="156"/>
      <c r="V92" s="156">
        <v>1424</v>
      </c>
      <c r="W92" s="156">
        <v>1794</v>
      </c>
      <c r="X92" s="156">
        <f t="shared" si="53"/>
        <v>8481</v>
      </c>
      <c r="Y92" s="156"/>
      <c r="Z92" s="156"/>
    </row>
    <row r="93" spans="1:26">
      <c r="A93" s="161" t="str">
        <f t="shared" si="37"/>
        <v>26Base Allocation (GF-State)</v>
      </c>
      <c r="B93" s="161">
        <f t="shared" si="54"/>
        <v>1</v>
      </c>
      <c r="C93" s="163">
        <v>26</v>
      </c>
      <c r="D93" s="163" t="b">
        <v>1</v>
      </c>
      <c r="E93" s="161" t="s">
        <v>39</v>
      </c>
      <c r="F93" s="161" t="str">
        <f t="shared" si="38"/>
        <v>001</v>
      </c>
      <c r="G93" s="384">
        <v>101</v>
      </c>
      <c r="H93" s="161" t="str">
        <f t="shared" si="39"/>
        <v>011</v>
      </c>
      <c r="I93" s="161" t="str">
        <f t="shared" si="40"/>
        <v>001-011</v>
      </c>
      <c r="J93" s="162" t="s">
        <v>491</v>
      </c>
      <c r="K93" s="161" t="s">
        <v>186</v>
      </c>
      <c r="L93" s="418">
        <f>10185308-208619</f>
        <v>9976689</v>
      </c>
      <c r="M93" s="418">
        <v>-9298</v>
      </c>
      <c r="N93" s="157">
        <f t="shared" si="41"/>
        <v>101</v>
      </c>
      <c r="O93" s="156">
        <f t="shared" si="12"/>
        <v>9967391</v>
      </c>
      <c r="Q93" s="156"/>
      <c r="R93" s="21">
        <v>11059</v>
      </c>
      <c r="S93" s="156">
        <v>826</v>
      </c>
      <c r="T93" s="156"/>
      <c r="U93" s="156"/>
      <c r="V93" s="156"/>
      <c r="W93" s="156">
        <v>3316</v>
      </c>
      <c r="X93" s="156">
        <f t="shared" si="53"/>
        <v>15201</v>
      </c>
      <c r="Y93" s="156"/>
      <c r="Z93" s="156"/>
    </row>
    <row r="94" spans="1:26">
      <c r="A94" s="161" t="str">
        <f t="shared" si="37"/>
        <v>13Base Allocation (GF-State)</v>
      </c>
      <c r="B94" s="161">
        <f t="shared" si="54"/>
        <v>1</v>
      </c>
      <c r="C94" s="163">
        <v>13</v>
      </c>
      <c r="D94" s="163" t="b">
        <v>1</v>
      </c>
      <c r="E94" s="161" t="s">
        <v>26</v>
      </c>
      <c r="F94" s="161" t="str">
        <f t="shared" si="38"/>
        <v>001</v>
      </c>
      <c r="G94" s="384">
        <v>101</v>
      </c>
      <c r="H94" s="161" t="str">
        <f t="shared" si="39"/>
        <v>011</v>
      </c>
      <c r="I94" s="161" t="str">
        <f t="shared" si="40"/>
        <v>001-011</v>
      </c>
      <c r="J94" s="162" t="s">
        <v>491</v>
      </c>
      <c r="K94" s="161" t="s">
        <v>186</v>
      </c>
      <c r="L94" s="418">
        <f>9725326+91208</f>
        <v>9816534</v>
      </c>
      <c r="M94" s="418">
        <v>-8481</v>
      </c>
      <c r="N94" s="157">
        <f t="shared" si="41"/>
        <v>101</v>
      </c>
      <c r="O94" s="156">
        <f t="shared" si="12"/>
        <v>9808053</v>
      </c>
      <c r="Q94" s="156"/>
      <c r="R94" s="21">
        <v>4409</v>
      </c>
      <c r="S94" s="156">
        <v>329</v>
      </c>
      <c r="T94" s="156"/>
      <c r="U94" s="156"/>
      <c r="V94" s="156">
        <v>915</v>
      </c>
      <c r="W94" s="156">
        <v>1871</v>
      </c>
      <c r="X94" s="156">
        <f t="shared" si="53"/>
        <v>7524</v>
      </c>
      <c r="Y94" s="156"/>
      <c r="Z94" s="156"/>
    </row>
    <row r="95" spans="1:26">
      <c r="A95" s="161" t="str">
        <f t="shared" si="37"/>
        <v>3Base Allocation (GF-State)</v>
      </c>
      <c r="B95" s="161">
        <f t="shared" si="54"/>
        <v>1</v>
      </c>
      <c r="C95" s="163">
        <v>3</v>
      </c>
      <c r="D95" s="163" t="b">
        <v>1</v>
      </c>
      <c r="E95" s="161" t="s">
        <v>16</v>
      </c>
      <c r="F95" s="161" t="str">
        <f t="shared" si="38"/>
        <v>001</v>
      </c>
      <c r="G95" s="384">
        <v>101</v>
      </c>
      <c r="H95" s="161" t="str">
        <f t="shared" si="39"/>
        <v>011</v>
      </c>
      <c r="I95" s="161" t="str">
        <f t="shared" si="40"/>
        <v>001-011</v>
      </c>
      <c r="J95" s="162" t="s">
        <v>491</v>
      </c>
      <c r="K95" s="161" t="s">
        <v>186</v>
      </c>
      <c r="L95" s="418">
        <f>14862467-465193</f>
        <v>14397274</v>
      </c>
      <c r="M95" s="418">
        <v>-15201</v>
      </c>
      <c r="N95" s="157">
        <f t="shared" si="41"/>
        <v>101</v>
      </c>
      <c r="O95" s="156">
        <f t="shared" si="12"/>
        <v>14382073</v>
      </c>
      <c r="Q95" s="156"/>
      <c r="R95" s="21">
        <v>13575</v>
      </c>
      <c r="S95" s="156">
        <v>1591</v>
      </c>
      <c r="T95" s="156"/>
      <c r="U95" s="156"/>
      <c r="V95" s="156"/>
      <c r="W95" s="156">
        <v>3403</v>
      </c>
      <c r="X95" s="156">
        <f t="shared" si="53"/>
        <v>18569</v>
      </c>
      <c r="Y95" s="156"/>
      <c r="Z95" s="156"/>
    </row>
    <row r="96" spans="1:26">
      <c r="A96" s="161" t="str">
        <f t="shared" si="37"/>
        <v>1Base Allocation (GF-State)</v>
      </c>
      <c r="B96" s="161">
        <f t="shared" si="54"/>
        <v>1</v>
      </c>
      <c r="C96" s="163">
        <v>1</v>
      </c>
      <c r="D96" s="163" t="b">
        <v>1</v>
      </c>
      <c r="E96" s="161" t="s">
        <v>14</v>
      </c>
      <c r="F96" s="161" t="str">
        <f t="shared" si="38"/>
        <v>001</v>
      </c>
      <c r="G96" s="384">
        <v>101</v>
      </c>
      <c r="H96" s="161" t="str">
        <f t="shared" si="39"/>
        <v>011</v>
      </c>
      <c r="I96" s="161" t="str">
        <f t="shared" si="40"/>
        <v>001-011</v>
      </c>
      <c r="J96" s="162" t="s">
        <v>491</v>
      </c>
      <c r="K96" s="161" t="s">
        <v>186</v>
      </c>
      <c r="L96" s="418">
        <f>7723743-46791</f>
        <v>7676952</v>
      </c>
      <c r="M96" s="418">
        <v>-7524</v>
      </c>
      <c r="N96" s="157">
        <f t="shared" si="41"/>
        <v>101</v>
      </c>
      <c r="O96" s="156">
        <f t="shared" si="12"/>
        <v>7669428</v>
      </c>
      <c r="Q96" s="156"/>
      <c r="R96" s="21">
        <v>6337</v>
      </c>
      <c r="S96" s="156">
        <v>596</v>
      </c>
      <c r="T96" s="156"/>
      <c r="U96" s="156"/>
      <c r="V96" s="156"/>
      <c r="W96" s="156">
        <v>2295</v>
      </c>
      <c r="X96" s="156">
        <f t="shared" si="53"/>
        <v>9228</v>
      </c>
      <c r="Y96" s="156"/>
      <c r="Z96" s="156"/>
    </row>
    <row r="97" spans="1:26" s="380" customFormat="1">
      <c r="A97" s="161" t="str">
        <f t="shared" si="37"/>
        <v>11Base Allocation (GF-State)</v>
      </c>
      <c r="B97" s="161">
        <f t="shared" si="54"/>
        <v>1</v>
      </c>
      <c r="C97" s="163">
        <v>11</v>
      </c>
      <c r="D97" s="163" t="b">
        <v>1</v>
      </c>
      <c r="E97" s="161" t="s">
        <v>24</v>
      </c>
      <c r="F97" s="161" t="str">
        <f t="shared" si="38"/>
        <v>001</v>
      </c>
      <c r="G97" s="384">
        <v>101</v>
      </c>
      <c r="H97" s="161" t="str">
        <f t="shared" si="39"/>
        <v>011</v>
      </c>
      <c r="I97" s="161" t="str">
        <f t="shared" si="40"/>
        <v>001-011</v>
      </c>
      <c r="J97" s="162" t="s">
        <v>491</v>
      </c>
      <c r="K97" s="161" t="s">
        <v>186</v>
      </c>
      <c r="L97" s="418">
        <f>19113883-822847</f>
        <v>18291036</v>
      </c>
      <c r="M97" s="418">
        <v>-18569</v>
      </c>
      <c r="N97" s="157">
        <f t="shared" si="41"/>
        <v>101</v>
      </c>
      <c r="O97" s="156">
        <f t="shared" si="12"/>
        <v>18272467</v>
      </c>
      <c r="P97" s="365"/>
      <c r="Q97" s="365"/>
      <c r="R97" s="381">
        <v>32553</v>
      </c>
      <c r="S97" s="365">
        <v>2956</v>
      </c>
      <c r="T97" s="365"/>
      <c r="U97" s="365"/>
      <c r="V97" s="365">
        <v>8401</v>
      </c>
      <c r="W97" s="365">
        <v>10321</v>
      </c>
      <c r="X97" s="156">
        <f t="shared" si="53"/>
        <v>54231</v>
      </c>
      <c r="Y97" s="156"/>
      <c r="Z97" s="156"/>
    </row>
    <row r="98" spans="1:26">
      <c r="A98" s="161" t="str">
        <f t="shared" si="37"/>
        <v>27Base Allocation (GF-State)</v>
      </c>
      <c r="B98" s="161">
        <f t="shared" si="54"/>
        <v>1</v>
      </c>
      <c r="C98" s="163">
        <v>27</v>
      </c>
      <c r="D98" s="163" t="b">
        <v>1</v>
      </c>
      <c r="E98" s="161" t="s">
        <v>40</v>
      </c>
      <c r="F98" s="161" t="str">
        <f t="shared" si="38"/>
        <v>001</v>
      </c>
      <c r="G98" s="384">
        <v>101</v>
      </c>
      <c r="H98" s="161" t="str">
        <f t="shared" si="39"/>
        <v>011</v>
      </c>
      <c r="I98" s="161" t="str">
        <f t="shared" si="40"/>
        <v>001-011</v>
      </c>
      <c r="J98" s="162" t="s">
        <v>491</v>
      </c>
      <c r="K98" s="161" t="s">
        <v>186</v>
      </c>
      <c r="L98" s="418">
        <f>12103923-370711</f>
        <v>11733212</v>
      </c>
      <c r="M98" s="418">
        <v>-9228</v>
      </c>
      <c r="N98" s="157">
        <f t="shared" si="41"/>
        <v>101</v>
      </c>
      <c r="O98" s="156">
        <f t="shared" ref="O98:O161" si="55">SUM(L98:M98)</f>
        <v>11723984</v>
      </c>
      <c r="Q98" s="156"/>
      <c r="R98" s="21">
        <v>10307</v>
      </c>
      <c r="S98" s="156">
        <v>814</v>
      </c>
      <c r="T98" s="156"/>
      <c r="U98" s="156"/>
      <c r="V98" s="156">
        <v>2827</v>
      </c>
      <c r="W98" s="156">
        <v>2653</v>
      </c>
      <c r="X98" s="156">
        <f t="shared" si="53"/>
        <v>16601</v>
      </c>
      <c r="Y98" s="156"/>
      <c r="Z98" s="156"/>
    </row>
    <row r="99" spans="1:26">
      <c r="A99" s="161" t="str">
        <f t="shared" si="37"/>
        <v>89Base Allocation (GF-State)</v>
      </c>
      <c r="B99" s="161">
        <f t="shared" si="54"/>
        <v>1</v>
      </c>
      <c r="C99" s="160" t="s">
        <v>144</v>
      </c>
      <c r="D99" s="163" t="b">
        <v>1</v>
      </c>
      <c r="E99" s="161" t="s">
        <v>204</v>
      </c>
      <c r="F99" s="161" t="str">
        <f t="shared" si="38"/>
        <v>001</v>
      </c>
      <c r="G99" s="161" t="str">
        <f>IF(RIGHT(J99,3)="012","201",IF(RIGHT(J99,3)="232","123",IF(RIGHT(J99,3)="1E2","215",RIGHT(J99,3))))</f>
        <v>011</v>
      </c>
      <c r="H99" s="161" t="str">
        <f t="shared" si="39"/>
        <v>011</v>
      </c>
      <c r="I99" s="161" t="str">
        <f t="shared" si="40"/>
        <v>001-011</v>
      </c>
      <c r="J99" s="162" t="s">
        <v>491</v>
      </c>
      <c r="K99" s="161" t="s">
        <v>186</v>
      </c>
      <c r="L99" s="418">
        <f>14627282-261329</f>
        <v>14365953</v>
      </c>
      <c r="M99" s="418">
        <f>1009270+132000</f>
        <v>1141270</v>
      </c>
      <c r="N99" s="157">
        <f t="shared" si="41"/>
        <v>101</v>
      </c>
      <c r="O99" s="156">
        <f t="shared" si="55"/>
        <v>15507223</v>
      </c>
      <c r="Q99" s="156"/>
      <c r="R99" s="21">
        <v>8720</v>
      </c>
      <c r="S99" s="156">
        <v>751</v>
      </c>
      <c r="T99" s="156"/>
      <c r="U99" s="156"/>
      <c r="V99" s="156"/>
      <c r="W99" s="156">
        <v>2493</v>
      </c>
      <c r="X99" s="156">
        <f t="shared" si="53"/>
        <v>11964</v>
      </c>
      <c r="Y99" s="156"/>
      <c r="Z99" s="156"/>
    </row>
    <row r="100" spans="1:26" ht="12.75" customHeight="1">
      <c r="A100" s="378" t="str">
        <f t="shared" si="37"/>
        <v>6Base Allocation (GF-State)</v>
      </c>
      <c r="B100" s="161">
        <f t="shared" si="54"/>
        <v>1</v>
      </c>
      <c r="C100" s="379">
        <v>6</v>
      </c>
      <c r="D100" s="379" t="b">
        <v>1</v>
      </c>
      <c r="E100" s="378" t="s">
        <v>19</v>
      </c>
      <c r="F100" s="378" t="str">
        <f t="shared" si="38"/>
        <v>001</v>
      </c>
      <c r="G100" s="384">
        <v>101</v>
      </c>
      <c r="H100" s="161" t="str">
        <f t="shared" si="39"/>
        <v>011</v>
      </c>
      <c r="I100" s="161" t="str">
        <f t="shared" si="40"/>
        <v>001-011</v>
      </c>
      <c r="J100" s="162" t="s">
        <v>491</v>
      </c>
      <c r="K100" s="378" t="s">
        <v>186</v>
      </c>
      <c r="L100" s="421">
        <f>53553634-1538496</f>
        <v>52015138</v>
      </c>
      <c r="M100" s="418">
        <v>-54231</v>
      </c>
      <c r="N100" s="157">
        <f t="shared" si="41"/>
        <v>101</v>
      </c>
      <c r="O100" s="156">
        <f t="shared" si="55"/>
        <v>51960907</v>
      </c>
      <c r="Q100" s="156"/>
      <c r="R100" s="21">
        <v>8563</v>
      </c>
      <c r="S100" s="156">
        <v>840</v>
      </c>
      <c r="T100" s="156"/>
      <c r="U100" s="156"/>
      <c r="V100" s="156">
        <v>2517</v>
      </c>
      <c r="W100" s="156">
        <v>2373</v>
      </c>
      <c r="X100" s="156">
        <f t="shared" si="53"/>
        <v>14293</v>
      </c>
      <c r="Y100" s="156"/>
      <c r="Z100" s="156"/>
    </row>
    <row r="101" spans="1:26" ht="12.75" customHeight="1">
      <c r="A101" s="161" t="str">
        <f t="shared" si="37"/>
        <v>7Base Allocation (GF-State)</v>
      </c>
      <c r="B101" s="161">
        <f t="shared" si="54"/>
        <v>1</v>
      </c>
      <c r="C101" s="163">
        <v>7</v>
      </c>
      <c r="D101" s="163" t="b">
        <v>1</v>
      </c>
      <c r="E101" s="161" t="s">
        <v>20</v>
      </c>
      <c r="F101" s="161" t="str">
        <f t="shared" si="38"/>
        <v>001</v>
      </c>
      <c r="G101" s="384">
        <v>101</v>
      </c>
      <c r="H101" s="161" t="str">
        <f t="shared" si="39"/>
        <v>011</v>
      </c>
      <c r="I101" s="161" t="str">
        <f t="shared" si="40"/>
        <v>001-011</v>
      </c>
      <c r="J101" s="162" t="s">
        <v>491</v>
      </c>
      <c r="K101" s="161" t="s">
        <v>186</v>
      </c>
      <c r="L101" s="418">
        <f>17171194-639759</f>
        <v>16531435</v>
      </c>
      <c r="M101" s="418">
        <v>-16601</v>
      </c>
      <c r="N101" s="157">
        <f t="shared" si="41"/>
        <v>101</v>
      </c>
      <c r="O101" s="156">
        <f t="shared" si="55"/>
        <v>16514834</v>
      </c>
      <c r="Q101" s="156"/>
      <c r="R101" s="21">
        <v>26809</v>
      </c>
      <c r="S101" s="156">
        <v>2447</v>
      </c>
      <c r="T101" s="156"/>
      <c r="U101" s="156"/>
      <c r="V101" s="156">
        <v>7978</v>
      </c>
      <c r="W101" s="156">
        <v>6741</v>
      </c>
      <c r="X101" s="156">
        <f t="shared" si="53"/>
        <v>43975</v>
      </c>
      <c r="Y101" s="156"/>
      <c r="Z101" s="156"/>
    </row>
    <row r="102" spans="1:26" ht="12.75" customHeight="1">
      <c r="A102" s="161" t="str">
        <f t="shared" si="37"/>
        <v>4Base Allocation (GF-State)</v>
      </c>
      <c r="B102" s="161">
        <f t="shared" si="54"/>
        <v>1</v>
      </c>
      <c r="C102" s="163">
        <v>4</v>
      </c>
      <c r="D102" s="163" t="b">
        <v>1</v>
      </c>
      <c r="E102" s="161" t="s">
        <v>17</v>
      </c>
      <c r="F102" s="161" t="str">
        <f t="shared" si="38"/>
        <v>001</v>
      </c>
      <c r="G102" s="384">
        <v>101</v>
      </c>
      <c r="H102" s="161" t="str">
        <f t="shared" si="39"/>
        <v>011</v>
      </c>
      <c r="I102" s="161" t="str">
        <f t="shared" si="40"/>
        <v>001-011</v>
      </c>
      <c r="J102" s="162" t="s">
        <v>491</v>
      </c>
      <c r="K102" s="161" t="s">
        <v>186</v>
      </c>
      <c r="L102" s="418">
        <f>13546633-405308</f>
        <v>13141325</v>
      </c>
      <c r="M102" s="418">
        <v>-11964</v>
      </c>
      <c r="N102" s="157">
        <f t="shared" si="41"/>
        <v>101</v>
      </c>
      <c r="O102" s="156">
        <f t="shared" si="55"/>
        <v>13129361</v>
      </c>
      <c r="Q102" s="156"/>
      <c r="R102" s="21">
        <v>11678</v>
      </c>
      <c r="S102" s="156">
        <v>1028</v>
      </c>
      <c r="T102" s="156"/>
      <c r="U102" s="156"/>
      <c r="V102" s="156">
        <v>2445</v>
      </c>
      <c r="W102" s="156">
        <v>3825</v>
      </c>
      <c r="X102" s="156">
        <f t="shared" si="53"/>
        <v>18976</v>
      </c>
      <c r="Y102" s="156"/>
      <c r="Z102" s="156"/>
    </row>
    <row r="103" spans="1:26" ht="12.75" customHeight="1">
      <c r="A103" s="161" t="str">
        <f t="shared" si="37"/>
        <v>24Base Allocation (GF-State)</v>
      </c>
      <c r="B103" s="161">
        <f t="shared" si="54"/>
        <v>1</v>
      </c>
      <c r="C103" s="163">
        <v>24</v>
      </c>
      <c r="D103" s="163" t="b">
        <v>1</v>
      </c>
      <c r="E103" s="161" t="s">
        <v>37</v>
      </c>
      <c r="F103" s="161" t="str">
        <f t="shared" si="38"/>
        <v>001</v>
      </c>
      <c r="G103" s="384">
        <v>101</v>
      </c>
      <c r="H103" s="161" t="str">
        <f t="shared" si="39"/>
        <v>011</v>
      </c>
      <c r="I103" s="161" t="str">
        <f t="shared" si="40"/>
        <v>001-011</v>
      </c>
      <c r="J103" s="162" t="s">
        <v>491</v>
      </c>
      <c r="K103" s="161" t="s">
        <v>186</v>
      </c>
      <c r="L103" s="418">
        <f>12880300-509869</f>
        <v>12370431</v>
      </c>
      <c r="M103" s="418">
        <v>-14293</v>
      </c>
      <c r="N103" s="157">
        <f t="shared" si="41"/>
        <v>101</v>
      </c>
      <c r="O103" s="156">
        <f t="shared" si="55"/>
        <v>12356138</v>
      </c>
      <c r="Q103" s="156"/>
      <c r="R103" s="21">
        <v>7723</v>
      </c>
      <c r="S103" s="156">
        <v>636</v>
      </c>
      <c r="T103" s="156"/>
      <c r="U103" s="156"/>
      <c r="V103" s="156"/>
      <c r="W103" s="156">
        <v>2843</v>
      </c>
      <c r="X103" s="156">
        <f t="shared" si="53"/>
        <v>11202</v>
      </c>
      <c r="Y103" s="156"/>
      <c r="Z103" s="156"/>
    </row>
    <row r="104" spans="1:26" ht="12.75" customHeight="1">
      <c r="A104" s="161" t="str">
        <f t="shared" si="37"/>
        <v>17Base Allocation (GF-State)</v>
      </c>
      <c r="B104" s="161">
        <f t="shared" si="54"/>
        <v>1</v>
      </c>
      <c r="C104" s="163">
        <v>17</v>
      </c>
      <c r="D104" s="163" t="b">
        <v>1</v>
      </c>
      <c r="E104" s="161" t="s">
        <v>30</v>
      </c>
      <c r="F104" s="161" t="str">
        <f t="shared" si="38"/>
        <v>001</v>
      </c>
      <c r="G104" s="384">
        <v>101</v>
      </c>
      <c r="H104" s="161" t="str">
        <f t="shared" si="39"/>
        <v>011</v>
      </c>
      <c r="I104" s="161" t="str">
        <f t="shared" si="40"/>
        <v>001-011</v>
      </c>
      <c r="J104" s="162" t="s">
        <v>491</v>
      </c>
      <c r="K104" s="161" t="s">
        <v>186</v>
      </c>
      <c r="L104" s="418">
        <f>45383127-1490923+2816-200241-33686+66211+147600+2900</f>
        <v>43877804</v>
      </c>
      <c r="M104" s="418">
        <v>-43975</v>
      </c>
      <c r="N104" s="157">
        <f t="shared" si="41"/>
        <v>101</v>
      </c>
      <c r="O104" s="156">
        <f t="shared" si="55"/>
        <v>43833829</v>
      </c>
      <c r="Q104" s="156"/>
      <c r="R104" s="21">
        <v>6537</v>
      </c>
      <c r="S104" s="156">
        <v>491</v>
      </c>
      <c r="T104" s="156"/>
      <c r="U104" s="156"/>
      <c r="V104" s="156"/>
      <c r="W104" s="156">
        <v>1853</v>
      </c>
      <c r="X104" s="156">
        <f t="shared" si="53"/>
        <v>8881</v>
      </c>
      <c r="Y104" s="156"/>
      <c r="Z104" s="156"/>
    </row>
    <row r="105" spans="1:26" ht="12.75" customHeight="1">
      <c r="A105" s="161" t="str">
        <f t="shared" si="37"/>
        <v>22Base Allocation (GF-State)</v>
      </c>
      <c r="B105" s="161">
        <f t="shared" si="54"/>
        <v>1</v>
      </c>
      <c r="C105" s="163">
        <v>22</v>
      </c>
      <c r="D105" s="163" t="b">
        <v>1</v>
      </c>
      <c r="E105" s="161" t="s">
        <v>35</v>
      </c>
      <c r="F105" s="161" t="str">
        <f t="shared" si="38"/>
        <v>001</v>
      </c>
      <c r="G105" s="384">
        <v>101</v>
      </c>
      <c r="H105" s="161" t="str">
        <f t="shared" si="39"/>
        <v>011</v>
      </c>
      <c r="I105" s="161" t="str">
        <f t="shared" si="40"/>
        <v>001-011</v>
      </c>
      <c r="J105" s="162" t="s">
        <v>491</v>
      </c>
      <c r="K105" s="161" t="s">
        <v>186</v>
      </c>
      <c r="L105" s="418">
        <f>15217754-313490</f>
        <v>14904264</v>
      </c>
      <c r="M105" s="418">
        <v>-18976</v>
      </c>
      <c r="N105" s="157">
        <f t="shared" si="41"/>
        <v>101</v>
      </c>
      <c r="O105" s="156">
        <f t="shared" si="55"/>
        <v>14885288</v>
      </c>
      <c r="Q105" s="156"/>
      <c r="R105" s="21">
        <v>6272</v>
      </c>
      <c r="S105" s="156">
        <v>455</v>
      </c>
      <c r="T105" s="156"/>
      <c r="U105" s="156"/>
      <c r="V105" s="156">
        <v>1375</v>
      </c>
      <c r="W105" s="156">
        <v>1949</v>
      </c>
      <c r="X105" s="156">
        <f t="shared" si="53"/>
        <v>10051</v>
      </c>
      <c r="Y105" s="156"/>
      <c r="Z105" s="156"/>
    </row>
    <row r="106" spans="1:26" ht="12.75" customHeight="1">
      <c r="A106" s="161" t="str">
        <f t="shared" si="37"/>
        <v>20Base Allocation (GF-State)</v>
      </c>
      <c r="B106" s="161">
        <f t="shared" si="54"/>
        <v>1</v>
      </c>
      <c r="C106" s="163">
        <v>20</v>
      </c>
      <c r="D106" s="163" t="b">
        <v>1</v>
      </c>
      <c r="E106" s="161" t="s">
        <v>33</v>
      </c>
      <c r="F106" s="161" t="str">
        <f t="shared" si="38"/>
        <v>001</v>
      </c>
      <c r="G106" s="384">
        <v>101</v>
      </c>
      <c r="H106" s="161" t="str">
        <f t="shared" si="39"/>
        <v>011</v>
      </c>
      <c r="I106" s="161" t="str">
        <f t="shared" si="40"/>
        <v>001-011</v>
      </c>
      <c r="J106" s="162" t="s">
        <v>491</v>
      </c>
      <c r="K106" s="161" t="s">
        <v>186</v>
      </c>
      <c r="L106" s="418">
        <f>11720442-457065</f>
        <v>11263377</v>
      </c>
      <c r="M106" s="418">
        <v>-11202</v>
      </c>
      <c r="N106" s="157">
        <f t="shared" si="41"/>
        <v>101</v>
      </c>
      <c r="O106" s="156">
        <f t="shared" si="55"/>
        <v>11252175</v>
      </c>
      <c r="Q106" s="156"/>
      <c r="R106" s="21">
        <v>8424</v>
      </c>
      <c r="S106" s="156">
        <v>682</v>
      </c>
      <c r="T106" s="156">
        <v>1000</v>
      </c>
      <c r="U106" s="156"/>
      <c r="V106" s="156"/>
      <c r="W106" s="156">
        <v>1956</v>
      </c>
      <c r="X106" s="156">
        <f>SUM(R106:W106)</f>
        <v>12062</v>
      </c>
      <c r="Y106" s="156"/>
      <c r="Z106" s="156"/>
    </row>
    <row r="107" spans="1:26" ht="12.75" customHeight="1">
      <c r="A107" s="161" t="str">
        <f t="shared" si="37"/>
        <v>15Base Allocation (GF-State)</v>
      </c>
      <c r="B107" s="161">
        <f t="shared" si="54"/>
        <v>1</v>
      </c>
      <c r="C107" s="163">
        <v>15</v>
      </c>
      <c r="D107" s="163" t="b">
        <v>1</v>
      </c>
      <c r="E107" s="161" t="s">
        <v>28</v>
      </c>
      <c r="F107" s="161" t="str">
        <f t="shared" si="38"/>
        <v>001</v>
      </c>
      <c r="G107" s="384">
        <v>101</v>
      </c>
      <c r="H107" s="161" t="str">
        <f t="shared" si="39"/>
        <v>011</v>
      </c>
      <c r="I107" s="161" t="str">
        <f t="shared" si="40"/>
        <v>001-011</v>
      </c>
      <c r="J107" s="162" t="s">
        <v>491</v>
      </c>
      <c r="K107" s="161" t="s">
        <v>186</v>
      </c>
      <c r="L107" s="418">
        <f>9252795-394200</f>
        <v>8858595</v>
      </c>
      <c r="M107" s="418">
        <v>-8881</v>
      </c>
      <c r="N107" s="157">
        <f t="shared" si="41"/>
        <v>101</v>
      </c>
      <c r="O107" s="156">
        <f t="shared" si="55"/>
        <v>8849714</v>
      </c>
      <c r="Q107" s="156"/>
      <c r="R107" s="156">
        <f>SUM(R77:R106)</f>
        <v>307000</v>
      </c>
      <c r="S107" s="156">
        <f t="shared" ref="S107:W107" si="56">SUM(S77:S106)</f>
        <v>27000</v>
      </c>
      <c r="T107" s="156">
        <f t="shared" si="56"/>
        <v>1000</v>
      </c>
      <c r="U107" s="156">
        <f t="shared" si="56"/>
        <v>2000</v>
      </c>
      <c r="V107" s="156">
        <f t="shared" si="56"/>
        <v>37000</v>
      </c>
      <c r="W107" s="156">
        <f t="shared" si="56"/>
        <v>94000</v>
      </c>
      <c r="Y107" s="156">
        <f>SUM(X77:X106)</f>
        <v>468000</v>
      </c>
    </row>
    <row r="108" spans="1:26" ht="12.75" customHeight="1">
      <c r="A108" s="161" t="str">
        <f t="shared" si="37"/>
        <v>21Base Allocation (GF-State)</v>
      </c>
      <c r="B108" s="161">
        <f t="shared" si="54"/>
        <v>1</v>
      </c>
      <c r="C108" s="163">
        <v>21</v>
      </c>
      <c r="D108" s="163" t="b">
        <v>1</v>
      </c>
      <c r="E108" s="161" t="s">
        <v>34</v>
      </c>
      <c r="F108" s="161" t="str">
        <f t="shared" si="38"/>
        <v>001</v>
      </c>
      <c r="G108" s="384">
        <v>101</v>
      </c>
      <c r="H108" s="161" t="str">
        <f t="shared" si="39"/>
        <v>011</v>
      </c>
      <c r="I108" s="161" t="str">
        <f t="shared" si="40"/>
        <v>001-011</v>
      </c>
      <c r="J108" s="162" t="s">
        <v>491</v>
      </c>
      <c r="K108" s="161" t="s">
        <v>186</v>
      </c>
      <c r="L108" s="418">
        <f>9095115-432879</f>
        <v>8662236</v>
      </c>
      <c r="M108" s="418">
        <v>-10051</v>
      </c>
      <c r="N108" s="157">
        <f t="shared" si="41"/>
        <v>101</v>
      </c>
      <c r="O108" s="156">
        <f t="shared" si="55"/>
        <v>8652185</v>
      </c>
      <c r="Q108" s="156"/>
      <c r="R108" s="372"/>
    </row>
    <row r="109" spans="1:26" ht="12.75" customHeight="1">
      <c r="A109" s="161" t="str">
        <f t="shared" si="37"/>
        <v>16Base Allocation (GF-State)</v>
      </c>
      <c r="B109" s="161">
        <f t="shared" si="54"/>
        <v>1</v>
      </c>
      <c r="C109" s="163">
        <v>16</v>
      </c>
      <c r="D109" s="163" t="b">
        <v>1</v>
      </c>
      <c r="E109" s="161" t="s">
        <v>29</v>
      </c>
      <c r="F109" s="161" t="str">
        <f t="shared" si="38"/>
        <v>001</v>
      </c>
      <c r="G109" s="384">
        <v>101</v>
      </c>
      <c r="H109" s="161" t="str">
        <f t="shared" si="39"/>
        <v>011</v>
      </c>
      <c r="I109" s="161" t="str">
        <f t="shared" si="40"/>
        <v>001-011</v>
      </c>
      <c r="J109" s="162" t="s">
        <v>491</v>
      </c>
      <c r="K109" s="161" t="s">
        <v>186</v>
      </c>
      <c r="L109" s="418">
        <f>14373111-531645</f>
        <v>13841466</v>
      </c>
      <c r="M109" s="418">
        <v>-12062</v>
      </c>
      <c r="N109" s="157">
        <f t="shared" si="41"/>
        <v>101</v>
      </c>
      <c r="O109" s="156">
        <f t="shared" si="55"/>
        <v>13829404</v>
      </c>
      <c r="Q109" s="156"/>
      <c r="R109" s="372"/>
      <c r="Y109" s="156"/>
    </row>
    <row r="110" spans="1:26" ht="12.75" hidden="1" customHeight="1">
      <c r="A110" s="161" t="str">
        <f t="shared" si="37"/>
        <v>28Basic Skills Enhancement</v>
      </c>
      <c r="B110" s="161">
        <f t="shared" si="54"/>
        <v>1</v>
      </c>
      <c r="C110" s="163">
        <v>28</v>
      </c>
      <c r="D110" s="163" t="b">
        <v>1</v>
      </c>
      <c r="E110" s="161" t="s">
        <v>41</v>
      </c>
      <c r="F110" s="161" t="str">
        <f t="shared" si="38"/>
        <v>08A</v>
      </c>
      <c r="G110" s="161" t="str">
        <f t="shared" ref="G110:G128" si="57">IF(RIGHT(J110,3)="012","201",IF(RIGHT(J110,3)="232","123",IF(RIGHT(J110,3)="1E2","215",RIGHT(J110,3))))</f>
        <v>3E0</v>
      </c>
      <c r="H110" s="161" t="str">
        <f t="shared" si="39"/>
        <v>3E0</v>
      </c>
      <c r="I110" s="161" t="str">
        <f t="shared" si="40"/>
        <v>08A-3E0</v>
      </c>
      <c r="J110" s="161" t="s">
        <v>149</v>
      </c>
      <c r="K110" s="161" t="s">
        <v>222</v>
      </c>
      <c r="L110" s="418">
        <v>52134</v>
      </c>
      <c r="M110" s="418">
        <v>-52134</v>
      </c>
      <c r="N110" s="157" t="str">
        <f t="shared" si="41"/>
        <v>3E0</v>
      </c>
      <c r="O110" s="156">
        <f t="shared" si="55"/>
        <v>0</v>
      </c>
      <c r="Q110" s="156"/>
      <c r="R110" s="372"/>
    </row>
    <row r="111" spans="1:26" ht="12.75" hidden="1" customHeight="1">
      <c r="A111" s="161" t="str">
        <f t="shared" si="37"/>
        <v>8Basic Skills Enhancement</v>
      </c>
      <c r="B111" s="161">
        <f t="shared" si="54"/>
        <v>1</v>
      </c>
      <c r="C111" s="163">
        <v>8</v>
      </c>
      <c r="D111" s="163" t="b">
        <v>1</v>
      </c>
      <c r="E111" s="161" t="s">
        <v>21</v>
      </c>
      <c r="F111" s="161" t="str">
        <f t="shared" si="38"/>
        <v>08A</v>
      </c>
      <c r="G111" s="161" t="str">
        <f t="shared" si="57"/>
        <v>3E0</v>
      </c>
      <c r="H111" s="161" t="str">
        <f t="shared" si="39"/>
        <v>3E0</v>
      </c>
      <c r="I111" s="161" t="str">
        <f t="shared" si="40"/>
        <v>08A-3E0</v>
      </c>
      <c r="J111" s="161" t="s">
        <v>149</v>
      </c>
      <c r="K111" s="161" t="s">
        <v>222</v>
      </c>
      <c r="L111" s="418">
        <v>86890</v>
      </c>
      <c r="M111" s="418">
        <v>-86890</v>
      </c>
      <c r="N111" s="157" t="str">
        <f t="shared" si="41"/>
        <v>3E0</v>
      </c>
      <c r="O111" s="156">
        <f t="shared" si="55"/>
        <v>0</v>
      </c>
      <c r="Q111" s="156"/>
      <c r="R111" s="372"/>
    </row>
    <row r="112" spans="1:26" ht="12.75" hidden="1" customHeight="1">
      <c r="A112" s="161" t="str">
        <f t="shared" si="37"/>
        <v>25Basic Skills Enhancement</v>
      </c>
      <c r="B112" s="161">
        <f t="shared" si="54"/>
        <v>1</v>
      </c>
      <c r="C112" s="163">
        <v>25</v>
      </c>
      <c r="D112" s="163" t="b">
        <v>1</v>
      </c>
      <c r="E112" s="161" t="s">
        <v>38</v>
      </c>
      <c r="F112" s="161" t="str">
        <f t="shared" si="38"/>
        <v>08A</v>
      </c>
      <c r="G112" s="161" t="str">
        <f t="shared" si="57"/>
        <v>3E0</v>
      </c>
      <c r="H112" s="161" t="str">
        <f t="shared" si="39"/>
        <v>3E0</v>
      </c>
      <c r="I112" s="161" t="str">
        <f t="shared" si="40"/>
        <v>08A-3E0</v>
      </c>
      <c r="J112" s="161" t="s">
        <v>149</v>
      </c>
      <c r="K112" s="161" t="s">
        <v>222</v>
      </c>
      <c r="L112" s="418">
        <v>15225</v>
      </c>
      <c r="M112" s="418">
        <v>-15225</v>
      </c>
      <c r="N112" s="157" t="str">
        <f t="shared" si="41"/>
        <v>3E0</v>
      </c>
      <c r="O112" s="156">
        <f t="shared" si="55"/>
        <v>0</v>
      </c>
      <c r="Q112" s="156"/>
      <c r="R112" s="372"/>
    </row>
    <row r="113" spans="1:18" ht="12.75" hidden="1" customHeight="1">
      <c r="A113" s="161" t="str">
        <f t="shared" si="37"/>
        <v>18Basic Skills Enhancement</v>
      </c>
      <c r="B113" s="161">
        <f t="shared" si="54"/>
        <v>1</v>
      </c>
      <c r="C113" s="163">
        <v>18</v>
      </c>
      <c r="D113" s="163" t="b">
        <v>1</v>
      </c>
      <c r="E113" s="161" t="s">
        <v>31</v>
      </c>
      <c r="F113" s="161" t="str">
        <f t="shared" si="38"/>
        <v>08A</v>
      </c>
      <c r="G113" s="161" t="str">
        <f t="shared" si="57"/>
        <v>3E0</v>
      </c>
      <c r="H113" s="161" t="str">
        <f t="shared" si="39"/>
        <v>3E0</v>
      </c>
      <c r="I113" s="161" t="str">
        <f t="shared" si="40"/>
        <v>08A-3E0</v>
      </c>
      <c r="J113" s="161" t="s">
        <v>149</v>
      </c>
      <c r="K113" s="161" t="s">
        <v>222</v>
      </c>
      <c r="L113" s="418">
        <v>26671</v>
      </c>
      <c r="M113" s="418">
        <v>-26671</v>
      </c>
      <c r="N113" s="157" t="str">
        <f t="shared" si="41"/>
        <v>3E0</v>
      </c>
      <c r="O113" s="156">
        <f t="shared" si="55"/>
        <v>0</v>
      </c>
      <c r="Q113" s="156"/>
      <c r="R113" s="372"/>
    </row>
    <row r="114" spans="1:18" ht="12.75" hidden="1" customHeight="1">
      <c r="A114" s="161" t="str">
        <f t="shared" si="37"/>
        <v>30Basic Skills Enhancement</v>
      </c>
      <c r="B114" s="161">
        <f t="shared" si="54"/>
        <v>1</v>
      </c>
      <c r="C114" s="163">
        <v>30</v>
      </c>
      <c r="D114" s="163" t="b">
        <v>1</v>
      </c>
      <c r="E114" s="161" t="s">
        <v>43</v>
      </c>
      <c r="F114" s="161" t="str">
        <f t="shared" si="38"/>
        <v>08A</v>
      </c>
      <c r="G114" s="161" t="str">
        <f t="shared" si="57"/>
        <v>3E0</v>
      </c>
      <c r="H114" s="161" t="str">
        <f t="shared" si="39"/>
        <v>3E0</v>
      </c>
      <c r="I114" s="161" t="str">
        <f t="shared" si="40"/>
        <v>08A-3E0</v>
      </c>
      <c r="J114" s="161" t="s">
        <v>149</v>
      </c>
      <c r="K114" s="161" t="s">
        <v>222</v>
      </c>
      <c r="L114" s="418">
        <v>30451</v>
      </c>
      <c r="M114" s="418">
        <v>-30451</v>
      </c>
      <c r="N114" s="157" t="str">
        <f t="shared" si="41"/>
        <v>3E0</v>
      </c>
      <c r="O114" s="156">
        <f t="shared" si="55"/>
        <v>0</v>
      </c>
      <c r="Q114" s="156"/>
      <c r="R114" s="372"/>
    </row>
    <row r="115" spans="1:18" ht="12.75" hidden="1" customHeight="1">
      <c r="A115" s="161" t="str">
        <f t="shared" si="37"/>
        <v>12Basic Skills Enhancement</v>
      </c>
      <c r="B115" s="161">
        <f t="shared" si="54"/>
        <v>1</v>
      </c>
      <c r="C115" s="163">
        <v>12</v>
      </c>
      <c r="D115" s="163" t="b">
        <v>1</v>
      </c>
      <c r="E115" s="161" t="s">
        <v>25</v>
      </c>
      <c r="F115" s="161" t="str">
        <f t="shared" si="38"/>
        <v>08A</v>
      </c>
      <c r="G115" s="161" t="str">
        <f t="shared" si="57"/>
        <v>3E0</v>
      </c>
      <c r="H115" s="161" t="str">
        <f t="shared" si="39"/>
        <v>3E0</v>
      </c>
      <c r="I115" s="161" t="str">
        <f t="shared" si="40"/>
        <v>08A-3E0</v>
      </c>
      <c r="J115" s="161" t="s">
        <v>149</v>
      </c>
      <c r="K115" s="161" t="s">
        <v>222</v>
      </c>
      <c r="L115" s="418">
        <v>56544</v>
      </c>
      <c r="M115" s="418">
        <v>-56544</v>
      </c>
      <c r="N115" s="157" t="str">
        <f t="shared" si="41"/>
        <v>3E0</v>
      </c>
      <c r="O115" s="156">
        <f t="shared" si="55"/>
        <v>0</v>
      </c>
      <c r="Q115" s="156"/>
      <c r="R115" s="372"/>
    </row>
    <row r="116" spans="1:18" ht="12.75" hidden="1" customHeight="1">
      <c r="A116" s="161" t="str">
        <f t="shared" si="37"/>
        <v>14Basic Skills Enhancement</v>
      </c>
      <c r="B116" s="161">
        <f t="shared" si="54"/>
        <v>1</v>
      </c>
      <c r="C116" s="163">
        <v>14</v>
      </c>
      <c r="D116" s="163" t="b">
        <v>1</v>
      </c>
      <c r="E116" s="161" t="s">
        <v>27</v>
      </c>
      <c r="F116" s="161" t="str">
        <f t="shared" si="38"/>
        <v>08A</v>
      </c>
      <c r="G116" s="161" t="str">
        <f t="shared" si="57"/>
        <v>3E0</v>
      </c>
      <c r="H116" s="161" t="str">
        <f t="shared" si="39"/>
        <v>3E0</v>
      </c>
      <c r="I116" s="161" t="str">
        <f t="shared" si="40"/>
        <v>08A-3E0</v>
      </c>
      <c r="J116" s="161" t="s">
        <v>149</v>
      </c>
      <c r="K116" s="161" t="s">
        <v>222</v>
      </c>
      <c r="L116" s="418">
        <v>130256</v>
      </c>
      <c r="M116" s="418">
        <v>-130256</v>
      </c>
      <c r="N116" s="157" t="str">
        <f t="shared" si="41"/>
        <v>3E0</v>
      </c>
      <c r="O116" s="156">
        <f t="shared" si="55"/>
        <v>0</v>
      </c>
      <c r="Q116" s="156"/>
      <c r="R116" s="372"/>
    </row>
    <row r="117" spans="1:18" ht="12.75" hidden="1" customHeight="1">
      <c r="A117" s="161" t="str">
        <f t="shared" si="37"/>
        <v>29Basic Skills Enhancement</v>
      </c>
      <c r="B117" s="161">
        <f t="shared" si="54"/>
        <v>1</v>
      </c>
      <c r="C117" s="163">
        <v>29</v>
      </c>
      <c r="D117" s="163" t="b">
        <v>1</v>
      </c>
      <c r="E117" s="161" t="s">
        <v>42</v>
      </c>
      <c r="F117" s="161" t="str">
        <f t="shared" si="38"/>
        <v>08A</v>
      </c>
      <c r="G117" s="161" t="str">
        <f t="shared" si="57"/>
        <v>3E0</v>
      </c>
      <c r="H117" s="161" t="str">
        <f t="shared" si="39"/>
        <v>3E0</v>
      </c>
      <c r="I117" s="161" t="str">
        <f t="shared" si="40"/>
        <v>08A-3E0</v>
      </c>
      <c r="J117" s="161" t="s">
        <v>149</v>
      </c>
      <c r="K117" s="161" t="s">
        <v>222</v>
      </c>
      <c r="L117" s="418">
        <v>46936</v>
      </c>
      <c r="M117" s="418">
        <v>-46936</v>
      </c>
      <c r="N117" s="157" t="str">
        <f t="shared" si="41"/>
        <v>3E0</v>
      </c>
      <c r="O117" s="156">
        <f t="shared" si="55"/>
        <v>0</v>
      </c>
      <c r="Q117" s="156"/>
      <c r="R117" s="372"/>
    </row>
    <row r="118" spans="1:18" ht="12.75" hidden="1" customHeight="1">
      <c r="A118" s="161" t="str">
        <f t="shared" si="37"/>
        <v>19Basic Skills Enhancement</v>
      </c>
      <c r="B118" s="161">
        <f t="shared" si="54"/>
        <v>1</v>
      </c>
      <c r="C118" s="163">
        <v>19</v>
      </c>
      <c r="D118" s="163" t="b">
        <v>1</v>
      </c>
      <c r="E118" s="161" t="s">
        <v>32</v>
      </c>
      <c r="F118" s="161" t="str">
        <f t="shared" si="38"/>
        <v>08A</v>
      </c>
      <c r="G118" s="161" t="str">
        <f t="shared" si="57"/>
        <v>3E0</v>
      </c>
      <c r="H118" s="161" t="str">
        <f t="shared" si="39"/>
        <v>3E0</v>
      </c>
      <c r="I118" s="161" t="str">
        <f t="shared" si="40"/>
        <v>08A-3E0</v>
      </c>
      <c r="J118" s="161" t="s">
        <v>149</v>
      </c>
      <c r="K118" s="161" t="s">
        <v>222</v>
      </c>
      <c r="L118" s="418">
        <v>107050</v>
      </c>
      <c r="M118" s="418">
        <v>-107050</v>
      </c>
      <c r="N118" s="157" t="str">
        <f t="shared" si="41"/>
        <v>3E0</v>
      </c>
      <c r="O118" s="156">
        <f t="shared" si="55"/>
        <v>0</v>
      </c>
      <c r="Q118" s="156"/>
      <c r="R118" s="372"/>
    </row>
    <row r="119" spans="1:18" ht="12.75" hidden="1" customHeight="1">
      <c r="A119" s="161" t="str">
        <f t="shared" si="37"/>
        <v>23Basic Skills Enhancement</v>
      </c>
      <c r="B119" s="161">
        <f t="shared" si="54"/>
        <v>1</v>
      </c>
      <c r="C119" s="163">
        <v>23</v>
      </c>
      <c r="D119" s="163" t="b">
        <v>1</v>
      </c>
      <c r="E119" s="161" t="s">
        <v>36</v>
      </c>
      <c r="F119" s="161" t="str">
        <f t="shared" si="38"/>
        <v>08A</v>
      </c>
      <c r="G119" s="161" t="str">
        <f t="shared" si="57"/>
        <v>3E0</v>
      </c>
      <c r="H119" s="161" t="str">
        <f t="shared" si="39"/>
        <v>3E0</v>
      </c>
      <c r="I119" s="161" t="str">
        <f t="shared" si="40"/>
        <v>08A-3E0</v>
      </c>
      <c r="J119" s="161" t="s">
        <v>149</v>
      </c>
      <c r="K119" s="161" t="s">
        <v>222</v>
      </c>
      <c r="L119" s="418">
        <v>132776</v>
      </c>
      <c r="M119" s="418">
        <v>-132776</v>
      </c>
      <c r="N119" s="157" t="str">
        <f t="shared" si="41"/>
        <v>3E0</v>
      </c>
      <c r="O119" s="156">
        <f t="shared" si="55"/>
        <v>0</v>
      </c>
      <c r="Q119" s="156"/>
      <c r="R119" s="372"/>
    </row>
    <row r="120" spans="1:18" ht="12.75" hidden="1" customHeight="1">
      <c r="A120" s="161" t="str">
        <f t="shared" si="37"/>
        <v>5Basic Skills Enhancement</v>
      </c>
      <c r="B120" s="161">
        <f t="shared" si="54"/>
        <v>1</v>
      </c>
      <c r="C120" s="163">
        <v>5</v>
      </c>
      <c r="D120" s="163" t="b">
        <v>1</v>
      </c>
      <c r="E120" s="161" t="s">
        <v>18</v>
      </c>
      <c r="F120" s="161" t="str">
        <f t="shared" si="38"/>
        <v>08A</v>
      </c>
      <c r="G120" s="161" t="str">
        <f t="shared" si="57"/>
        <v>3E0</v>
      </c>
      <c r="H120" s="161" t="str">
        <f t="shared" si="39"/>
        <v>3E0</v>
      </c>
      <c r="I120" s="161" t="str">
        <f t="shared" si="40"/>
        <v>08A-3E0</v>
      </c>
      <c r="J120" s="161" t="s">
        <v>149</v>
      </c>
      <c r="K120" s="161" t="s">
        <v>222</v>
      </c>
      <c r="L120" s="418">
        <v>104320</v>
      </c>
      <c r="M120" s="418">
        <v>-104320</v>
      </c>
      <c r="N120" s="157" t="str">
        <f t="shared" si="41"/>
        <v>3E0</v>
      </c>
      <c r="O120" s="156">
        <f t="shared" si="55"/>
        <v>0</v>
      </c>
      <c r="Q120" s="156"/>
      <c r="R120" s="372"/>
    </row>
    <row r="121" spans="1:18" ht="12.75" hidden="1" customHeight="1">
      <c r="A121" s="161" t="str">
        <f t="shared" si="37"/>
        <v>2Basic Skills Enhancement</v>
      </c>
      <c r="B121" s="161">
        <f t="shared" si="54"/>
        <v>1</v>
      </c>
      <c r="C121" s="163">
        <v>2</v>
      </c>
      <c r="D121" s="163" t="b">
        <v>1</v>
      </c>
      <c r="E121" s="161" t="s">
        <v>15</v>
      </c>
      <c r="F121" s="161" t="str">
        <f t="shared" si="38"/>
        <v>08A</v>
      </c>
      <c r="G121" s="161" t="str">
        <f t="shared" si="57"/>
        <v>3E0</v>
      </c>
      <c r="H121" s="161" t="str">
        <f t="shared" si="39"/>
        <v>3E0</v>
      </c>
      <c r="I121" s="161" t="str">
        <f t="shared" si="40"/>
        <v>08A-3E0</v>
      </c>
      <c r="J121" s="161" t="s">
        <v>149</v>
      </c>
      <c r="K121" s="161" t="s">
        <v>222</v>
      </c>
      <c r="L121" s="418">
        <v>50086</v>
      </c>
      <c r="M121" s="418">
        <v>-50086</v>
      </c>
      <c r="N121" s="157" t="str">
        <f t="shared" si="41"/>
        <v>3E0</v>
      </c>
      <c r="O121" s="156">
        <f t="shared" si="55"/>
        <v>0</v>
      </c>
      <c r="Q121" s="156"/>
      <c r="R121" s="372"/>
    </row>
    <row r="122" spans="1:18" ht="12.75" hidden="1" customHeight="1">
      <c r="A122" s="161" t="str">
        <f t="shared" si="37"/>
        <v>10Basic Skills Enhancement</v>
      </c>
      <c r="B122" s="161">
        <f t="shared" si="54"/>
        <v>1</v>
      </c>
      <c r="C122" s="163">
        <v>10</v>
      </c>
      <c r="D122" s="163" t="b">
        <v>1</v>
      </c>
      <c r="E122" s="161" t="s">
        <v>23</v>
      </c>
      <c r="F122" s="161" t="str">
        <f t="shared" si="38"/>
        <v>08A</v>
      </c>
      <c r="G122" s="161" t="str">
        <f t="shared" si="57"/>
        <v>3E0</v>
      </c>
      <c r="H122" s="161" t="str">
        <f t="shared" si="39"/>
        <v>3E0</v>
      </c>
      <c r="I122" s="161" t="str">
        <f t="shared" si="40"/>
        <v>08A-3E0</v>
      </c>
      <c r="J122" s="161" t="s">
        <v>149</v>
      </c>
      <c r="K122" s="161" t="s">
        <v>222</v>
      </c>
      <c r="L122" s="418">
        <v>130676</v>
      </c>
      <c r="M122" s="418">
        <v>-130676</v>
      </c>
      <c r="N122" s="157" t="str">
        <f t="shared" si="41"/>
        <v>3E0</v>
      </c>
      <c r="O122" s="156">
        <f t="shared" si="55"/>
        <v>0</v>
      </c>
      <c r="Q122" s="156"/>
      <c r="R122" s="372"/>
    </row>
    <row r="123" spans="1:18" ht="12.75" hidden="1" customHeight="1">
      <c r="A123" s="161" t="str">
        <f t="shared" si="37"/>
        <v>9Basic Skills Enhancement</v>
      </c>
      <c r="B123" s="161">
        <f t="shared" si="54"/>
        <v>1</v>
      </c>
      <c r="C123" s="163">
        <v>9</v>
      </c>
      <c r="D123" s="163" t="b">
        <v>1</v>
      </c>
      <c r="E123" s="161" t="s">
        <v>22</v>
      </c>
      <c r="F123" s="161" t="str">
        <f t="shared" si="38"/>
        <v>08A</v>
      </c>
      <c r="G123" s="161" t="str">
        <f t="shared" si="57"/>
        <v>3E0</v>
      </c>
      <c r="H123" s="161" t="str">
        <f t="shared" si="39"/>
        <v>3E0</v>
      </c>
      <c r="I123" s="161" t="str">
        <f t="shared" si="40"/>
        <v>08A-3E0</v>
      </c>
      <c r="J123" s="161" t="s">
        <v>149</v>
      </c>
      <c r="K123" s="161" t="s">
        <v>222</v>
      </c>
      <c r="L123" s="418">
        <v>321833</v>
      </c>
      <c r="M123" s="418">
        <v>-321833</v>
      </c>
      <c r="N123" s="157" t="str">
        <f t="shared" si="41"/>
        <v>3E0</v>
      </c>
      <c r="O123" s="156">
        <f t="shared" si="55"/>
        <v>0</v>
      </c>
      <c r="Q123" s="156"/>
      <c r="R123" s="372"/>
    </row>
    <row r="124" spans="1:18" ht="12.75" hidden="1" customHeight="1">
      <c r="A124" s="161" t="str">
        <f t="shared" si="37"/>
        <v>26Basic Skills Enhancement</v>
      </c>
      <c r="B124" s="161">
        <f t="shared" si="54"/>
        <v>1</v>
      </c>
      <c r="C124" s="163">
        <v>26</v>
      </c>
      <c r="D124" s="163" t="b">
        <v>1</v>
      </c>
      <c r="E124" s="161" t="s">
        <v>39</v>
      </c>
      <c r="F124" s="161" t="str">
        <f t="shared" si="38"/>
        <v>08A</v>
      </c>
      <c r="G124" s="161" t="str">
        <f t="shared" si="57"/>
        <v>3E0</v>
      </c>
      <c r="H124" s="161" t="str">
        <f t="shared" si="39"/>
        <v>3E0</v>
      </c>
      <c r="I124" s="161" t="str">
        <f t="shared" si="40"/>
        <v>08A-3E0</v>
      </c>
      <c r="J124" s="161" t="s">
        <v>149</v>
      </c>
      <c r="K124" s="161" t="s">
        <v>222</v>
      </c>
      <c r="L124" s="418">
        <v>85262</v>
      </c>
      <c r="M124" s="418">
        <v>-85262</v>
      </c>
      <c r="N124" s="157" t="str">
        <f t="shared" si="41"/>
        <v>3E0</v>
      </c>
      <c r="O124" s="156">
        <f t="shared" si="55"/>
        <v>0</v>
      </c>
      <c r="Q124" s="156"/>
      <c r="R124" s="372"/>
    </row>
    <row r="125" spans="1:18" ht="12.75" hidden="1" customHeight="1">
      <c r="A125" s="161" t="str">
        <f t="shared" si="37"/>
        <v>3Basic Skills Enhancement</v>
      </c>
      <c r="B125" s="161">
        <f t="shared" si="54"/>
        <v>1</v>
      </c>
      <c r="C125" s="163">
        <v>3</v>
      </c>
      <c r="D125" s="163" t="b">
        <v>1</v>
      </c>
      <c r="E125" s="161" t="s">
        <v>16</v>
      </c>
      <c r="F125" s="161" t="str">
        <f t="shared" si="38"/>
        <v>08A</v>
      </c>
      <c r="G125" s="161" t="str">
        <f t="shared" si="57"/>
        <v>3E0</v>
      </c>
      <c r="H125" s="161" t="str">
        <f t="shared" si="39"/>
        <v>3E0</v>
      </c>
      <c r="I125" s="161" t="str">
        <f t="shared" si="40"/>
        <v>08A-3E0</v>
      </c>
      <c r="J125" s="161" t="s">
        <v>149</v>
      </c>
      <c r="K125" s="161" t="s">
        <v>222</v>
      </c>
      <c r="L125" s="418">
        <v>36856</v>
      </c>
      <c r="M125" s="418">
        <v>-36856</v>
      </c>
      <c r="N125" s="157" t="str">
        <f t="shared" si="41"/>
        <v>3E0</v>
      </c>
      <c r="O125" s="156">
        <f t="shared" si="55"/>
        <v>0</v>
      </c>
      <c r="Q125" s="156"/>
      <c r="R125" s="372"/>
    </row>
    <row r="126" spans="1:18" ht="12.75" hidden="1" customHeight="1">
      <c r="A126" s="161" t="str">
        <f t="shared" si="37"/>
        <v>1Basic Skills Enhancement</v>
      </c>
      <c r="B126" s="161">
        <f t="shared" si="54"/>
        <v>1</v>
      </c>
      <c r="C126" s="163">
        <v>1</v>
      </c>
      <c r="D126" s="163" t="b">
        <v>1</v>
      </c>
      <c r="E126" s="161" t="s">
        <v>14</v>
      </c>
      <c r="F126" s="161" t="str">
        <f t="shared" si="38"/>
        <v>08A</v>
      </c>
      <c r="G126" s="161" t="str">
        <f t="shared" si="57"/>
        <v>3E0</v>
      </c>
      <c r="H126" s="161" t="str">
        <f t="shared" si="39"/>
        <v>3E0</v>
      </c>
      <c r="I126" s="161" t="str">
        <f t="shared" si="40"/>
        <v>08A-3E0</v>
      </c>
      <c r="J126" s="161" t="s">
        <v>149</v>
      </c>
      <c r="K126" s="161" t="s">
        <v>222</v>
      </c>
      <c r="L126" s="418">
        <v>37591</v>
      </c>
      <c r="M126" s="418">
        <v>-37591</v>
      </c>
      <c r="N126" s="157" t="str">
        <f t="shared" si="41"/>
        <v>3E0</v>
      </c>
      <c r="O126" s="156">
        <f t="shared" si="55"/>
        <v>0</v>
      </c>
      <c r="Q126" s="156"/>
      <c r="R126" s="372"/>
    </row>
    <row r="127" spans="1:18" ht="12.75" hidden="1" customHeight="1">
      <c r="A127" s="161" t="str">
        <f t="shared" si="37"/>
        <v>11Basic Skills Enhancement</v>
      </c>
      <c r="B127" s="161">
        <f t="shared" si="54"/>
        <v>1</v>
      </c>
      <c r="C127" s="163">
        <v>11</v>
      </c>
      <c r="D127" s="163" t="b">
        <v>1</v>
      </c>
      <c r="E127" s="161" t="s">
        <v>24</v>
      </c>
      <c r="F127" s="161" t="str">
        <f t="shared" si="38"/>
        <v>08A</v>
      </c>
      <c r="G127" s="161" t="str">
        <f t="shared" si="57"/>
        <v>3E0</v>
      </c>
      <c r="H127" s="161" t="str">
        <f t="shared" si="39"/>
        <v>3E0</v>
      </c>
      <c r="I127" s="161" t="str">
        <f t="shared" si="40"/>
        <v>08A-3E0</v>
      </c>
      <c r="J127" s="161" t="s">
        <v>149</v>
      </c>
      <c r="K127" s="161" t="s">
        <v>222</v>
      </c>
      <c r="L127" s="418">
        <v>114033</v>
      </c>
      <c r="M127" s="418">
        <v>-114033</v>
      </c>
      <c r="N127" s="157" t="str">
        <f t="shared" si="41"/>
        <v>3E0</v>
      </c>
      <c r="O127" s="156">
        <f t="shared" si="55"/>
        <v>0</v>
      </c>
      <c r="Q127" s="156"/>
      <c r="R127" s="372"/>
    </row>
    <row r="128" spans="1:18" ht="12.75" hidden="1" customHeight="1">
      <c r="A128" s="161" t="str">
        <f t="shared" si="37"/>
        <v>27Basic Skills Enhancement</v>
      </c>
      <c r="B128" s="161">
        <f t="shared" si="54"/>
        <v>1</v>
      </c>
      <c r="C128" s="163">
        <v>27</v>
      </c>
      <c r="D128" s="163" t="b">
        <v>1</v>
      </c>
      <c r="E128" s="161" t="s">
        <v>40</v>
      </c>
      <c r="F128" s="161" t="str">
        <f t="shared" si="38"/>
        <v>08A</v>
      </c>
      <c r="G128" s="161" t="str">
        <f t="shared" si="57"/>
        <v>3E0</v>
      </c>
      <c r="H128" s="161" t="str">
        <f t="shared" si="39"/>
        <v>3E0</v>
      </c>
      <c r="I128" s="161" t="str">
        <f t="shared" si="40"/>
        <v>08A-3E0</v>
      </c>
      <c r="J128" s="161" t="s">
        <v>149</v>
      </c>
      <c r="K128" s="161" t="s">
        <v>222</v>
      </c>
      <c r="L128" s="418">
        <v>202970</v>
      </c>
      <c r="M128" s="418">
        <v>-202970</v>
      </c>
      <c r="N128" s="157" t="str">
        <f t="shared" si="41"/>
        <v>3E0</v>
      </c>
      <c r="O128" s="156">
        <f t="shared" si="55"/>
        <v>0</v>
      </c>
      <c r="Q128" s="156"/>
      <c r="R128" s="372"/>
    </row>
    <row r="129" spans="1:18" ht="12.75" hidden="1" customHeight="1">
      <c r="A129" s="161" t="str">
        <f t="shared" si="37"/>
        <v>6Basic Skills Enhancement</v>
      </c>
      <c r="B129" s="161">
        <f t="shared" si="54"/>
        <v>1</v>
      </c>
      <c r="C129" s="163">
        <v>6</v>
      </c>
      <c r="D129" s="163" t="b">
        <v>1</v>
      </c>
      <c r="E129" s="161" t="s">
        <v>19</v>
      </c>
      <c r="F129" s="337" t="str">
        <f t="shared" si="38"/>
        <v>001</v>
      </c>
      <c r="G129" s="385">
        <v>101</v>
      </c>
      <c r="H129" s="337" t="str">
        <f t="shared" si="39"/>
        <v>011</v>
      </c>
      <c r="I129" s="161" t="str">
        <f t="shared" si="40"/>
        <v>001-011</v>
      </c>
      <c r="J129" s="338" t="s">
        <v>491</v>
      </c>
      <c r="K129" s="337" t="s">
        <v>222</v>
      </c>
      <c r="L129" s="418">
        <v>375632</v>
      </c>
      <c r="M129" s="418">
        <v>-375632</v>
      </c>
      <c r="N129" s="157">
        <f t="shared" si="41"/>
        <v>101</v>
      </c>
      <c r="O129" s="156">
        <f t="shared" si="55"/>
        <v>0</v>
      </c>
      <c r="Q129" s="156"/>
      <c r="R129" s="372"/>
    </row>
    <row r="130" spans="1:18" ht="12.75" hidden="1" customHeight="1">
      <c r="A130" s="161" t="str">
        <f t="shared" ref="A130:A193" si="58">C130&amp;K130</f>
        <v>4Basic Skills Enhancement</v>
      </c>
      <c r="B130" s="161">
        <f t="shared" si="54"/>
        <v>1</v>
      </c>
      <c r="C130" s="163">
        <v>4</v>
      </c>
      <c r="D130" s="163" t="b">
        <v>1</v>
      </c>
      <c r="E130" s="161" t="s">
        <v>17</v>
      </c>
      <c r="F130" s="337" t="str">
        <f t="shared" ref="F130:F193" si="59">LEFT(J130,3)</f>
        <v>08A</v>
      </c>
      <c r="G130" s="337" t="str">
        <f>IF(RIGHT(J130,3)="012","201",IF(RIGHT(J130,3)="232","123",IF(RIGHT(J130,3)="1E2","215",RIGHT(J130,3))))</f>
        <v>3E0</v>
      </c>
      <c r="H130" s="337" t="str">
        <f t="shared" ref="H130:H193" si="60">RIGHT(J130,3)</f>
        <v>3E0</v>
      </c>
      <c r="I130" s="161" t="str">
        <f t="shared" ref="I130:I193" si="61">F130&amp;"-"&amp;H130</f>
        <v>08A-3E0</v>
      </c>
      <c r="J130" s="337" t="s">
        <v>149</v>
      </c>
      <c r="K130" s="337" t="s">
        <v>222</v>
      </c>
      <c r="L130" s="418">
        <v>67622</v>
      </c>
      <c r="M130" s="418">
        <v>-67622</v>
      </c>
      <c r="N130" s="157" t="str">
        <f t="shared" ref="N130:N193" si="62">VLOOKUP(H130,Approp,2,FALSE)</f>
        <v>3E0</v>
      </c>
      <c r="O130" s="156">
        <f t="shared" si="55"/>
        <v>0</v>
      </c>
      <c r="Q130" s="156"/>
      <c r="R130" s="372"/>
    </row>
    <row r="131" spans="1:18" ht="12.75" hidden="1" customHeight="1">
      <c r="A131" s="161" t="str">
        <f t="shared" si="58"/>
        <v>24Basic Skills Enhancement</v>
      </c>
      <c r="B131" s="161">
        <f t="shared" si="54"/>
        <v>1</v>
      </c>
      <c r="C131" s="163">
        <v>24</v>
      </c>
      <c r="D131" s="163" t="b">
        <v>1</v>
      </c>
      <c r="E131" s="161" t="s">
        <v>37</v>
      </c>
      <c r="F131" s="337" t="str">
        <f t="shared" si="59"/>
        <v>08A</v>
      </c>
      <c r="G131" s="337" t="str">
        <f>IF(RIGHT(J131,3)="012","201",IF(RIGHT(J131,3)="232","123",IF(RIGHT(J131,3)="1E2","215",RIGHT(J131,3))))</f>
        <v>3E0</v>
      </c>
      <c r="H131" s="337" t="str">
        <f t="shared" si="60"/>
        <v>3E0</v>
      </c>
      <c r="I131" s="161" t="str">
        <f t="shared" si="61"/>
        <v>08A-3E0</v>
      </c>
      <c r="J131" s="337" t="s">
        <v>149</v>
      </c>
      <c r="K131" s="337" t="s">
        <v>222</v>
      </c>
      <c r="L131" s="418">
        <v>34703</v>
      </c>
      <c r="M131" s="418">
        <v>-34703</v>
      </c>
      <c r="N131" s="157" t="str">
        <f t="shared" si="62"/>
        <v>3E0</v>
      </c>
      <c r="O131" s="156">
        <f t="shared" si="55"/>
        <v>0</v>
      </c>
      <c r="Q131" s="156"/>
      <c r="R131" s="372"/>
    </row>
    <row r="132" spans="1:18" ht="12.75" hidden="1" customHeight="1">
      <c r="A132" s="161" t="str">
        <f t="shared" si="58"/>
        <v>00Basic Skills Enhancement (GFS)</v>
      </c>
      <c r="B132" s="161">
        <f t="shared" si="54"/>
        <v>1</v>
      </c>
      <c r="C132" s="163" t="s">
        <v>180</v>
      </c>
      <c r="D132" s="163" t="b">
        <v>1</v>
      </c>
      <c r="E132" s="161" t="s">
        <v>181</v>
      </c>
      <c r="F132" s="161" t="str">
        <f t="shared" si="59"/>
        <v>001</v>
      </c>
      <c r="G132" s="161" t="str">
        <f t="shared" ref="G132:G133" si="63">IF(RIGHT(J132,3)="012","201",IF(RIGHT(J132,3)="232","123",IF(RIGHT(J132,3)="1E2","215",RIGHT(J132,3))))</f>
        <v>011</v>
      </c>
      <c r="H132" s="161" t="str">
        <f t="shared" si="60"/>
        <v>011</v>
      </c>
      <c r="I132" s="161" t="str">
        <f t="shared" si="61"/>
        <v>001-011</v>
      </c>
      <c r="J132" s="162" t="s">
        <v>491</v>
      </c>
      <c r="K132" s="161" t="s">
        <v>185</v>
      </c>
      <c r="L132" s="418">
        <v>0</v>
      </c>
      <c r="M132" s="420">
        <v>1469574</v>
      </c>
      <c r="N132" s="157">
        <f t="shared" si="62"/>
        <v>101</v>
      </c>
      <c r="O132" s="156">
        <f t="shared" si="55"/>
        <v>1469574</v>
      </c>
      <c r="Q132" s="156"/>
      <c r="R132" s="372"/>
    </row>
    <row r="133" spans="1:18" ht="12.75" hidden="1" customHeight="1">
      <c r="A133" s="161" t="str">
        <f t="shared" si="58"/>
        <v>00Basic Skills Enhancement (ELTA)</v>
      </c>
      <c r="B133" s="161">
        <f t="shared" si="54"/>
        <v>1</v>
      </c>
      <c r="C133" s="160" t="s">
        <v>180</v>
      </c>
      <c r="D133" s="163" t="b">
        <v>1</v>
      </c>
      <c r="E133" s="161" t="s">
        <v>181</v>
      </c>
      <c r="F133" s="161" t="str">
        <f t="shared" si="59"/>
        <v>08A</v>
      </c>
      <c r="G133" s="161" t="str">
        <f t="shared" si="63"/>
        <v>3E0</v>
      </c>
      <c r="H133" s="161" t="str">
        <f t="shared" si="60"/>
        <v>3E0</v>
      </c>
      <c r="I133" s="161" t="str">
        <f t="shared" si="61"/>
        <v>08A-3E0</v>
      </c>
      <c r="J133" s="162" t="s">
        <v>149</v>
      </c>
      <c r="K133" s="161" t="s">
        <v>184</v>
      </c>
      <c r="L133" s="418">
        <v>0</v>
      </c>
      <c r="M133" s="420">
        <v>2000000</v>
      </c>
      <c r="N133" s="157" t="str">
        <f t="shared" si="62"/>
        <v>3E0</v>
      </c>
      <c r="O133" s="156">
        <f t="shared" si="55"/>
        <v>2000000</v>
      </c>
      <c r="Q133" s="156"/>
      <c r="R133" s="372"/>
    </row>
    <row r="134" spans="1:18" ht="12.75" hidden="1" customHeight="1">
      <c r="A134" s="161" t="str">
        <f t="shared" si="58"/>
        <v xml:space="preserve">13Basic Skills Enhancement </v>
      </c>
      <c r="B134" s="161">
        <f t="shared" si="54"/>
        <v>1</v>
      </c>
      <c r="C134" s="163">
        <v>13</v>
      </c>
      <c r="D134" s="163" t="b">
        <v>1</v>
      </c>
      <c r="E134" s="161" t="s">
        <v>26</v>
      </c>
      <c r="F134" s="161" t="str">
        <f t="shared" si="59"/>
        <v>08A</v>
      </c>
      <c r="G134" s="161" t="str">
        <f>IF(RIGHT(J134,3)="012","201",IF(RIGHT(J134,3)="232","123",IF(RIGHT(J134,3)="1E2","215",RIGHT(J134,3))))</f>
        <v>3E0</v>
      </c>
      <c r="H134" s="161" t="str">
        <f t="shared" si="60"/>
        <v>3E0</v>
      </c>
      <c r="I134" s="161" t="str">
        <f t="shared" si="61"/>
        <v>08A-3E0</v>
      </c>
      <c r="J134" s="161" t="s">
        <v>149</v>
      </c>
      <c r="K134" s="161" t="s">
        <v>409</v>
      </c>
      <c r="L134" s="418">
        <v>110200</v>
      </c>
      <c r="M134" s="418">
        <v>-110200</v>
      </c>
      <c r="N134" s="157" t="str">
        <f t="shared" si="62"/>
        <v>3E0</v>
      </c>
      <c r="O134" s="156">
        <f t="shared" si="55"/>
        <v>0</v>
      </c>
      <c r="Q134" s="156"/>
      <c r="R134" s="372"/>
    </row>
    <row r="135" spans="1:18" ht="12.75" hidden="1" customHeight="1">
      <c r="A135" s="161" t="str">
        <f t="shared" si="58"/>
        <v xml:space="preserve">90Basic Skills Enhancement </v>
      </c>
      <c r="B135" s="161">
        <f t="shared" si="54"/>
        <v>1</v>
      </c>
      <c r="C135" s="160">
        <v>90</v>
      </c>
      <c r="D135" s="163" t="b">
        <v>1</v>
      </c>
      <c r="E135" s="161" t="s">
        <v>205</v>
      </c>
      <c r="F135" s="337" t="str">
        <f t="shared" si="59"/>
        <v>001</v>
      </c>
      <c r="G135" s="161" t="str">
        <f>IF(RIGHT(J135,3)="012","201",IF(RIGHT(J135,3)="232","123",IF(RIGHT(J135,3)="1E2","215",RIGHT(J135,3))))</f>
        <v>011</v>
      </c>
      <c r="H135" s="337" t="str">
        <f t="shared" si="60"/>
        <v>011</v>
      </c>
      <c r="I135" s="161" t="str">
        <f t="shared" si="61"/>
        <v>001-011</v>
      </c>
      <c r="J135" s="338" t="s">
        <v>491</v>
      </c>
      <c r="K135" s="337" t="s">
        <v>409</v>
      </c>
      <c r="L135" s="418">
        <v>396777</v>
      </c>
      <c r="M135" s="418">
        <v>-396777</v>
      </c>
      <c r="N135" s="157">
        <f t="shared" si="62"/>
        <v>101</v>
      </c>
      <c r="O135" s="156">
        <f t="shared" si="55"/>
        <v>0</v>
      </c>
      <c r="Q135" s="156"/>
      <c r="R135" s="372"/>
    </row>
    <row r="136" spans="1:18" ht="12.75" hidden="1" customHeight="1">
      <c r="A136" s="161" t="str">
        <f t="shared" si="58"/>
        <v xml:space="preserve">6Basic Skills Enhancement </v>
      </c>
      <c r="B136" s="161">
        <f t="shared" si="54"/>
        <v>1</v>
      </c>
      <c r="C136" s="163">
        <v>6</v>
      </c>
      <c r="D136" s="163" t="b">
        <v>1</v>
      </c>
      <c r="E136" s="161" t="s">
        <v>19</v>
      </c>
      <c r="F136" s="337" t="str">
        <f t="shared" si="59"/>
        <v>08A</v>
      </c>
      <c r="G136" s="337" t="str">
        <f>IF(RIGHT(J136,3)="012","201",IF(RIGHT(J136,3)="232","123",IF(RIGHT(J136,3)="1E2","215",RIGHT(J136,3))))</f>
        <v>3E0</v>
      </c>
      <c r="H136" s="337" t="str">
        <f t="shared" si="60"/>
        <v>3E0</v>
      </c>
      <c r="I136" s="161" t="str">
        <f t="shared" si="61"/>
        <v>08A-3E0</v>
      </c>
      <c r="J136" s="337" t="s">
        <v>149</v>
      </c>
      <c r="K136" s="161" t="s">
        <v>409</v>
      </c>
      <c r="L136" s="418">
        <v>18915</v>
      </c>
      <c r="M136" s="418">
        <v>-18915</v>
      </c>
      <c r="N136" s="157" t="str">
        <f t="shared" si="62"/>
        <v>3E0</v>
      </c>
      <c r="O136" s="156">
        <f t="shared" si="55"/>
        <v>0</v>
      </c>
      <c r="Q136" s="156"/>
      <c r="R136" s="372"/>
    </row>
    <row r="137" spans="1:18" ht="12.75" hidden="1" customHeight="1">
      <c r="A137" s="161" t="str">
        <f t="shared" si="58"/>
        <v xml:space="preserve">7Basic Skills Enhancement </v>
      </c>
      <c r="B137" s="161">
        <f t="shared" si="54"/>
        <v>1</v>
      </c>
      <c r="C137" s="163">
        <v>7</v>
      </c>
      <c r="D137" s="163" t="b">
        <v>1</v>
      </c>
      <c r="E137" s="161" t="s">
        <v>20</v>
      </c>
      <c r="F137" s="337" t="str">
        <f t="shared" si="59"/>
        <v>001</v>
      </c>
      <c r="G137" s="385">
        <v>101</v>
      </c>
      <c r="H137" s="337" t="str">
        <f t="shared" si="60"/>
        <v>011</v>
      </c>
      <c r="I137" s="161" t="str">
        <f t="shared" si="61"/>
        <v>001-011</v>
      </c>
      <c r="J137" s="338" t="s">
        <v>491</v>
      </c>
      <c r="K137" s="337" t="s">
        <v>409</v>
      </c>
      <c r="L137" s="418">
        <v>85367</v>
      </c>
      <c r="M137" s="418">
        <v>-85367</v>
      </c>
      <c r="N137" s="157">
        <f t="shared" si="62"/>
        <v>101</v>
      </c>
      <c r="O137" s="156">
        <f t="shared" si="55"/>
        <v>0</v>
      </c>
      <c r="Q137" s="156"/>
    </row>
    <row r="138" spans="1:18" ht="12.75" hidden="1" customHeight="1">
      <c r="A138" s="161" t="str">
        <f t="shared" si="58"/>
        <v xml:space="preserve">17Basic Skills Enhancement </v>
      </c>
      <c r="B138" s="161">
        <f t="shared" si="54"/>
        <v>1</v>
      </c>
      <c r="C138" s="163">
        <v>17</v>
      </c>
      <c r="D138" s="163" t="b">
        <v>1</v>
      </c>
      <c r="E138" s="161" t="s">
        <v>30</v>
      </c>
      <c r="F138" s="337" t="str">
        <f t="shared" si="59"/>
        <v>001</v>
      </c>
      <c r="G138" s="385">
        <v>101</v>
      </c>
      <c r="H138" s="337" t="str">
        <f t="shared" si="60"/>
        <v>011</v>
      </c>
      <c r="I138" s="161" t="str">
        <f t="shared" si="61"/>
        <v>001-011</v>
      </c>
      <c r="J138" s="338" t="s">
        <v>491</v>
      </c>
      <c r="K138" s="337" t="s">
        <v>409</v>
      </c>
      <c r="L138" s="418">
        <v>290700</v>
      </c>
      <c r="M138" s="418">
        <v>-290700</v>
      </c>
      <c r="N138" s="157">
        <f t="shared" si="62"/>
        <v>101</v>
      </c>
      <c r="O138" s="156">
        <f t="shared" si="55"/>
        <v>0</v>
      </c>
      <c r="Q138" s="156"/>
    </row>
    <row r="139" spans="1:18" ht="12.75" hidden="1" customHeight="1">
      <c r="A139" s="161" t="str">
        <f t="shared" si="58"/>
        <v xml:space="preserve">22Basic Skills Enhancement </v>
      </c>
      <c r="B139" s="161">
        <f t="shared" si="54"/>
        <v>1</v>
      </c>
      <c r="C139" s="163">
        <v>22</v>
      </c>
      <c r="D139" s="163" t="b">
        <v>1</v>
      </c>
      <c r="E139" s="161" t="s">
        <v>35</v>
      </c>
      <c r="F139" s="337" t="str">
        <f t="shared" si="59"/>
        <v>001</v>
      </c>
      <c r="G139" s="385">
        <v>101</v>
      </c>
      <c r="H139" s="337" t="str">
        <f t="shared" si="60"/>
        <v>011</v>
      </c>
      <c r="I139" s="161" t="str">
        <f t="shared" si="61"/>
        <v>001-011</v>
      </c>
      <c r="J139" s="338" t="s">
        <v>491</v>
      </c>
      <c r="K139" s="337" t="s">
        <v>409</v>
      </c>
      <c r="L139" s="418">
        <v>61374</v>
      </c>
      <c r="M139" s="418">
        <v>-61374</v>
      </c>
      <c r="N139" s="157">
        <f t="shared" si="62"/>
        <v>101</v>
      </c>
      <c r="O139" s="156">
        <f t="shared" si="55"/>
        <v>0</v>
      </c>
      <c r="Q139" s="156"/>
    </row>
    <row r="140" spans="1:18" ht="12.75" hidden="1" customHeight="1">
      <c r="A140" s="161" t="str">
        <f t="shared" si="58"/>
        <v xml:space="preserve">20Basic Skills Enhancement </v>
      </c>
      <c r="B140" s="161">
        <f t="shared" si="54"/>
        <v>1</v>
      </c>
      <c r="C140" s="163">
        <v>20</v>
      </c>
      <c r="D140" s="163" t="b">
        <v>1</v>
      </c>
      <c r="E140" s="161" t="s">
        <v>33</v>
      </c>
      <c r="F140" s="337" t="str">
        <f t="shared" si="59"/>
        <v>001</v>
      </c>
      <c r="G140" s="385">
        <v>101</v>
      </c>
      <c r="H140" s="337" t="str">
        <f t="shared" si="60"/>
        <v>011</v>
      </c>
      <c r="I140" s="161" t="str">
        <f t="shared" si="61"/>
        <v>001-011</v>
      </c>
      <c r="J140" s="338" t="s">
        <v>491</v>
      </c>
      <c r="K140" s="337" t="s">
        <v>409</v>
      </c>
      <c r="L140" s="418">
        <v>60219</v>
      </c>
      <c r="M140" s="418">
        <v>-60219</v>
      </c>
      <c r="N140" s="157">
        <f t="shared" si="62"/>
        <v>101</v>
      </c>
      <c r="O140" s="156">
        <f t="shared" si="55"/>
        <v>0</v>
      </c>
      <c r="Q140" s="156"/>
    </row>
    <row r="141" spans="1:18" ht="12.75" hidden="1" customHeight="1">
      <c r="A141" s="161" t="str">
        <f t="shared" si="58"/>
        <v xml:space="preserve">15Basic Skills Enhancement </v>
      </c>
      <c r="B141" s="161">
        <f t="shared" si="54"/>
        <v>1</v>
      </c>
      <c r="C141" s="163">
        <v>15</v>
      </c>
      <c r="D141" s="163" t="b">
        <v>1</v>
      </c>
      <c r="E141" s="161" t="s">
        <v>28</v>
      </c>
      <c r="F141" s="337" t="str">
        <f t="shared" si="59"/>
        <v>001</v>
      </c>
      <c r="G141" s="385">
        <v>101</v>
      </c>
      <c r="H141" s="337" t="str">
        <f t="shared" si="60"/>
        <v>011</v>
      </c>
      <c r="I141" s="161" t="str">
        <f t="shared" si="61"/>
        <v>001-011</v>
      </c>
      <c r="J141" s="338" t="s">
        <v>491</v>
      </c>
      <c r="K141" s="337" t="s">
        <v>409</v>
      </c>
      <c r="L141" s="418">
        <v>41214</v>
      </c>
      <c r="M141" s="418">
        <v>-41214</v>
      </c>
      <c r="N141" s="157">
        <f t="shared" si="62"/>
        <v>101</v>
      </c>
      <c r="O141" s="156">
        <f t="shared" si="55"/>
        <v>0</v>
      </c>
      <c r="Q141" s="156"/>
    </row>
    <row r="142" spans="1:18" ht="12.75" hidden="1" customHeight="1">
      <c r="A142" s="161" t="str">
        <f t="shared" si="58"/>
        <v xml:space="preserve">21Basic Skills Enhancement </v>
      </c>
      <c r="B142" s="161">
        <f t="shared" si="54"/>
        <v>1</v>
      </c>
      <c r="C142" s="163">
        <v>21</v>
      </c>
      <c r="D142" s="163" t="b">
        <v>1</v>
      </c>
      <c r="E142" s="161" t="s">
        <v>34</v>
      </c>
      <c r="F142" s="337" t="str">
        <f t="shared" si="59"/>
        <v>001</v>
      </c>
      <c r="G142" s="385">
        <v>101</v>
      </c>
      <c r="H142" s="337" t="str">
        <f t="shared" si="60"/>
        <v>011</v>
      </c>
      <c r="I142" s="161" t="str">
        <f t="shared" si="61"/>
        <v>001-011</v>
      </c>
      <c r="J142" s="338" t="s">
        <v>491</v>
      </c>
      <c r="K142" s="337" t="s">
        <v>409</v>
      </c>
      <c r="L142" s="418">
        <v>32603</v>
      </c>
      <c r="M142" s="418">
        <v>-32603</v>
      </c>
      <c r="N142" s="157">
        <f t="shared" si="62"/>
        <v>101</v>
      </c>
      <c r="O142" s="156">
        <f t="shared" si="55"/>
        <v>0</v>
      </c>
      <c r="Q142" s="156"/>
    </row>
    <row r="143" spans="1:18" ht="12.75" hidden="1" customHeight="1">
      <c r="A143" s="161" t="str">
        <f t="shared" si="58"/>
        <v xml:space="preserve">16Basic Skills Enhancement </v>
      </c>
      <c r="B143" s="161">
        <f t="shared" si="54"/>
        <v>1</v>
      </c>
      <c r="C143" s="163">
        <v>16</v>
      </c>
      <c r="D143" s="163" t="b">
        <v>1</v>
      </c>
      <c r="E143" s="161" t="s">
        <v>29</v>
      </c>
      <c r="F143" s="337" t="str">
        <f t="shared" si="59"/>
        <v>001</v>
      </c>
      <c r="G143" s="385">
        <v>101</v>
      </c>
      <c r="H143" s="337" t="str">
        <f t="shared" si="60"/>
        <v>011</v>
      </c>
      <c r="I143" s="161" t="str">
        <f t="shared" si="61"/>
        <v>001-011</v>
      </c>
      <c r="J143" s="338" t="s">
        <v>491</v>
      </c>
      <c r="K143" s="337" t="s">
        <v>409</v>
      </c>
      <c r="L143" s="418">
        <v>125688</v>
      </c>
      <c r="M143" s="418">
        <v>-125688</v>
      </c>
      <c r="N143" s="157">
        <f t="shared" si="62"/>
        <v>101</v>
      </c>
      <c r="O143" s="156">
        <f t="shared" si="55"/>
        <v>0</v>
      </c>
      <c r="Q143" s="156"/>
    </row>
    <row r="144" spans="1:18" ht="12.75" hidden="1" customHeight="1">
      <c r="A144" s="161" t="str">
        <f t="shared" si="58"/>
        <v>28Bates Rebasing Phase One</v>
      </c>
      <c r="B144" s="161">
        <f t="shared" si="54"/>
        <v>1</v>
      </c>
      <c r="C144" s="163">
        <v>28</v>
      </c>
      <c r="D144" s="163" t="b">
        <v>1</v>
      </c>
      <c r="E144" s="161" t="s">
        <v>41</v>
      </c>
      <c r="F144" s="161" t="str">
        <f t="shared" si="59"/>
        <v>001</v>
      </c>
      <c r="G144" s="384">
        <v>101</v>
      </c>
      <c r="H144" s="161" t="str">
        <f t="shared" si="60"/>
        <v>011</v>
      </c>
      <c r="I144" s="161" t="str">
        <f t="shared" si="61"/>
        <v>001-011</v>
      </c>
      <c r="J144" s="162" t="s">
        <v>491</v>
      </c>
      <c r="K144" s="161" t="s">
        <v>441</v>
      </c>
      <c r="M144" s="418">
        <v>-656328</v>
      </c>
      <c r="N144" s="157">
        <f t="shared" si="62"/>
        <v>101</v>
      </c>
      <c r="O144" s="156">
        <f>SUM(M144:M144)</f>
        <v>-656328</v>
      </c>
      <c r="Q144" s="156"/>
    </row>
    <row r="145" spans="1:17" ht="12.75" hidden="1" customHeight="1">
      <c r="A145" s="161" t="str">
        <f t="shared" si="58"/>
        <v>00Bates Rebasing Phase One</v>
      </c>
      <c r="B145" s="161">
        <f t="shared" si="54"/>
        <v>1</v>
      </c>
      <c r="C145" s="160" t="s">
        <v>180</v>
      </c>
      <c r="D145" s="163" t="b">
        <v>1</v>
      </c>
      <c r="E145" s="161" t="s">
        <v>181</v>
      </c>
      <c r="F145" s="161" t="str">
        <f t="shared" si="59"/>
        <v>001</v>
      </c>
      <c r="G145" s="385">
        <v>101</v>
      </c>
      <c r="H145" s="161" t="str">
        <f t="shared" si="60"/>
        <v>011</v>
      </c>
      <c r="I145" s="161" t="str">
        <f t="shared" si="61"/>
        <v>001-011</v>
      </c>
      <c r="J145" s="162" t="s">
        <v>491</v>
      </c>
      <c r="K145" s="161" t="s">
        <v>441</v>
      </c>
      <c r="M145" s="418">
        <v>656328</v>
      </c>
      <c r="N145" s="157">
        <f t="shared" si="62"/>
        <v>101</v>
      </c>
      <c r="O145" s="156">
        <f>SUM(M145:M145)</f>
        <v>656328</v>
      </c>
      <c r="Q145" s="156"/>
    </row>
    <row r="146" spans="1:17" ht="12.75" hidden="1" customHeight="1">
      <c r="A146" s="161" t="str">
        <f t="shared" si="58"/>
        <v>8Bellevue 4-Year Degree Prog</v>
      </c>
      <c r="B146" s="161">
        <f t="shared" si="54"/>
        <v>1</v>
      </c>
      <c r="C146" s="163">
        <v>8</v>
      </c>
      <c r="D146" s="163" t="b">
        <v>1</v>
      </c>
      <c r="E146" s="161" t="s">
        <v>21</v>
      </c>
      <c r="F146" s="337" t="str">
        <f t="shared" si="59"/>
        <v>001</v>
      </c>
      <c r="G146" s="337" t="str">
        <f>IF(RIGHT(J146,3)="012","201",IF(RIGHT(J146,3)="232","123",IF(RIGHT(J146,3)="1E2","215",RIGHT(J146,3))))</f>
        <v>BQ1</v>
      </c>
      <c r="H146" s="337" t="str">
        <f t="shared" si="60"/>
        <v>BQ1</v>
      </c>
      <c r="I146" s="161" t="str">
        <f t="shared" si="61"/>
        <v>001-BQ1</v>
      </c>
      <c r="J146" s="338" t="s">
        <v>470</v>
      </c>
      <c r="K146" s="337" t="s">
        <v>445</v>
      </c>
      <c r="L146" s="418">
        <v>0</v>
      </c>
      <c r="M146" s="418">
        <v>750000</v>
      </c>
      <c r="N146" s="157" t="str">
        <f t="shared" si="62"/>
        <v>BQ1</v>
      </c>
      <c r="O146" s="156">
        <f t="shared" si="55"/>
        <v>750000</v>
      </c>
      <c r="Q146" s="156"/>
    </row>
    <row r="147" spans="1:17" ht="12.75" hidden="1" customHeight="1">
      <c r="A147" s="161" t="str">
        <f t="shared" si="58"/>
        <v>8Centers of Excellence</v>
      </c>
      <c r="B147" s="161">
        <f t="shared" si="54"/>
        <v>1</v>
      </c>
      <c r="C147" s="163">
        <v>8</v>
      </c>
      <c r="D147" s="163" t="b">
        <v>1</v>
      </c>
      <c r="E147" s="161" t="s">
        <v>21</v>
      </c>
      <c r="F147" s="161" t="str">
        <f t="shared" si="59"/>
        <v>001</v>
      </c>
      <c r="G147" s="385">
        <v>101</v>
      </c>
      <c r="H147" s="161" t="str">
        <f t="shared" si="60"/>
        <v>011</v>
      </c>
      <c r="I147" s="161" t="str">
        <f t="shared" si="61"/>
        <v>001-011</v>
      </c>
      <c r="J147" s="162" t="s">
        <v>491</v>
      </c>
      <c r="K147" s="161" t="s">
        <v>173</v>
      </c>
      <c r="L147" s="418">
        <v>204157</v>
      </c>
      <c r="N147" s="157">
        <f t="shared" si="62"/>
        <v>101</v>
      </c>
      <c r="O147" s="156">
        <f t="shared" si="55"/>
        <v>204157</v>
      </c>
      <c r="Q147" s="156"/>
    </row>
    <row r="148" spans="1:17" ht="12.75" hidden="1" customHeight="1">
      <c r="A148" s="161" t="str">
        <f t="shared" si="58"/>
        <v>12Centers of Excellence</v>
      </c>
      <c r="B148" s="161">
        <f t="shared" si="54"/>
        <v>1</v>
      </c>
      <c r="C148" s="163">
        <v>12</v>
      </c>
      <c r="D148" s="163" t="b">
        <v>1</v>
      </c>
      <c r="E148" s="161" t="s">
        <v>25</v>
      </c>
      <c r="F148" s="161" t="str">
        <f t="shared" si="59"/>
        <v>001</v>
      </c>
      <c r="G148" s="385">
        <v>101</v>
      </c>
      <c r="H148" s="161" t="str">
        <f t="shared" si="60"/>
        <v>011</v>
      </c>
      <c r="I148" s="161" t="str">
        <f t="shared" si="61"/>
        <v>001-011</v>
      </c>
      <c r="J148" s="162" t="s">
        <v>491</v>
      </c>
      <c r="K148" s="161" t="s">
        <v>173</v>
      </c>
      <c r="L148" s="418">
        <v>204157</v>
      </c>
      <c r="N148" s="157">
        <f t="shared" si="62"/>
        <v>101</v>
      </c>
      <c r="O148" s="156">
        <f t="shared" si="55"/>
        <v>204157</v>
      </c>
      <c r="Q148" s="156"/>
    </row>
    <row r="149" spans="1:17" ht="12.75" hidden="1" customHeight="1">
      <c r="A149" s="161" t="str">
        <f t="shared" si="58"/>
        <v>5Centers of Excellence</v>
      </c>
      <c r="B149" s="161">
        <f t="shared" si="54"/>
        <v>1</v>
      </c>
      <c r="C149" s="163">
        <v>5</v>
      </c>
      <c r="D149" s="163" t="b">
        <v>1</v>
      </c>
      <c r="E149" s="161" t="s">
        <v>18</v>
      </c>
      <c r="F149" s="161" t="str">
        <f t="shared" si="59"/>
        <v>001</v>
      </c>
      <c r="G149" s="385">
        <v>101</v>
      </c>
      <c r="H149" s="161" t="str">
        <f t="shared" si="60"/>
        <v>011</v>
      </c>
      <c r="I149" s="161" t="str">
        <f t="shared" si="61"/>
        <v>001-011</v>
      </c>
      <c r="J149" s="162" t="s">
        <v>491</v>
      </c>
      <c r="K149" s="161" t="s">
        <v>173</v>
      </c>
      <c r="L149" s="418">
        <v>204157</v>
      </c>
      <c r="N149" s="157">
        <f t="shared" si="62"/>
        <v>101</v>
      </c>
      <c r="O149" s="156">
        <f t="shared" si="55"/>
        <v>204157</v>
      </c>
      <c r="Q149" s="156"/>
    </row>
    <row r="150" spans="1:17" ht="12.75" hidden="1" customHeight="1">
      <c r="A150" s="161" t="str">
        <f t="shared" si="58"/>
        <v>10Centers of Excellence</v>
      </c>
      <c r="B150" s="161">
        <f t="shared" si="54"/>
        <v>1</v>
      </c>
      <c r="C150" s="163">
        <v>10</v>
      </c>
      <c r="D150" s="163" t="b">
        <v>1</v>
      </c>
      <c r="E150" s="161" t="s">
        <v>23</v>
      </c>
      <c r="F150" s="161" t="str">
        <f t="shared" si="59"/>
        <v>001</v>
      </c>
      <c r="G150" s="385">
        <v>101</v>
      </c>
      <c r="H150" s="161" t="str">
        <f t="shared" si="60"/>
        <v>011</v>
      </c>
      <c r="I150" s="161" t="str">
        <f t="shared" si="61"/>
        <v>001-011</v>
      </c>
      <c r="J150" s="162" t="s">
        <v>491</v>
      </c>
      <c r="K150" s="161" t="s">
        <v>173</v>
      </c>
      <c r="L150" s="418">
        <v>204157</v>
      </c>
      <c r="N150" s="157">
        <f t="shared" si="62"/>
        <v>101</v>
      </c>
      <c r="O150" s="156">
        <f t="shared" si="55"/>
        <v>204157</v>
      </c>
      <c r="Q150" s="156"/>
    </row>
    <row r="151" spans="1:17" ht="12.75" hidden="1" customHeight="1">
      <c r="A151" s="161" t="str">
        <f t="shared" si="58"/>
        <v>9Centers of Excellence</v>
      </c>
      <c r="B151" s="161">
        <f t="shared" si="54"/>
        <v>1</v>
      </c>
      <c r="C151" s="163">
        <v>9</v>
      </c>
      <c r="D151" s="163" t="b">
        <v>1</v>
      </c>
      <c r="E151" s="161" t="s">
        <v>22</v>
      </c>
      <c r="F151" s="161" t="str">
        <f t="shared" si="59"/>
        <v>001</v>
      </c>
      <c r="G151" s="385">
        <v>101</v>
      </c>
      <c r="H151" s="161" t="str">
        <f t="shared" si="60"/>
        <v>011</v>
      </c>
      <c r="I151" s="161" t="str">
        <f t="shared" si="61"/>
        <v>001-011</v>
      </c>
      <c r="J151" s="162" t="s">
        <v>491</v>
      </c>
      <c r="K151" s="161" t="s">
        <v>173</v>
      </c>
      <c r="L151" s="418">
        <v>204157</v>
      </c>
      <c r="N151" s="157">
        <f t="shared" si="62"/>
        <v>101</v>
      </c>
      <c r="O151" s="156">
        <f t="shared" si="55"/>
        <v>204157</v>
      </c>
      <c r="Q151" s="156"/>
    </row>
    <row r="152" spans="1:17" ht="12.75" hidden="1" customHeight="1">
      <c r="A152" s="161" t="str">
        <f t="shared" si="58"/>
        <v>11Centers of Excellence</v>
      </c>
      <c r="B152" s="161">
        <f t="shared" si="54"/>
        <v>1</v>
      </c>
      <c r="C152" s="163">
        <v>11</v>
      </c>
      <c r="D152" s="163" t="b">
        <v>1</v>
      </c>
      <c r="E152" s="161" t="s">
        <v>24</v>
      </c>
      <c r="F152" s="161" t="str">
        <f t="shared" si="59"/>
        <v>001</v>
      </c>
      <c r="G152" s="385">
        <v>101</v>
      </c>
      <c r="H152" s="161" t="str">
        <f t="shared" si="60"/>
        <v>011</v>
      </c>
      <c r="I152" s="161" t="str">
        <f t="shared" si="61"/>
        <v>001-011</v>
      </c>
      <c r="J152" s="162" t="s">
        <v>491</v>
      </c>
      <c r="K152" s="161" t="s">
        <v>173</v>
      </c>
      <c r="L152" s="418">
        <v>204157</v>
      </c>
      <c r="N152" s="157">
        <f t="shared" si="62"/>
        <v>101</v>
      </c>
      <c r="O152" s="156">
        <f t="shared" si="55"/>
        <v>204157</v>
      </c>
      <c r="Q152" s="156"/>
    </row>
    <row r="153" spans="1:17" ht="12.75" hidden="1" customHeight="1">
      <c r="A153" s="161" t="str">
        <f t="shared" si="58"/>
        <v>27Centers of Excellence</v>
      </c>
      <c r="B153" s="161">
        <f t="shared" si="54"/>
        <v>1</v>
      </c>
      <c r="C153" s="163">
        <v>27</v>
      </c>
      <c r="D153" s="163" t="b">
        <v>1</v>
      </c>
      <c r="E153" s="161" t="s">
        <v>40</v>
      </c>
      <c r="F153" s="161" t="str">
        <f t="shared" si="59"/>
        <v>001</v>
      </c>
      <c r="G153" s="385">
        <v>101</v>
      </c>
      <c r="H153" s="161" t="str">
        <f t="shared" si="60"/>
        <v>011</v>
      </c>
      <c r="I153" s="161" t="str">
        <f t="shared" si="61"/>
        <v>001-011</v>
      </c>
      <c r="J153" s="162" t="s">
        <v>491</v>
      </c>
      <c r="K153" s="161" t="s">
        <v>173</v>
      </c>
      <c r="L153" s="418">
        <v>204157</v>
      </c>
      <c r="N153" s="157">
        <f t="shared" si="62"/>
        <v>101</v>
      </c>
      <c r="O153" s="156">
        <f t="shared" si="55"/>
        <v>204157</v>
      </c>
      <c r="Q153" s="156"/>
    </row>
    <row r="154" spans="1:17" ht="12.75" hidden="1" customHeight="1">
      <c r="A154" s="161" t="str">
        <f t="shared" si="58"/>
        <v>4Centers of Excellence</v>
      </c>
      <c r="B154" s="161">
        <f t="shared" ref="B154:B217" si="64">B153</f>
        <v>1</v>
      </c>
      <c r="C154" s="163">
        <v>4</v>
      </c>
      <c r="D154" s="163" t="b">
        <v>1</v>
      </c>
      <c r="E154" s="161" t="s">
        <v>17</v>
      </c>
      <c r="F154" s="161" t="str">
        <f t="shared" si="59"/>
        <v>001</v>
      </c>
      <c r="G154" s="385">
        <v>101</v>
      </c>
      <c r="H154" s="161" t="str">
        <f t="shared" si="60"/>
        <v>011</v>
      </c>
      <c r="I154" s="161" t="str">
        <f t="shared" si="61"/>
        <v>001-011</v>
      </c>
      <c r="J154" s="162" t="s">
        <v>491</v>
      </c>
      <c r="K154" s="161" t="s">
        <v>173</v>
      </c>
      <c r="L154" s="418">
        <v>204157</v>
      </c>
      <c r="N154" s="157">
        <f t="shared" si="62"/>
        <v>101</v>
      </c>
      <c r="O154" s="156">
        <f t="shared" si="55"/>
        <v>204157</v>
      </c>
      <c r="Q154" s="156"/>
    </row>
    <row r="155" spans="1:17" ht="12.75" hidden="1" customHeight="1">
      <c r="A155" s="161" t="str">
        <f t="shared" si="58"/>
        <v>20Centers of Excellence</v>
      </c>
      <c r="B155" s="161">
        <f t="shared" si="64"/>
        <v>1</v>
      </c>
      <c r="C155" s="163">
        <v>20</v>
      </c>
      <c r="D155" s="163" t="b">
        <v>1</v>
      </c>
      <c r="E155" s="161" t="s">
        <v>33</v>
      </c>
      <c r="F155" s="161" t="str">
        <f t="shared" si="59"/>
        <v>001</v>
      </c>
      <c r="G155" s="385">
        <v>101</v>
      </c>
      <c r="H155" s="161" t="str">
        <f t="shared" si="60"/>
        <v>011</v>
      </c>
      <c r="I155" s="161" t="str">
        <f t="shared" si="61"/>
        <v>001-011</v>
      </c>
      <c r="J155" s="162" t="s">
        <v>491</v>
      </c>
      <c r="K155" s="161" t="s">
        <v>173</v>
      </c>
      <c r="L155" s="418">
        <v>204157</v>
      </c>
      <c r="N155" s="157">
        <f t="shared" si="62"/>
        <v>101</v>
      </c>
      <c r="O155" s="156">
        <f t="shared" si="55"/>
        <v>204157</v>
      </c>
      <c r="Q155" s="156"/>
    </row>
    <row r="156" spans="1:17" ht="12.75" hidden="1" customHeight="1">
      <c r="A156" s="161" t="str">
        <f t="shared" si="58"/>
        <v>16Centers of Excellence</v>
      </c>
      <c r="B156" s="161">
        <f t="shared" si="64"/>
        <v>1</v>
      </c>
      <c r="C156" s="163">
        <v>16</v>
      </c>
      <c r="D156" s="163" t="b">
        <v>1</v>
      </c>
      <c r="E156" s="161" t="s">
        <v>29</v>
      </c>
      <c r="F156" s="161" t="str">
        <f t="shared" si="59"/>
        <v>001</v>
      </c>
      <c r="G156" s="385">
        <v>101</v>
      </c>
      <c r="H156" s="161" t="str">
        <f t="shared" si="60"/>
        <v>011</v>
      </c>
      <c r="I156" s="161" t="str">
        <f t="shared" si="61"/>
        <v>001-011</v>
      </c>
      <c r="J156" s="162" t="s">
        <v>491</v>
      </c>
      <c r="K156" s="161" t="s">
        <v>173</v>
      </c>
      <c r="L156" s="418">
        <v>204157</v>
      </c>
      <c r="N156" s="157">
        <f t="shared" si="62"/>
        <v>101</v>
      </c>
      <c r="O156" s="156">
        <f t="shared" si="55"/>
        <v>204157</v>
      </c>
      <c r="Q156" s="156"/>
    </row>
    <row r="157" spans="1:17" ht="12.75" hidden="1" customHeight="1">
      <c r="A157" s="161" t="str">
        <f t="shared" si="58"/>
        <v>5COE for Aerospace</v>
      </c>
      <c r="B157" s="161">
        <f t="shared" si="64"/>
        <v>1</v>
      </c>
      <c r="C157" s="163">
        <v>5</v>
      </c>
      <c r="D157" s="163" t="b">
        <v>1</v>
      </c>
      <c r="E157" s="161" t="s">
        <v>18</v>
      </c>
      <c r="F157" s="161" t="str">
        <f t="shared" si="59"/>
        <v>001</v>
      </c>
      <c r="G157" s="161" t="str">
        <f>IF(RIGHT(J157,3)="012","201",IF(RIGHT(J157,3)="232","123",IF(RIGHT(J157,3)="1E2","215",RIGHT(J157,3))))</f>
        <v>BA1</v>
      </c>
      <c r="H157" s="161" t="str">
        <f t="shared" si="60"/>
        <v>BA1</v>
      </c>
      <c r="I157" s="161" t="str">
        <f t="shared" si="61"/>
        <v>001-BA1</v>
      </c>
      <c r="J157" s="162" t="s">
        <v>479</v>
      </c>
      <c r="K157" s="161" t="s">
        <v>254</v>
      </c>
      <c r="L157" s="418">
        <v>100000</v>
      </c>
      <c r="M157" s="420"/>
      <c r="N157" s="157" t="str">
        <f t="shared" si="62"/>
        <v>BA1</v>
      </c>
      <c r="O157" s="156">
        <f t="shared" si="55"/>
        <v>100000</v>
      </c>
      <c r="Q157" s="156"/>
    </row>
    <row r="158" spans="1:17" ht="12.75" hidden="1" customHeight="1">
      <c r="A158" s="161" t="str">
        <f t="shared" si="58"/>
        <v>00College Affordability Program (Tuition reduction)</v>
      </c>
      <c r="B158" s="161">
        <f t="shared" si="64"/>
        <v>1</v>
      </c>
      <c r="C158" s="163" t="s">
        <v>180</v>
      </c>
      <c r="D158" s="163" t="b">
        <v>1</v>
      </c>
      <c r="E158" s="161" t="s">
        <v>181</v>
      </c>
      <c r="F158" s="161" t="str">
        <f t="shared" si="59"/>
        <v>001</v>
      </c>
      <c r="G158" s="161" t="str">
        <f>IF(RIGHT(J158,3)="012","201",IF(RIGHT(J158,3)="232","123",IF(RIGHT(J158,3)="1E2","215",RIGHT(J158,3))))</f>
        <v>BG1</v>
      </c>
      <c r="H158" s="161" t="str">
        <f t="shared" si="60"/>
        <v>BG1</v>
      </c>
      <c r="I158" s="161" t="str">
        <f t="shared" si="61"/>
        <v>001-BG1</v>
      </c>
      <c r="J158" s="162" t="s">
        <v>462</v>
      </c>
      <c r="K158" s="161" t="s">
        <v>447</v>
      </c>
      <c r="L158" s="418">
        <v>0</v>
      </c>
      <c r="M158" s="420">
        <v>16672000</v>
      </c>
      <c r="N158" s="157" t="str">
        <f t="shared" si="62"/>
        <v>BG1</v>
      </c>
      <c r="O158" s="156">
        <f t="shared" si="55"/>
        <v>16672000</v>
      </c>
      <c r="Q158" s="156"/>
    </row>
    <row r="159" spans="1:17" ht="12.75" customHeight="1">
      <c r="A159" s="161" t="str">
        <f t="shared" si="58"/>
        <v>28Compensation Tuition Backfill - State Support (CS1)</v>
      </c>
      <c r="B159" s="161">
        <f t="shared" si="64"/>
        <v>1</v>
      </c>
      <c r="C159" s="163">
        <v>28</v>
      </c>
      <c r="D159" s="163" t="b">
        <v>1</v>
      </c>
      <c r="E159" s="161" t="s">
        <v>41</v>
      </c>
      <c r="F159" s="161" t="str">
        <f t="shared" si="59"/>
        <v>001</v>
      </c>
      <c r="G159" s="385">
        <v>101</v>
      </c>
      <c r="H159" s="161" t="str">
        <f t="shared" si="60"/>
        <v>011</v>
      </c>
      <c r="I159" s="161" t="str">
        <f t="shared" si="61"/>
        <v>001-011</v>
      </c>
      <c r="J159" s="162" t="s">
        <v>491</v>
      </c>
      <c r="K159" s="161" t="s">
        <v>781</v>
      </c>
      <c r="M159" s="420">
        <v>52685</v>
      </c>
      <c r="N159" s="157">
        <f t="shared" si="62"/>
        <v>101</v>
      </c>
      <c r="O159" s="156">
        <f t="shared" si="55"/>
        <v>52685</v>
      </c>
      <c r="Q159" s="156"/>
    </row>
    <row r="160" spans="1:17" ht="12.75" customHeight="1">
      <c r="A160" s="161" t="str">
        <f t="shared" si="58"/>
        <v>8Compensation Tuition Backfill - State Support (CS1)</v>
      </c>
      <c r="B160" s="161">
        <f t="shared" si="64"/>
        <v>1</v>
      </c>
      <c r="C160" s="163">
        <v>8</v>
      </c>
      <c r="D160" s="163" t="b">
        <v>1</v>
      </c>
      <c r="E160" s="161" t="s">
        <v>21</v>
      </c>
      <c r="F160" s="161" t="str">
        <f t="shared" si="59"/>
        <v>001</v>
      </c>
      <c r="G160" s="385">
        <v>101</v>
      </c>
      <c r="H160" s="161" t="str">
        <f t="shared" si="60"/>
        <v>011</v>
      </c>
      <c r="I160" s="161" t="str">
        <f t="shared" si="61"/>
        <v>001-011</v>
      </c>
      <c r="J160" s="162" t="s">
        <v>491</v>
      </c>
      <c r="K160" s="161" t="s">
        <v>781</v>
      </c>
      <c r="M160" s="420">
        <v>178131</v>
      </c>
      <c r="N160" s="157">
        <f t="shared" si="62"/>
        <v>101</v>
      </c>
      <c r="O160" s="156">
        <f t="shared" si="55"/>
        <v>178131</v>
      </c>
      <c r="Q160" s="156"/>
    </row>
    <row r="161" spans="1:17" ht="12.75" customHeight="1">
      <c r="A161" s="161" t="str">
        <f t="shared" si="58"/>
        <v>25Compensation Tuition Backfill - State Support (CS1)</v>
      </c>
      <c r="B161" s="161">
        <f t="shared" si="64"/>
        <v>1</v>
      </c>
      <c r="C161" s="163">
        <v>25</v>
      </c>
      <c r="D161" s="163" t="b">
        <v>1</v>
      </c>
      <c r="E161" s="161" t="s">
        <v>38</v>
      </c>
      <c r="F161" s="161" t="str">
        <f t="shared" si="59"/>
        <v>001</v>
      </c>
      <c r="G161" s="385">
        <v>101</v>
      </c>
      <c r="H161" s="161" t="str">
        <f t="shared" si="60"/>
        <v>011</v>
      </c>
      <c r="I161" s="161" t="str">
        <f t="shared" si="61"/>
        <v>001-011</v>
      </c>
      <c r="J161" s="162" t="s">
        <v>491</v>
      </c>
      <c r="K161" s="161" t="s">
        <v>781</v>
      </c>
      <c r="M161" s="420">
        <v>42126</v>
      </c>
      <c r="N161" s="157">
        <f t="shared" si="62"/>
        <v>101</v>
      </c>
      <c r="O161" s="156">
        <f t="shared" si="55"/>
        <v>42126</v>
      </c>
      <c r="Q161" s="156"/>
    </row>
    <row r="162" spans="1:17" ht="12.75" customHeight="1">
      <c r="A162" s="161" t="str">
        <f t="shared" si="58"/>
        <v>18Compensation Tuition Backfill - State Support (CS1)</v>
      </c>
      <c r="B162" s="161">
        <f t="shared" si="64"/>
        <v>1</v>
      </c>
      <c r="C162" s="163">
        <v>18</v>
      </c>
      <c r="D162" s="163" t="b">
        <v>1</v>
      </c>
      <c r="E162" s="161" t="s">
        <v>31</v>
      </c>
      <c r="F162" s="161" t="str">
        <f t="shared" si="59"/>
        <v>001</v>
      </c>
      <c r="G162" s="385">
        <v>101</v>
      </c>
      <c r="H162" s="161" t="str">
        <f t="shared" si="60"/>
        <v>011</v>
      </c>
      <c r="I162" s="161" t="str">
        <f t="shared" si="61"/>
        <v>001-011</v>
      </c>
      <c r="J162" s="162" t="s">
        <v>491</v>
      </c>
      <c r="K162" s="161" t="s">
        <v>781</v>
      </c>
      <c r="M162" s="420">
        <v>45725</v>
      </c>
      <c r="N162" s="157">
        <f t="shared" si="62"/>
        <v>101</v>
      </c>
      <c r="O162" s="156">
        <f t="shared" ref="O162:O225" si="65">SUM(L162:M162)</f>
        <v>45725</v>
      </c>
      <c r="Q162" s="156"/>
    </row>
    <row r="163" spans="1:17" ht="12.75" customHeight="1">
      <c r="A163" s="161" t="str">
        <f t="shared" si="58"/>
        <v>30Compensation Tuition Backfill - State Support (CS1)</v>
      </c>
      <c r="B163" s="161">
        <f t="shared" si="64"/>
        <v>1</v>
      </c>
      <c r="C163" s="163">
        <v>30</v>
      </c>
      <c r="D163" s="163" t="b">
        <v>1</v>
      </c>
      <c r="E163" s="161" t="s">
        <v>43</v>
      </c>
      <c r="F163" s="161" t="str">
        <f t="shared" si="59"/>
        <v>001</v>
      </c>
      <c r="G163" s="385">
        <v>101</v>
      </c>
      <c r="H163" s="161" t="str">
        <f t="shared" si="60"/>
        <v>011</v>
      </c>
      <c r="I163" s="161" t="str">
        <f t="shared" si="61"/>
        <v>001-011</v>
      </c>
      <c r="J163" s="162" t="s">
        <v>491</v>
      </c>
      <c r="K163" s="161" t="s">
        <v>781</v>
      </c>
      <c r="M163" s="420">
        <v>45175</v>
      </c>
      <c r="N163" s="157">
        <f t="shared" si="62"/>
        <v>101</v>
      </c>
      <c r="O163" s="156">
        <f t="shared" si="65"/>
        <v>45175</v>
      </c>
      <c r="Q163" s="156"/>
    </row>
    <row r="164" spans="1:17" ht="12.75" customHeight="1">
      <c r="A164" s="161" t="str">
        <f t="shared" si="58"/>
        <v>12Compensation Tuition Backfill - State Support (CS1)</v>
      </c>
      <c r="B164" s="161">
        <f t="shared" si="64"/>
        <v>1</v>
      </c>
      <c r="C164" s="163">
        <v>12</v>
      </c>
      <c r="D164" s="163" t="b">
        <v>1</v>
      </c>
      <c r="E164" s="161" t="s">
        <v>25</v>
      </c>
      <c r="F164" s="161" t="str">
        <f t="shared" si="59"/>
        <v>001</v>
      </c>
      <c r="G164" s="385">
        <v>101</v>
      </c>
      <c r="H164" s="161" t="str">
        <f t="shared" si="60"/>
        <v>011</v>
      </c>
      <c r="I164" s="161" t="str">
        <f t="shared" si="61"/>
        <v>001-011</v>
      </c>
      <c r="J164" s="162" t="s">
        <v>491</v>
      </c>
      <c r="K164" s="161" t="s">
        <v>781</v>
      </c>
      <c r="M164" s="420">
        <v>56694</v>
      </c>
      <c r="N164" s="157">
        <f t="shared" si="62"/>
        <v>101</v>
      </c>
      <c r="O164" s="156">
        <f t="shared" si="65"/>
        <v>56694</v>
      </c>
      <c r="Q164" s="156"/>
    </row>
    <row r="165" spans="1:17" ht="12.75" customHeight="1">
      <c r="A165" s="161" t="str">
        <f t="shared" si="58"/>
        <v>14Compensation Tuition Backfill - State Support (CS1)</v>
      </c>
      <c r="B165" s="161">
        <f t="shared" si="64"/>
        <v>1</v>
      </c>
      <c r="C165" s="163">
        <v>14</v>
      </c>
      <c r="D165" s="163" t="b">
        <v>1</v>
      </c>
      <c r="E165" s="161" t="s">
        <v>27</v>
      </c>
      <c r="F165" s="161" t="str">
        <f t="shared" si="59"/>
        <v>001</v>
      </c>
      <c r="G165" s="385">
        <v>101</v>
      </c>
      <c r="H165" s="161" t="str">
        <f t="shared" si="60"/>
        <v>011</v>
      </c>
      <c r="I165" s="161" t="str">
        <f t="shared" si="61"/>
        <v>001-011</v>
      </c>
      <c r="J165" s="162" t="s">
        <v>491</v>
      </c>
      <c r="K165" s="161" t="s">
        <v>781</v>
      </c>
      <c r="M165" s="420">
        <v>182624</v>
      </c>
      <c r="N165" s="157">
        <f t="shared" si="62"/>
        <v>101</v>
      </c>
      <c r="O165" s="156">
        <f t="shared" si="65"/>
        <v>182624</v>
      </c>
      <c r="Q165" s="156"/>
    </row>
    <row r="166" spans="1:17" ht="12.75" customHeight="1">
      <c r="A166" s="161" t="str">
        <f t="shared" si="58"/>
        <v>29Compensation Tuition Backfill - State Support (CS1)</v>
      </c>
      <c r="B166" s="161">
        <f t="shared" si="64"/>
        <v>1</v>
      </c>
      <c r="C166" s="163">
        <v>29</v>
      </c>
      <c r="D166" s="163" t="b">
        <v>1</v>
      </c>
      <c r="E166" s="161" t="s">
        <v>42</v>
      </c>
      <c r="F166" s="161" t="str">
        <f t="shared" si="59"/>
        <v>001</v>
      </c>
      <c r="G166" s="385">
        <v>101</v>
      </c>
      <c r="H166" s="161" t="str">
        <f t="shared" si="60"/>
        <v>011</v>
      </c>
      <c r="I166" s="161" t="str">
        <f t="shared" si="61"/>
        <v>001-011</v>
      </c>
      <c r="J166" s="162" t="s">
        <v>491</v>
      </c>
      <c r="K166" s="161" t="s">
        <v>781</v>
      </c>
      <c r="M166" s="420">
        <v>59542</v>
      </c>
      <c r="N166" s="157">
        <f t="shared" si="62"/>
        <v>101</v>
      </c>
      <c r="O166" s="156">
        <f t="shared" si="65"/>
        <v>59542</v>
      </c>
      <c r="Q166" s="156"/>
    </row>
    <row r="167" spans="1:17" ht="12.75" customHeight="1">
      <c r="A167" s="161" t="str">
        <f t="shared" si="58"/>
        <v>19Compensation Tuition Backfill - State Support (CS1)</v>
      </c>
      <c r="B167" s="161">
        <f t="shared" si="64"/>
        <v>1</v>
      </c>
      <c r="C167" s="163">
        <v>19</v>
      </c>
      <c r="D167" s="163" t="b">
        <v>1</v>
      </c>
      <c r="E167" s="161" t="s">
        <v>32</v>
      </c>
      <c r="F167" s="161" t="str">
        <f t="shared" si="59"/>
        <v>001</v>
      </c>
      <c r="G167" s="385">
        <v>101</v>
      </c>
      <c r="H167" s="161" t="str">
        <f t="shared" si="60"/>
        <v>011</v>
      </c>
      <c r="I167" s="161" t="str">
        <f t="shared" si="61"/>
        <v>001-011</v>
      </c>
      <c r="J167" s="162" t="s">
        <v>491</v>
      </c>
      <c r="K167" s="161" t="s">
        <v>781</v>
      </c>
      <c r="M167" s="420">
        <v>88082</v>
      </c>
      <c r="N167" s="157">
        <f t="shared" si="62"/>
        <v>101</v>
      </c>
      <c r="O167" s="156">
        <f t="shared" si="65"/>
        <v>88082</v>
      </c>
      <c r="Q167" s="156"/>
    </row>
    <row r="168" spans="1:17" ht="12.75" customHeight="1">
      <c r="A168" s="161" t="str">
        <f t="shared" si="58"/>
        <v>23Compensation Tuition Backfill - State Support (CS1)</v>
      </c>
      <c r="B168" s="161">
        <f t="shared" si="64"/>
        <v>1</v>
      </c>
      <c r="C168" s="163">
        <v>23</v>
      </c>
      <c r="D168" s="163" t="b">
        <v>1</v>
      </c>
      <c r="E168" s="161" t="s">
        <v>36</v>
      </c>
      <c r="F168" s="161" t="str">
        <f t="shared" si="59"/>
        <v>001</v>
      </c>
      <c r="G168" s="385">
        <v>101</v>
      </c>
      <c r="H168" s="161" t="str">
        <f t="shared" si="60"/>
        <v>011</v>
      </c>
      <c r="I168" s="161" t="str">
        <f t="shared" si="61"/>
        <v>001-011</v>
      </c>
      <c r="J168" s="162" t="s">
        <v>491</v>
      </c>
      <c r="K168" s="161" t="s">
        <v>781</v>
      </c>
      <c r="M168" s="420">
        <v>151028</v>
      </c>
      <c r="N168" s="157">
        <f t="shared" si="62"/>
        <v>101</v>
      </c>
      <c r="O168" s="156">
        <f t="shared" si="65"/>
        <v>151028</v>
      </c>
      <c r="Q168" s="156"/>
    </row>
    <row r="169" spans="1:17" ht="12.75" customHeight="1">
      <c r="A169" s="161" t="str">
        <f t="shared" si="58"/>
        <v>5Compensation Tuition Backfill - State Support (CS1)</v>
      </c>
      <c r="B169" s="161">
        <f t="shared" si="64"/>
        <v>1</v>
      </c>
      <c r="C169" s="163">
        <v>5</v>
      </c>
      <c r="D169" s="163" t="b">
        <v>1</v>
      </c>
      <c r="E169" s="161" t="s">
        <v>18</v>
      </c>
      <c r="F169" s="161" t="str">
        <f t="shared" si="59"/>
        <v>001</v>
      </c>
      <c r="G169" s="385">
        <v>101</v>
      </c>
      <c r="H169" s="161" t="str">
        <f t="shared" si="60"/>
        <v>011</v>
      </c>
      <c r="I169" s="161" t="str">
        <f t="shared" si="61"/>
        <v>001-011</v>
      </c>
      <c r="J169" s="162" t="s">
        <v>491</v>
      </c>
      <c r="K169" s="161" t="s">
        <v>781</v>
      </c>
      <c r="M169" s="420">
        <v>132713</v>
      </c>
      <c r="N169" s="157">
        <f t="shared" si="62"/>
        <v>101</v>
      </c>
      <c r="O169" s="156">
        <f t="shared" si="65"/>
        <v>132713</v>
      </c>
      <c r="Q169" s="156"/>
    </row>
    <row r="170" spans="1:17" ht="12.75" customHeight="1">
      <c r="A170" s="161" t="str">
        <f t="shared" si="58"/>
        <v>2Compensation Tuition Backfill - State Support (CS1)</v>
      </c>
      <c r="B170" s="161">
        <f t="shared" si="64"/>
        <v>1</v>
      </c>
      <c r="C170" s="163">
        <v>2</v>
      </c>
      <c r="D170" s="163" t="b">
        <v>1</v>
      </c>
      <c r="E170" s="161" t="s">
        <v>15</v>
      </c>
      <c r="F170" s="161" t="str">
        <f t="shared" si="59"/>
        <v>001</v>
      </c>
      <c r="G170" s="385">
        <v>101</v>
      </c>
      <c r="H170" s="161" t="str">
        <f t="shared" si="60"/>
        <v>011</v>
      </c>
      <c r="I170" s="161" t="str">
        <f t="shared" si="61"/>
        <v>001-011</v>
      </c>
      <c r="J170" s="162" t="s">
        <v>491</v>
      </c>
      <c r="K170" s="161" t="s">
        <v>781</v>
      </c>
      <c r="M170" s="420">
        <v>44305</v>
      </c>
      <c r="N170" s="157">
        <f t="shared" si="62"/>
        <v>101</v>
      </c>
      <c r="O170" s="156">
        <f t="shared" si="65"/>
        <v>44305</v>
      </c>
      <c r="Q170" s="156"/>
    </row>
    <row r="171" spans="1:17" ht="12.75" customHeight="1">
      <c r="A171" s="161" t="str">
        <f t="shared" si="58"/>
        <v>10Compensation Tuition Backfill - State Support (CS1)</v>
      </c>
      <c r="B171" s="161">
        <f t="shared" si="64"/>
        <v>1</v>
      </c>
      <c r="C171" s="163">
        <v>10</v>
      </c>
      <c r="D171" s="163" t="b">
        <v>1</v>
      </c>
      <c r="E171" s="161" t="s">
        <v>23</v>
      </c>
      <c r="F171" s="161" t="str">
        <f t="shared" si="59"/>
        <v>001</v>
      </c>
      <c r="G171" s="385">
        <v>101</v>
      </c>
      <c r="H171" s="161" t="str">
        <f t="shared" si="60"/>
        <v>011</v>
      </c>
      <c r="I171" s="161" t="str">
        <f t="shared" si="61"/>
        <v>001-011</v>
      </c>
      <c r="J171" s="162" t="s">
        <v>491</v>
      </c>
      <c r="K171" s="161" t="s">
        <v>781</v>
      </c>
      <c r="M171" s="420">
        <v>148440</v>
      </c>
      <c r="N171" s="157">
        <f t="shared" si="62"/>
        <v>101</v>
      </c>
      <c r="O171" s="156">
        <f t="shared" si="65"/>
        <v>148440</v>
      </c>
      <c r="Q171" s="156"/>
    </row>
    <row r="172" spans="1:17" ht="12.75" customHeight="1">
      <c r="A172" s="161" t="str">
        <f t="shared" si="58"/>
        <v>9Compensation Tuition Backfill - State Support (CS1)</v>
      </c>
      <c r="B172" s="161">
        <f t="shared" si="64"/>
        <v>1</v>
      </c>
      <c r="C172" s="163">
        <v>9</v>
      </c>
      <c r="D172" s="163" t="b">
        <v>1</v>
      </c>
      <c r="E172" s="161" t="s">
        <v>22</v>
      </c>
      <c r="F172" s="161" t="str">
        <f t="shared" si="59"/>
        <v>001</v>
      </c>
      <c r="G172" s="385">
        <v>101</v>
      </c>
      <c r="H172" s="161" t="str">
        <f t="shared" si="60"/>
        <v>011</v>
      </c>
      <c r="I172" s="161" t="str">
        <f t="shared" si="61"/>
        <v>001-011</v>
      </c>
      <c r="J172" s="162" t="s">
        <v>491</v>
      </c>
      <c r="K172" s="161" t="s">
        <v>781</v>
      </c>
      <c r="M172" s="420">
        <v>127728</v>
      </c>
      <c r="N172" s="157">
        <f t="shared" si="62"/>
        <v>101</v>
      </c>
      <c r="O172" s="156">
        <f t="shared" si="65"/>
        <v>127728</v>
      </c>
      <c r="Q172" s="156"/>
    </row>
    <row r="173" spans="1:17" ht="12.75" customHeight="1">
      <c r="A173" s="161" t="str">
        <f t="shared" si="58"/>
        <v>26Compensation Tuition Backfill - State Support (CS1)</v>
      </c>
      <c r="B173" s="161">
        <f t="shared" si="64"/>
        <v>1</v>
      </c>
      <c r="C173" s="163">
        <v>26</v>
      </c>
      <c r="D173" s="163" t="b">
        <v>1</v>
      </c>
      <c r="E173" s="161" t="s">
        <v>39</v>
      </c>
      <c r="F173" s="161" t="str">
        <f t="shared" si="59"/>
        <v>001</v>
      </c>
      <c r="G173" s="385">
        <v>101</v>
      </c>
      <c r="H173" s="161" t="str">
        <f t="shared" si="60"/>
        <v>011</v>
      </c>
      <c r="I173" s="161" t="str">
        <f t="shared" si="61"/>
        <v>001-011</v>
      </c>
      <c r="J173" s="162" t="s">
        <v>491</v>
      </c>
      <c r="K173" s="161" t="s">
        <v>781</v>
      </c>
      <c r="M173" s="420">
        <v>50771</v>
      </c>
      <c r="N173" s="157">
        <f t="shared" si="62"/>
        <v>101</v>
      </c>
      <c r="O173" s="156">
        <f t="shared" si="65"/>
        <v>50771</v>
      </c>
      <c r="Q173" s="156"/>
    </row>
    <row r="174" spans="1:17" ht="12.75" customHeight="1">
      <c r="A174" s="161" t="str">
        <f t="shared" si="58"/>
        <v>13Compensation Tuition Backfill - State Support (CS1)</v>
      </c>
      <c r="B174" s="161">
        <f t="shared" si="64"/>
        <v>1</v>
      </c>
      <c r="C174" s="163">
        <v>13</v>
      </c>
      <c r="D174" s="163" t="b">
        <v>1</v>
      </c>
      <c r="E174" s="161" t="s">
        <v>26</v>
      </c>
      <c r="F174" s="161" t="str">
        <f t="shared" si="59"/>
        <v>001</v>
      </c>
      <c r="G174" s="385">
        <v>101</v>
      </c>
      <c r="H174" s="161" t="str">
        <f t="shared" si="60"/>
        <v>011</v>
      </c>
      <c r="I174" s="161" t="str">
        <f t="shared" si="61"/>
        <v>001-011</v>
      </c>
      <c r="J174" s="162" t="s">
        <v>491</v>
      </c>
      <c r="K174" s="161" t="s">
        <v>781</v>
      </c>
      <c r="M174" s="420">
        <v>57228</v>
      </c>
      <c r="N174" s="157">
        <f t="shared" si="62"/>
        <v>101</v>
      </c>
      <c r="O174" s="156">
        <f t="shared" si="65"/>
        <v>57228</v>
      </c>
      <c r="Q174" s="156"/>
    </row>
    <row r="175" spans="1:17" ht="12.75" customHeight="1">
      <c r="A175" s="161" t="str">
        <f t="shared" si="58"/>
        <v>3Compensation Tuition Backfill - State Support (CS1)</v>
      </c>
      <c r="B175" s="161">
        <f t="shared" si="64"/>
        <v>1</v>
      </c>
      <c r="C175" s="163">
        <v>3</v>
      </c>
      <c r="D175" s="163" t="b">
        <v>1</v>
      </c>
      <c r="E175" s="161" t="s">
        <v>16</v>
      </c>
      <c r="F175" s="161" t="str">
        <f t="shared" si="59"/>
        <v>001</v>
      </c>
      <c r="G175" s="385">
        <v>101</v>
      </c>
      <c r="H175" s="161" t="str">
        <f t="shared" si="60"/>
        <v>011</v>
      </c>
      <c r="I175" s="161" t="str">
        <f t="shared" si="61"/>
        <v>001-011</v>
      </c>
      <c r="J175" s="162" t="s">
        <v>491</v>
      </c>
      <c r="K175" s="161" t="s">
        <v>781</v>
      </c>
      <c r="M175" s="420">
        <v>110727</v>
      </c>
      <c r="N175" s="157">
        <f t="shared" si="62"/>
        <v>101</v>
      </c>
      <c r="O175" s="156">
        <f t="shared" si="65"/>
        <v>110727</v>
      </c>
      <c r="Q175" s="156"/>
    </row>
    <row r="176" spans="1:17" ht="12.75" customHeight="1">
      <c r="A176" s="161" t="str">
        <f t="shared" si="58"/>
        <v>1Compensation Tuition Backfill - State Support (CS1)</v>
      </c>
      <c r="B176" s="161">
        <f t="shared" si="64"/>
        <v>1</v>
      </c>
      <c r="C176" s="163">
        <v>1</v>
      </c>
      <c r="D176" s="163" t="b">
        <v>1</v>
      </c>
      <c r="E176" s="161" t="s">
        <v>14</v>
      </c>
      <c r="F176" s="161" t="str">
        <f t="shared" si="59"/>
        <v>001</v>
      </c>
      <c r="G176" s="385">
        <v>101</v>
      </c>
      <c r="H176" s="161" t="str">
        <f t="shared" si="60"/>
        <v>011</v>
      </c>
      <c r="I176" s="161" t="str">
        <f t="shared" si="61"/>
        <v>001-011</v>
      </c>
      <c r="J176" s="162" t="s">
        <v>491</v>
      </c>
      <c r="K176" s="161" t="s">
        <v>781</v>
      </c>
      <c r="M176" s="420">
        <v>52281</v>
      </c>
      <c r="N176" s="157">
        <f t="shared" si="62"/>
        <v>101</v>
      </c>
      <c r="O176" s="156">
        <f t="shared" si="65"/>
        <v>52281</v>
      </c>
      <c r="Q176" s="156"/>
    </row>
    <row r="177" spans="1:17" ht="12.75" customHeight="1">
      <c r="A177" s="161" t="str">
        <f t="shared" si="58"/>
        <v>11Compensation Tuition Backfill - State Support (CS1)</v>
      </c>
      <c r="B177" s="161">
        <f t="shared" si="64"/>
        <v>1</v>
      </c>
      <c r="C177" s="163">
        <v>11</v>
      </c>
      <c r="D177" s="163" t="b">
        <v>1</v>
      </c>
      <c r="E177" s="161" t="s">
        <v>24</v>
      </c>
      <c r="F177" s="161" t="str">
        <f t="shared" si="59"/>
        <v>001</v>
      </c>
      <c r="G177" s="385">
        <v>101</v>
      </c>
      <c r="H177" s="161" t="str">
        <f t="shared" si="60"/>
        <v>011</v>
      </c>
      <c r="I177" s="161" t="str">
        <f t="shared" si="61"/>
        <v>001-011</v>
      </c>
      <c r="J177" s="162" t="s">
        <v>491</v>
      </c>
      <c r="K177" s="161" t="s">
        <v>781</v>
      </c>
      <c r="M177" s="420">
        <v>144611</v>
      </c>
      <c r="N177" s="157">
        <f t="shared" si="62"/>
        <v>101</v>
      </c>
      <c r="O177" s="156">
        <f t="shared" si="65"/>
        <v>144611</v>
      </c>
      <c r="Q177" s="156"/>
    </row>
    <row r="178" spans="1:17" ht="12.75" customHeight="1">
      <c r="A178" s="161" t="str">
        <f t="shared" si="58"/>
        <v>27Compensation Tuition Backfill - State Support (CS1)</v>
      </c>
      <c r="B178" s="161">
        <f t="shared" si="64"/>
        <v>1</v>
      </c>
      <c r="C178" s="163">
        <v>27</v>
      </c>
      <c r="D178" s="163" t="b">
        <v>1</v>
      </c>
      <c r="E178" s="161" t="s">
        <v>40</v>
      </c>
      <c r="F178" s="161" t="str">
        <f t="shared" si="59"/>
        <v>001</v>
      </c>
      <c r="G178" s="385">
        <v>101</v>
      </c>
      <c r="H178" s="161" t="str">
        <f t="shared" si="60"/>
        <v>011</v>
      </c>
      <c r="I178" s="161" t="str">
        <f t="shared" si="61"/>
        <v>001-011</v>
      </c>
      <c r="J178" s="162" t="s">
        <v>491</v>
      </c>
      <c r="K178" s="161" t="s">
        <v>781</v>
      </c>
      <c r="M178" s="420">
        <v>52739</v>
      </c>
      <c r="N178" s="157">
        <f t="shared" si="62"/>
        <v>101</v>
      </c>
      <c r="O178" s="156">
        <f t="shared" si="65"/>
        <v>52739</v>
      </c>
      <c r="Q178" s="156"/>
    </row>
    <row r="179" spans="1:17" ht="12.75" customHeight="1">
      <c r="A179" s="161" t="str">
        <f t="shared" si="58"/>
        <v>6Compensation Tuition Backfill - State Support (CS1)</v>
      </c>
      <c r="B179" s="161">
        <f t="shared" si="64"/>
        <v>1</v>
      </c>
      <c r="C179" s="163">
        <v>6</v>
      </c>
      <c r="D179" s="163" t="b">
        <v>1</v>
      </c>
      <c r="E179" s="161" t="s">
        <v>19</v>
      </c>
      <c r="F179" s="161" t="str">
        <f t="shared" si="59"/>
        <v>001</v>
      </c>
      <c r="G179" s="385">
        <v>101</v>
      </c>
      <c r="H179" s="161" t="str">
        <f t="shared" si="60"/>
        <v>011</v>
      </c>
      <c r="I179" s="161" t="str">
        <f t="shared" si="61"/>
        <v>001-011</v>
      </c>
      <c r="J179" s="162" t="s">
        <v>491</v>
      </c>
      <c r="K179" s="161" t="s">
        <v>781</v>
      </c>
      <c r="M179" s="420">
        <v>352949</v>
      </c>
      <c r="N179" s="157">
        <f t="shared" si="62"/>
        <v>101</v>
      </c>
      <c r="O179" s="156">
        <f t="shared" si="65"/>
        <v>352949</v>
      </c>
      <c r="Q179" s="156"/>
    </row>
    <row r="180" spans="1:17" ht="12.75" customHeight="1">
      <c r="A180" s="161" t="str">
        <f t="shared" si="58"/>
        <v>7Compensation Tuition Backfill - State Support (CS1)</v>
      </c>
      <c r="B180" s="161">
        <f t="shared" si="64"/>
        <v>1</v>
      </c>
      <c r="C180" s="163">
        <v>7</v>
      </c>
      <c r="D180" s="163" t="b">
        <v>1</v>
      </c>
      <c r="E180" s="161" t="s">
        <v>20</v>
      </c>
      <c r="F180" s="161" t="str">
        <f t="shared" si="59"/>
        <v>001</v>
      </c>
      <c r="G180" s="385">
        <v>101</v>
      </c>
      <c r="H180" s="161" t="str">
        <f t="shared" si="60"/>
        <v>011</v>
      </c>
      <c r="I180" s="161" t="str">
        <f t="shared" si="61"/>
        <v>001-011</v>
      </c>
      <c r="J180" s="162" t="s">
        <v>491</v>
      </c>
      <c r="K180" s="161" t="s">
        <v>781</v>
      </c>
      <c r="M180" s="420">
        <v>104402</v>
      </c>
      <c r="N180" s="157">
        <f t="shared" si="62"/>
        <v>101</v>
      </c>
      <c r="O180" s="156">
        <f t="shared" si="65"/>
        <v>104402</v>
      </c>
      <c r="Q180" s="156"/>
    </row>
    <row r="181" spans="1:17" ht="12.75" customHeight="1">
      <c r="A181" s="161" t="str">
        <f t="shared" si="58"/>
        <v>4Compensation Tuition Backfill - State Support (CS1)</v>
      </c>
      <c r="B181" s="161">
        <f t="shared" si="64"/>
        <v>1</v>
      </c>
      <c r="C181" s="163">
        <v>4</v>
      </c>
      <c r="D181" s="163" t="b">
        <v>1</v>
      </c>
      <c r="E181" s="161" t="s">
        <v>17</v>
      </c>
      <c r="F181" s="161" t="str">
        <f t="shared" si="59"/>
        <v>001</v>
      </c>
      <c r="G181" s="385">
        <v>101</v>
      </c>
      <c r="H181" s="161" t="str">
        <f t="shared" si="60"/>
        <v>011</v>
      </c>
      <c r="I181" s="161" t="str">
        <f t="shared" si="61"/>
        <v>001-011</v>
      </c>
      <c r="J181" s="162" t="s">
        <v>491</v>
      </c>
      <c r="K181" s="161" t="s">
        <v>781</v>
      </c>
      <c r="M181" s="420">
        <v>86869</v>
      </c>
      <c r="N181" s="157">
        <f t="shared" si="62"/>
        <v>101</v>
      </c>
      <c r="O181" s="156">
        <f t="shared" si="65"/>
        <v>86869</v>
      </c>
      <c r="Q181" s="156"/>
    </row>
    <row r="182" spans="1:17" ht="12.75" customHeight="1">
      <c r="A182" s="161" t="str">
        <f t="shared" si="58"/>
        <v>24Compensation Tuition Backfill - State Support (CS1)</v>
      </c>
      <c r="B182" s="161">
        <f t="shared" si="64"/>
        <v>1</v>
      </c>
      <c r="C182" s="163">
        <v>24</v>
      </c>
      <c r="D182" s="163" t="b">
        <v>1</v>
      </c>
      <c r="E182" s="161" t="s">
        <v>37</v>
      </c>
      <c r="F182" s="161" t="str">
        <f t="shared" si="59"/>
        <v>001</v>
      </c>
      <c r="G182" s="385">
        <v>101</v>
      </c>
      <c r="H182" s="161" t="str">
        <f t="shared" si="60"/>
        <v>011</v>
      </c>
      <c r="I182" s="161" t="str">
        <f t="shared" si="61"/>
        <v>001-011</v>
      </c>
      <c r="J182" s="162" t="s">
        <v>491</v>
      </c>
      <c r="K182" s="161" t="s">
        <v>781</v>
      </c>
      <c r="M182" s="420">
        <v>89952</v>
      </c>
      <c r="N182" s="157">
        <f t="shared" si="62"/>
        <v>101</v>
      </c>
      <c r="O182" s="156">
        <f t="shared" si="65"/>
        <v>89952</v>
      </c>
      <c r="Q182" s="156"/>
    </row>
    <row r="183" spans="1:17" ht="12.75" customHeight="1">
      <c r="A183" s="161" t="str">
        <f t="shared" si="58"/>
        <v>17Compensation Tuition Backfill - State Support (CS1)</v>
      </c>
      <c r="B183" s="161">
        <f t="shared" si="64"/>
        <v>1</v>
      </c>
      <c r="C183" s="163">
        <v>17</v>
      </c>
      <c r="D183" s="163" t="b">
        <v>1</v>
      </c>
      <c r="E183" s="161" t="s">
        <v>30</v>
      </c>
      <c r="F183" s="161" t="str">
        <f t="shared" si="59"/>
        <v>001</v>
      </c>
      <c r="G183" s="385">
        <v>101</v>
      </c>
      <c r="H183" s="161" t="str">
        <f t="shared" si="60"/>
        <v>011</v>
      </c>
      <c r="I183" s="161" t="str">
        <f t="shared" si="61"/>
        <v>001-011</v>
      </c>
      <c r="J183" s="162" t="s">
        <v>491</v>
      </c>
      <c r="K183" s="161" t="s">
        <v>781</v>
      </c>
      <c r="M183" s="420">
        <v>274945</v>
      </c>
      <c r="N183" s="157">
        <f t="shared" si="62"/>
        <v>101</v>
      </c>
      <c r="O183" s="156">
        <f t="shared" si="65"/>
        <v>274945</v>
      </c>
      <c r="Q183" s="156"/>
    </row>
    <row r="184" spans="1:17" ht="12.75" customHeight="1">
      <c r="A184" s="161" t="str">
        <f t="shared" si="58"/>
        <v>22Compensation Tuition Backfill - State Support (CS1)</v>
      </c>
      <c r="B184" s="161">
        <f t="shared" si="64"/>
        <v>1</v>
      </c>
      <c r="C184" s="163">
        <v>22</v>
      </c>
      <c r="D184" s="163" t="b">
        <v>1</v>
      </c>
      <c r="E184" s="161" t="s">
        <v>35</v>
      </c>
      <c r="F184" s="161" t="str">
        <f t="shared" si="59"/>
        <v>001</v>
      </c>
      <c r="G184" s="385">
        <v>101</v>
      </c>
      <c r="H184" s="161" t="str">
        <f t="shared" si="60"/>
        <v>011</v>
      </c>
      <c r="I184" s="161" t="str">
        <f t="shared" si="61"/>
        <v>001-011</v>
      </c>
      <c r="J184" s="162" t="s">
        <v>491</v>
      </c>
      <c r="K184" s="161" t="s">
        <v>781</v>
      </c>
      <c r="M184" s="420">
        <v>119691</v>
      </c>
      <c r="N184" s="157">
        <f t="shared" si="62"/>
        <v>101</v>
      </c>
      <c r="O184" s="156">
        <f t="shared" si="65"/>
        <v>119691</v>
      </c>
      <c r="Q184" s="156"/>
    </row>
    <row r="185" spans="1:17" ht="12.75" customHeight="1">
      <c r="A185" s="161" t="str">
        <f t="shared" si="58"/>
        <v>20Compensation Tuition Backfill - State Support (CS1)</v>
      </c>
      <c r="B185" s="161">
        <f t="shared" si="64"/>
        <v>1</v>
      </c>
      <c r="C185" s="163">
        <v>20</v>
      </c>
      <c r="D185" s="163" t="b">
        <v>1</v>
      </c>
      <c r="E185" s="161" t="s">
        <v>33</v>
      </c>
      <c r="F185" s="161" t="str">
        <f t="shared" si="59"/>
        <v>001</v>
      </c>
      <c r="G185" s="385">
        <v>101</v>
      </c>
      <c r="H185" s="161" t="str">
        <f t="shared" si="60"/>
        <v>011</v>
      </c>
      <c r="I185" s="161" t="str">
        <f t="shared" si="61"/>
        <v>001-011</v>
      </c>
      <c r="J185" s="162" t="s">
        <v>491</v>
      </c>
      <c r="K185" s="161" t="s">
        <v>781</v>
      </c>
      <c r="M185" s="420">
        <v>85944</v>
      </c>
      <c r="N185" s="157">
        <f t="shared" si="62"/>
        <v>101</v>
      </c>
      <c r="O185" s="156">
        <f t="shared" si="65"/>
        <v>85944</v>
      </c>
      <c r="Q185" s="156"/>
    </row>
    <row r="186" spans="1:17" ht="12.75" customHeight="1">
      <c r="A186" s="161" t="str">
        <f t="shared" si="58"/>
        <v>15Compensation Tuition Backfill - State Support (CS1)</v>
      </c>
      <c r="B186" s="161">
        <f t="shared" si="64"/>
        <v>1</v>
      </c>
      <c r="C186" s="163">
        <v>15</v>
      </c>
      <c r="D186" s="163" t="b">
        <v>1</v>
      </c>
      <c r="E186" s="161" t="s">
        <v>28</v>
      </c>
      <c r="F186" s="161" t="str">
        <f t="shared" si="59"/>
        <v>001</v>
      </c>
      <c r="G186" s="385">
        <v>101</v>
      </c>
      <c r="H186" s="161" t="str">
        <f t="shared" si="60"/>
        <v>011</v>
      </c>
      <c r="I186" s="161" t="str">
        <f t="shared" si="61"/>
        <v>001-011</v>
      </c>
      <c r="J186" s="162" t="s">
        <v>491</v>
      </c>
      <c r="K186" s="161" t="s">
        <v>781</v>
      </c>
      <c r="M186" s="420">
        <v>63754</v>
      </c>
      <c r="N186" s="157">
        <f t="shared" si="62"/>
        <v>101</v>
      </c>
      <c r="O186" s="156">
        <f t="shared" si="65"/>
        <v>63754</v>
      </c>
      <c r="Q186" s="156"/>
    </row>
    <row r="187" spans="1:17" ht="12.75" customHeight="1">
      <c r="A187" s="161" t="str">
        <f t="shared" si="58"/>
        <v>21Compensation Tuition Backfill - State Support (CS1)</v>
      </c>
      <c r="B187" s="161">
        <f t="shared" si="64"/>
        <v>1</v>
      </c>
      <c r="C187" s="163">
        <v>21</v>
      </c>
      <c r="D187" s="163" t="b">
        <v>1</v>
      </c>
      <c r="E187" s="161" t="s">
        <v>34</v>
      </c>
      <c r="F187" s="161" t="str">
        <f t="shared" si="59"/>
        <v>001</v>
      </c>
      <c r="G187" s="385">
        <v>101</v>
      </c>
      <c r="H187" s="161" t="str">
        <f t="shared" si="60"/>
        <v>011</v>
      </c>
      <c r="I187" s="161" t="str">
        <f t="shared" si="61"/>
        <v>001-011</v>
      </c>
      <c r="J187" s="162" t="s">
        <v>491</v>
      </c>
      <c r="K187" s="161" t="s">
        <v>781</v>
      </c>
      <c r="M187" s="420">
        <v>61820</v>
      </c>
      <c r="N187" s="157">
        <f t="shared" si="62"/>
        <v>101</v>
      </c>
      <c r="O187" s="156">
        <f t="shared" si="65"/>
        <v>61820</v>
      </c>
      <c r="Q187" s="156"/>
    </row>
    <row r="188" spans="1:17" ht="12.75" customHeight="1">
      <c r="A188" s="161" t="str">
        <f t="shared" si="58"/>
        <v>16Compensation Tuition Backfill - State Support (CS1)</v>
      </c>
      <c r="B188" s="161">
        <f t="shared" si="64"/>
        <v>1</v>
      </c>
      <c r="C188" s="163">
        <v>16</v>
      </c>
      <c r="D188" s="163" t="b">
        <v>1</v>
      </c>
      <c r="E188" s="161" t="s">
        <v>29</v>
      </c>
      <c r="F188" s="161" t="str">
        <f t="shared" si="59"/>
        <v>001</v>
      </c>
      <c r="G188" s="385">
        <v>101</v>
      </c>
      <c r="H188" s="161" t="str">
        <f t="shared" si="60"/>
        <v>011</v>
      </c>
      <c r="I188" s="161" t="str">
        <f t="shared" si="61"/>
        <v>001-011</v>
      </c>
      <c r="J188" s="162" t="s">
        <v>491</v>
      </c>
      <c r="K188" s="161" t="s">
        <v>781</v>
      </c>
      <c r="M188" s="420">
        <v>134319</v>
      </c>
      <c r="N188" s="157">
        <f t="shared" si="62"/>
        <v>101</v>
      </c>
      <c r="O188" s="156">
        <f t="shared" si="65"/>
        <v>134319</v>
      </c>
      <c r="Q188" s="156"/>
    </row>
    <row r="189" spans="1:17" ht="12.75" hidden="1" customHeight="1">
      <c r="A189" s="161" t="str">
        <f t="shared" si="58"/>
        <v>28Disability Accommodations</v>
      </c>
      <c r="B189" s="161">
        <f t="shared" si="64"/>
        <v>1</v>
      </c>
      <c r="C189" s="163">
        <v>28</v>
      </c>
      <c r="D189" s="163" t="b">
        <v>1</v>
      </c>
      <c r="E189" s="161" t="s">
        <v>41</v>
      </c>
      <c r="F189" s="161" t="str">
        <f t="shared" si="59"/>
        <v>001</v>
      </c>
      <c r="G189" s="385">
        <v>101</v>
      </c>
      <c r="H189" s="161" t="str">
        <f t="shared" si="60"/>
        <v>011</v>
      </c>
      <c r="I189" s="161" t="str">
        <f t="shared" si="61"/>
        <v>001-011</v>
      </c>
      <c r="J189" s="162" t="s">
        <v>491</v>
      </c>
      <c r="K189" s="161" t="s">
        <v>170</v>
      </c>
      <c r="L189" s="418">
        <v>73539</v>
      </c>
      <c r="M189" s="420">
        <v>-57962</v>
      </c>
      <c r="N189" s="157">
        <f t="shared" si="62"/>
        <v>101</v>
      </c>
      <c r="O189" s="156">
        <f t="shared" si="65"/>
        <v>15577</v>
      </c>
      <c r="Q189" s="156"/>
    </row>
    <row r="190" spans="1:17" ht="12.75" hidden="1" customHeight="1">
      <c r="A190" s="161" t="str">
        <f t="shared" si="58"/>
        <v>8Disability Accommodations</v>
      </c>
      <c r="B190" s="161">
        <f t="shared" si="64"/>
        <v>1</v>
      </c>
      <c r="C190" s="163">
        <v>8</v>
      </c>
      <c r="D190" s="163" t="b">
        <v>1</v>
      </c>
      <c r="E190" s="161" t="s">
        <v>21</v>
      </c>
      <c r="F190" s="161" t="str">
        <f t="shared" si="59"/>
        <v>001</v>
      </c>
      <c r="G190" s="385">
        <v>101</v>
      </c>
      <c r="H190" s="161" t="str">
        <f t="shared" si="60"/>
        <v>011</v>
      </c>
      <c r="I190" s="161" t="str">
        <f t="shared" si="61"/>
        <v>001-011</v>
      </c>
      <c r="J190" s="162" t="s">
        <v>491</v>
      </c>
      <c r="K190" s="161" t="s">
        <v>170</v>
      </c>
      <c r="L190" s="418">
        <v>73160</v>
      </c>
      <c r="M190" s="420">
        <v>49964</v>
      </c>
      <c r="N190" s="157">
        <f t="shared" si="62"/>
        <v>101</v>
      </c>
      <c r="O190" s="156">
        <f t="shared" si="65"/>
        <v>123124</v>
      </c>
      <c r="Q190" s="156"/>
    </row>
    <row r="191" spans="1:17" ht="12.75" hidden="1" customHeight="1">
      <c r="A191" s="161" t="str">
        <f t="shared" si="58"/>
        <v>25Disability Accommodations</v>
      </c>
      <c r="B191" s="161">
        <f t="shared" si="64"/>
        <v>1</v>
      </c>
      <c r="C191" s="163">
        <v>25</v>
      </c>
      <c r="D191" s="163" t="b">
        <v>1</v>
      </c>
      <c r="E191" s="161" t="s">
        <v>38</v>
      </c>
      <c r="F191" s="161" t="str">
        <f t="shared" si="59"/>
        <v>001</v>
      </c>
      <c r="G191" s="385">
        <v>101</v>
      </c>
      <c r="H191" s="161" t="str">
        <f t="shared" si="60"/>
        <v>011</v>
      </c>
      <c r="I191" s="161" t="str">
        <f t="shared" si="61"/>
        <v>001-011</v>
      </c>
      <c r="J191" s="162" t="s">
        <v>491</v>
      </c>
      <c r="K191" s="161" t="s">
        <v>170</v>
      </c>
      <c r="L191" s="418">
        <v>41636</v>
      </c>
      <c r="M191" s="420">
        <v>-883</v>
      </c>
      <c r="N191" s="157">
        <f t="shared" si="62"/>
        <v>101</v>
      </c>
      <c r="O191" s="156">
        <f t="shared" si="65"/>
        <v>40753</v>
      </c>
      <c r="Q191" s="156"/>
    </row>
    <row r="192" spans="1:17" ht="12.75" hidden="1" customHeight="1">
      <c r="A192" s="161" t="str">
        <f t="shared" si="58"/>
        <v>18Disability Accommodations</v>
      </c>
      <c r="B192" s="161">
        <f t="shared" si="64"/>
        <v>1</v>
      </c>
      <c r="C192" s="163">
        <v>18</v>
      </c>
      <c r="D192" s="163" t="b">
        <v>1</v>
      </c>
      <c r="E192" s="161" t="s">
        <v>31</v>
      </c>
      <c r="F192" s="161" t="str">
        <f t="shared" si="59"/>
        <v>001</v>
      </c>
      <c r="G192" s="385">
        <v>101</v>
      </c>
      <c r="H192" s="161" t="str">
        <f t="shared" si="60"/>
        <v>011</v>
      </c>
      <c r="I192" s="161" t="str">
        <f t="shared" si="61"/>
        <v>001-011</v>
      </c>
      <c r="J192" s="162" t="s">
        <v>491</v>
      </c>
      <c r="K192" s="161" t="s">
        <v>170</v>
      </c>
      <c r="L192" s="418">
        <v>27745</v>
      </c>
      <c r="M192" s="420">
        <v>-5087</v>
      </c>
      <c r="N192" s="157">
        <f t="shared" si="62"/>
        <v>101</v>
      </c>
      <c r="O192" s="156">
        <f t="shared" si="65"/>
        <v>22658</v>
      </c>
      <c r="Q192" s="156"/>
    </row>
    <row r="193" spans="1:17" ht="12.75" hidden="1" customHeight="1">
      <c r="A193" s="161" t="str">
        <f t="shared" si="58"/>
        <v>30Disability Accommodations</v>
      </c>
      <c r="B193" s="161">
        <f t="shared" si="64"/>
        <v>1</v>
      </c>
      <c r="C193" s="163">
        <v>30</v>
      </c>
      <c r="D193" s="163" t="b">
        <v>1</v>
      </c>
      <c r="E193" s="161" t="s">
        <v>43</v>
      </c>
      <c r="F193" s="161" t="str">
        <f t="shared" si="59"/>
        <v>001</v>
      </c>
      <c r="G193" s="385">
        <v>101</v>
      </c>
      <c r="H193" s="161" t="str">
        <f t="shared" si="60"/>
        <v>011</v>
      </c>
      <c r="I193" s="161" t="str">
        <f t="shared" si="61"/>
        <v>001-011</v>
      </c>
      <c r="J193" s="162" t="s">
        <v>491</v>
      </c>
      <c r="K193" s="161" t="s">
        <v>170</v>
      </c>
      <c r="L193" s="418">
        <v>26844</v>
      </c>
      <c r="M193" s="420">
        <v>-3950</v>
      </c>
      <c r="N193" s="157">
        <f t="shared" si="62"/>
        <v>101</v>
      </c>
      <c r="O193" s="156">
        <f t="shared" si="65"/>
        <v>22894</v>
      </c>
      <c r="Q193" s="156"/>
    </row>
    <row r="194" spans="1:17" ht="12.75" hidden="1" customHeight="1">
      <c r="A194" s="161" t="str">
        <f t="shared" ref="A194:A257" si="66">C194&amp;K194</f>
        <v>12Disability Accommodations</v>
      </c>
      <c r="B194" s="161">
        <f t="shared" si="64"/>
        <v>1</v>
      </c>
      <c r="C194" s="163">
        <v>12</v>
      </c>
      <c r="D194" s="163" t="b">
        <v>1</v>
      </c>
      <c r="E194" s="161" t="s">
        <v>25</v>
      </c>
      <c r="F194" s="161" t="str">
        <f t="shared" ref="F194:F257" si="67">LEFT(J194,3)</f>
        <v>001</v>
      </c>
      <c r="G194" s="385">
        <v>101</v>
      </c>
      <c r="H194" s="161" t="str">
        <f t="shared" ref="H194:H257" si="68">RIGHT(J194,3)</f>
        <v>011</v>
      </c>
      <c r="I194" s="161" t="str">
        <f t="shared" ref="I194:I257" si="69">F194&amp;"-"&amp;H194</f>
        <v>001-011</v>
      </c>
      <c r="J194" s="162" t="s">
        <v>491</v>
      </c>
      <c r="K194" s="161" t="s">
        <v>170</v>
      </c>
      <c r="L194" s="418">
        <v>37792</v>
      </c>
      <c r="M194" s="420">
        <v>-5693</v>
      </c>
      <c r="N194" s="157">
        <f t="shared" ref="N194:N257" si="70">VLOOKUP(H194,Approp,2,FALSE)</f>
        <v>101</v>
      </c>
      <c r="O194" s="156">
        <f t="shared" si="65"/>
        <v>32099</v>
      </c>
      <c r="Q194" s="156"/>
    </row>
    <row r="195" spans="1:17" ht="12.75" hidden="1" customHeight="1">
      <c r="A195" s="161" t="str">
        <f t="shared" si="66"/>
        <v>14Disability Accommodations</v>
      </c>
      <c r="B195" s="161">
        <f t="shared" si="64"/>
        <v>1</v>
      </c>
      <c r="C195" s="163">
        <v>14</v>
      </c>
      <c r="D195" s="163" t="b">
        <v>1</v>
      </c>
      <c r="E195" s="161" t="s">
        <v>27</v>
      </c>
      <c r="F195" s="161" t="str">
        <f t="shared" si="67"/>
        <v>001</v>
      </c>
      <c r="G195" s="385">
        <v>101</v>
      </c>
      <c r="H195" s="161" t="str">
        <f t="shared" si="68"/>
        <v>011</v>
      </c>
      <c r="I195" s="161" t="str">
        <f t="shared" si="69"/>
        <v>001-011</v>
      </c>
      <c r="J195" s="162" t="s">
        <v>491</v>
      </c>
      <c r="K195" s="161" t="s">
        <v>170</v>
      </c>
      <c r="L195" s="418">
        <v>67087</v>
      </c>
      <c r="M195" s="420">
        <v>34244</v>
      </c>
      <c r="N195" s="157">
        <f t="shared" si="70"/>
        <v>101</v>
      </c>
      <c r="O195" s="156">
        <f t="shared" si="65"/>
        <v>101331</v>
      </c>
      <c r="Q195" s="156"/>
    </row>
    <row r="196" spans="1:17" ht="12.75" hidden="1" customHeight="1">
      <c r="A196" s="161" t="str">
        <f t="shared" si="66"/>
        <v>29Disability Accommodations</v>
      </c>
      <c r="B196" s="161">
        <f t="shared" si="64"/>
        <v>1</v>
      </c>
      <c r="C196" s="163">
        <v>29</v>
      </c>
      <c r="D196" s="163" t="b">
        <v>1</v>
      </c>
      <c r="E196" s="161" t="s">
        <v>42</v>
      </c>
      <c r="F196" s="161" t="str">
        <f t="shared" si="67"/>
        <v>001</v>
      </c>
      <c r="G196" s="385">
        <v>101</v>
      </c>
      <c r="H196" s="161" t="str">
        <f t="shared" si="68"/>
        <v>011</v>
      </c>
      <c r="I196" s="161" t="str">
        <f t="shared" si="69"/>
        <v>001-011</v>
      </c>
      <c r="J196" s="162" t="s">
        <v>491</v>
      </c>
      <c r="K196" s="161" t="s">
        <v>170</v>
      </c>
      <c r="L196" s="418">
        <v>42793</v>
      </c>
      <c r="M196" s="420">
        <v>-7783</v>
      </c>
      <c r="N196" s="157">
        <f t="shared" si="70"/>
        <v>101</v>
      </c>
      <c r="O196" s="156">
        <f t="shared" si="65"/>
        <v>35010</v>
      </c>
      <c r="Q196" s="156"/>
    </row>
    <row r="197" spans="1:17" ht="12.75" hidden="1" customHeight="1">
      <c r="A197" s="161" t="str">
        <f t="shared" si="66"/>
        <v>19Disability Accommodations</v>
      </c>
      <c r="B197" s="161">
        <f t="shared" si="64"/>
        <v>1</v>
      </c>
      <c r="C197" s="163">
        <v>19</v>
      </c>
      <c r="D197" s="163" t="b">
        <v>1</v>
      </c>
      <c r="E197" s="161" t="s">
        <v>32</v>
      </c>
      <c r="F197" s="161" t="str">
        <f t="shared" si="67"/>
        <v>001</v>
      </c>
      <c r="G197" s="385">
        <v>101</v>
      </c>
      <c r="H197" s="161" t="str">
        <f t="shared" si="68"/>
        <v>011</v>
      </c>
      <c r="I197" s="161" t="str">
        <f t="shared" si="69"/>
        <v>001-011</v>
      </c>
      <c r="J197" s="162" t="s">
        <v>491</v>
      </c>
      <c r="K197" s="161" t="s">
        <v>170</v>
      </c>
      <c r="L197" s="418">
        <v>69260</v>
      </c>
      <c r="M197" s="420">
        <v>-12143</v>
      </c>
      <c r="N197" s="157">
        <f t="shared" si="70"/>
        <v>101</v>
      </c>
      <c r="O197" s="156">
        <f t="shared" si="65"/>
        <v>57117</v>
      </c>
      <c r="Q197" s="156"/>
    </row>
    <row r="198" spans="1:17" ht="12.75" hidden="1" customHeight="1">
      <c r="A198" s="161" t="str">
        <f t="shared" si="66"/>
        <v>23Disability Accommodations</v>
      </c>
      <c r="B198" s="161">
        <f t="shared" si="64"/>
        <v>1</v>
      </c>
      <c r="C198" s="163">
        <v>23</v>
      </c>
      <c r="D198" s="163" t="b">
        <v>1</v>
      </c>
      <c r="E198" s="161" t="s">
        <v>36</v>
      </c>
      <c r="F198" s="161" t="str">
        <f t="shared" si="67"/>
        <v>001</v>
      </c>
      <c r="G198" s="385">
        <v>101</v>
      </c>
      <c r="H198" s="161" t="str">
        <f t="shared" si="68"/>
        <v>011</v>
      </c>
      <c r="I198" s="161" t="str">
        <f t="shared" si="69"/>
        <v>001-011</v>
      </c>
      <c r="J198" s="162" t="s">
        <v>491</v>
      </c>
      <c r="K198" s="161" t="s">
        <v>170</v>
      </c>
      <c r="L198" s="418">
        <v>106712</v>
      </c>
      <c r="M198" s="420">
        <v>-22610</v>
      </c>
      <c r="N198" s="157">
        <f t="shared" si="70"/>
        <v>101</v>
      </c>
      <c r="O198" s="156">
        <f t="shared" si="65"/>
        <v>84102</v>
      </c>
      <c r="Q198" s="156"/>
    </row>
    <row r="199" spans="1:17" ht="12.75" hidden="1" customHeight="1">
      <c r="A199" s="161" t="str">
        <f t="shared" si="66"/>
        <v>5Disability Accommodations</v>
      </c>
      <c r="B199" s="161">
        <f t="shared" si="64"/>
        <v>1</v>
      </c>
      <c r="C199" s="163">
        <v>5</v>
      </c>
      <c r="D199" s="163" t="b">
        <v>1</v>
      </c>
      <c r="E199" s="161" t="s">
        <v>18</v>
      </c>
      <c r="F199" s="161" t="str">
        <f t="shared" si="67"/>
        <v>001</v>
      </c>
      <c r="G199" s="385">
        <v>101</v>
      </c>
      <c r="H199" s="161" t="str">
        <f t="shared" si="68"/>
        <v>011</v>
      </c>
      <c r="I199" s="161" t="str">
        <f t="shared" si="69"/>
        <v>001-011</v>
      </c>
      <c r="J199" s="162" t="s">
        <v>491</v>
      </c>
      <c r="K199" s="161" t="s">
        <v>170</v>
      </c>
      <c r="L199" s="418">
        <v>55628</v>
      </c>
      <c r="M199" s="420">
        <v>-5356</v>
      </c>
      <c r="N199" s="157">
        <f t="shared" si="70"/>
        <v>101</v>
      </c>
      <c r="O199" s="156">
        <f t="shared" si="65"/>
        <v>50272</v>
      </c>
      <c r="Q199" s="156"/>
    </row>
    <row r="200" spans="1:17" ht="12.75" hidden="1" customHeight="1">
      <c r="A200" s="161" t="str">
        <f t="shared" si="66"/>
        <v>2Disability Accommodations</v>
      </c>
      <c r="B200" s="161">
        <f t="shared" si="64"/>
        <v>1</v>
      </c>
      <c r="C200" s="163">
        <v>2</v>
      </c>
      <c r="D200" s="163" t="b">
        <v>1</v>
      </c>
      <c r="E200" s="161" t="s">
        <v>15</v>
      </c>
      <c r="F200" s="161" t="str">
        <f t="shared" si="67"/>
        <v>001</v>
      </c>
      <c r="G200" s="385">
        <v>101</v>
      </c>
      <c r="H200" s="161" t="str">
        <f t="shared" si="68"/>
        <v>011</v>
      </c>
      <c r="I200" s="161" t="str">
        <f t="shared" si="69"/>
        <v>001-011</v>
      </c>
      <c r="J200" s="162" t="s">
        <v>491</v>
      </c>
      <c r="K200" s="161" t="s">
        <v>170</v>
      </c>
      <c r="L200" s="418">
        <v>32173</v>
      </c>
      <c r="M200" s="420">
        <v>-8178</v>
      </c>
      <c r="N200" s="157">
        <f t="shared" si="70"/>
        <v>101</v>
      </c>
      <c r="O200" s="156">
        <f t="shared" si="65"/>
        <v>23995</v>
      </c>
      <c r="Q200" s="156"/>
    </row>
    <row r="201" spans="1:17" ht="12.75" hidden="1" customHeight="1">
      <c r="A201" s="161" t="str">
        <f t="shared" si="66"/>
        <v>10Disability Accommodations</v>
      </c>
      <c r="B201" s="161">
        <f t="shared" si="64"/>
        <v>1</v>
      </c>
      <c r="C201" s="163">
        <v>10</v>
      </c>
      <c r="D201" s="163" t="b">
        <v>1</v>
      </c>
      <c r="E201" s="161" t="s">
        <v>23</v>
      </c>
      <c r="F201" s="161" t="str">
        <f t="shared" si="67"/>
        <v>001</v>
      </c>
      <c r="G201" s="385">
        <v>101</v>
      </c>
      <c r="H201" s="161" t="str">
        <f t="shared" si="68"/>
        <v>011</v>
      </c>
      <c r="I201" s="161" t="str">
        <f t="shared" si="69"/>
        <v>001-011</v>
      </c>
      <c r="J201" s="162" t="s">
        <v>491</v>
      </c>
      <c r="K201" s="161" t="s">
        <v>170</v>
      </c>
      <c r="L201" s="418">
        <v>59632</v>
      </c>
      <c r="M201" s="420">
        <v>-1335</v>
      </c>
      <c r="N201" s="157">
        <f t="shared" si="70"/>
        <v>101</v>
      </c>
      <c r="O201" s="156">
        <f t="shared" si="65"/>
        <v>58297</v>
      </c>
      <c r="Q201" s="156"/>
    </row>
    <row r="202" spans="1:17" ht="12.75" hidden="1" customHeight="1">
      <c r="A202" s="161" t="str">
        <f t="shared" si="66"/>
        <v>9Disability Accommodations</v>
      </c>
      <c r="B202" s="161">
        <f t="shared" si="64"/>
        <v>1</v>
      </c>
      <c r="C202" s="163">
        <v>9</v>
      </c>
      <c r="D202" s="163" t="b">
        <v>1</v>
      </c>
      <c r="E202" s="161" t="s">
        <v>22</v>
      </c>
      <c r="F202" s="161" t="str">
        <f t="shared" si="67"/>
        <v>001</v>
      </c>
      <c r="G202" s="385">
        <v>101</v>
      </c>
      <c r="H202" s="161" t="str">
        <f t="shared" si="68"/>
        <v>011</v>
      </c>
      <c r="I202" s="161" t="str">
        <f t="shared" si="69"/>
        <v>001-011</v>
      </c>
      <c r="J202" s="162" t="s">
        <v>491</v>
      </c>
      <c r="K202" s="161" t="s">
        <v>170</v>
      </c>
      <c r="L202" s="418">
        <v>46421</v>
      </c>
      <c r="M202" s="420">
        <v>9595</v>
      </c>
      <c r="N202" s="157">
        <f t="shared" si="70"/>
        <v>101</v>
      </c>
      <c r="O202" s="156">
        <f t="shared" si="65"/>
        <v>56016</v>
      </c>
      <c r="Q202" s="156"/>
    </row>
    <row r="203" spans="1:17" ht="12.75" hidden="1" customHeight="1">
      <c r="A203" s="161" t="str">
        <f t="shared" si="66"/>
        <v>26Disability Accommodations</v>
      </c>
      <c r="B203" s="161">
        <f t="shared" si="64"/>
        <v>1</v>
      </c>
      <c r="C203" s="163">
        <v>26</v>
      </c>
      <c r="D203" s="163" t="b">
        <v>1</v>
      </c>
      <c r="E203" s="161" t="s">
        <v>39</v>
      </c>
      <c r="F203" s="161" t="str">
        <f t="shared" si="67"/>
        <v>001</v>
      </c>
      <c r="G203" s="385">
        <v>101</v>
      </c>
      <c r="H203" s="161" t="str">
        <f t="shared" si="68"/>
        <v>011</v>
      </c>
      <c r="I203" s="161" t="str">
        <f t="shared" si="69"/>
        <v>001-011</v>
      </c>
      <c r="J203" s="162" t="s">
        <v>491</v>
      </c>
      <c r="K203" s="161" t="s">
        <v>170</v>
      </c>
      <c r="L203" s="418">
        <v>37809</v>
      </c>
      <c r="M203" s="420">
        <v>4596</v>
      </c>
      <c r="N203" s="157">
        <f t="shared" si="70"/>
        <v>101</v>
      </c>
      <c r="O203" s="156">
        <f t="shared" si="65"/>
        <v>42405</v>
      </c>
      <c r="Q203" s="156"/>
    </row>
    <row r="204" spans="1:17" ht="12.75" hidden="1" customHeight="1">
      <c r="A204" s="161" t="str">
        <f t="shared" si="66"/>
        <v>13Disability Accommodations</v>
      </c>
      <c r="B204" s="161">
        <f t="shared" si="64"/>
        <v>1</v>
      </c>
      <c r="C204" s="163">
        <v>13</v>
      </c>
      <c r="D204" s="163" t="b">
        <v>1</v>
      </c>
      <c r="E204" s="161" t="s">
        <v>26</v>
      </c>
      <c r="F204" s="161" t="str">
        <f t="shared" si="67"/>
        <v>001</v>
      </c>
      <c r="G204" s="385">
        <v>101</v>
      </c>
      <c r="H204" s="161" t="str">
        <f t="shared" si="68"/>
        <v>011</v>
      </c>
      <c r="I204" s="161" t="str">
        <f t="shared" si="69"/>
        <v>001-011</v>
      </c>
      <c r="J204" s="162" t="s">
        <v>491</v>
      </c>
      <c r="K204" s="161" t="s">
        <v>170</v>
      </c>
      <c r="L204" s="418">
        <v>26953</v>
      </c>
      <c r="M204" s="420">
        <v>19700</v>
      </c>
      <c r="N204" s="157">
        <f t="shared" si="70"/>
        <v>101</v>
      </c>
      <c r="O204" s="156">
        <f t="shared" si="65"/>
        <v>46653</v>
      </c>
      <c r="Q204" s="156"/>
    </row>
    <row r="205" spans="1:17" ht="12.75" hidden="1" customHeight="1">
      <c r="A205" s="161" t="str">
        <f t="shared" si="66"/>
        <v>3Disability Accommodations</v>
      </c>
      <c r="B205" s="161">
        <f t="shared" si="64"/>
        <v>1</v>
      </c>
      <c r="C205" s="163">
        <v>3</v>
      </c>
      <c r="D205" s="163" t="b">
        <v>1</v>
      </c>
      <c r="E205" s="161" t="s">
        <v>16</v>
      </c>
      <c r="F205" s="161" t="str">
        <f t="shared" si="67"/>
        <v>001</v>
      </c>
      <c r="G205" s="385">
        <v>101</v>
      </c>
      <c r="H205" s="161" t="str">
        <f t="shared" si="68"/>
        <v>011</v>
      </c>
      <c r="I205" s="161" t="str">
        <f t="shared" si="69"/>
        <v>001-011</v>
      </c>
      <c r="J205" s="162" t="s">
        <v>491</v>
      </c>
      <c r="K205" s="161" t="s">
        <v>170</v>
      </c>
      <c r="L205" s="418">
        <v>60698</v>
      </c>
      <c r="M205" s="420">
        <v>28046</v>
      </c>
      <c r="N205" s="157">
        <f t="shared" si="70"/>
        <v>101</v>
      </c>
      <c r="O205" s="156">
        <f t="shared" si="65"/>
        <v>88744</v>
      </c>
      <c r="Q205" s="156"/>
    </row>
    <row r="206" spans="1:17" ht="12.75" hidden="1" customHeight="1">
      <c r="A206" s="161" t="str">
        <f t="shared" si="66"/>
        <v>1Disability Accommodations</v>
      </c>
      <c r="B206" s="161">
        <f t="shared" si="64"/>
        <v>1</v>
      </c>
      <c r="C206" s="163">
        <v>1</v>
      </c>
      <c r="D206" s="163" t="b">
        <v>1</v>
      </c>
      <c r="E206" s="161" t="s">
        <v>14</v>
      </c>
      <c r="F206" s="161" t="str">
        <f t="shared" si="67"/>
        <v>001</v>
      </c>
      <c r="G206" s="385">
        <v>101</v>
      </c>
      <c r="H206" s="161" t="str">
        <f t="shared" si="68"/>
        <v>011</v>
      </c>
      <c r="I206" s="161" t="str">
        <f t="shared" si="69"/>
        <v>001-011</v>
      </c>
      <c r="J206" s="162" t="s">
        <v>491</v>
      </c>
      <c r="K206" s="161" t="s">
        <v>170</v>
      </c>
      <c r="L206" s="418">
        <v>41616</v>
      </c>
      <c r="M206" s="420">
        <v>-15024</v>
      </c>
      <c r="N206" s="157">
        <f t="shared" si="70"/>
        <v>101</v>
      </c>
      <c r="O206" s="156">
        <f t="shared" si="65"/>
        <v>26592</v>
      </c>
      <c r="Q206" s="156"/>
    </row>
    <row r="207" spans="1:17" ht="12.75" hidden="1" customHeight="1">
      <c r="A207" s="161" t="str">
        <f t="shared" si="66"/>
        <v>11Disability Accommodations</v>
      </c>
      <c r="B207" s="161">
        <f t="shared" si="64"/>
        <v>1</v>
      </c>
      <c r="C207" s="163">
        <v>11</v>
      </c>
      <c r="D207" s="163" t="b">
        <v>1</v>
      </c>
      <c r="E207" s="161" t="s">
        <v>24</v>
      </c>
      <c r="F207" s="161" t="str">
        <f t="shared" si="67"/>
        <v>001</v>
      </c>
      <c r="G207" s="385">
        <v>101</v>
      </c>
      <c r="H207" s="161" t="str">
        <f t="shared" si="68"/>
        <v>011</v>
      </c>
      <c r="I207" s="161" t="str">
        <f t="shared" si="69"/>
        <v>001-011</v>
      </c>
      <c r="J207" s="162" t="s">
        <v>491</v>
      </c>
      <c r="K207" s="161" t="s">
        <v>170</v>
      </c>
      <c r="L207" s="418">
        <v>86872</v>
      </c>
      <c r="M207" s="420">
        <v>613</v>
      </c>
      <c r="N207" s="157">
        <f t="shared" si="70"/>
        <v>101</v>
      </c>
      <c r="O207" s="156">
        <f t="shared" si="65"/>
        <v>87485</v>
      </c>
      <c r="Q207" s="156"/>
    </row>
    <row r="208" spans="1:17" ht="12.75" hidden="1" customHeight="1">
      <c r="A208" s="161" t="str">
        <f t="shared" si="66"/>
        <v>27Disability Accommodations</v>
      </c>
      <c r="B208" s="161">
        <f t="shared" si="64"/>
        <v>1</v>
      </c>
      <c r="C208" s="163">
        <v>27</v>
      </c>
      <c r="D208" s="163" t="b">
        <v>1</v>
      </c>
      <c r="E208" s="161" t="s">
        <v>40</v>
      </c>
      <c r="F208" s="161" t="str">
        <f t="shared" si="67"/>
        <v>001</v>
      </c>
      <c r="G208" s="385">
        <v>101</v>
      </c>
      <c r="H208" s="161" t="str">
        <f t="shared" si="68"/>
        <v>011</v>
      </c>
      <c r="I208" s="161" t="str">
        <f t="shared" si="69"/>
        <v>001-011</v>
      </c>
      <c r="J208" s="162" t="s">
        <v>491</v>
      </c>
      <c r="K208" s="161" t="s">
        <v>170</v>
      </c>
      <c r="L208" s="418">
        <v>34964</v>
      </c>
      <c r="M208" s="420">
        <v>-7507</v>
      </c>
      <c r="N208" s="157">
        <f t="shared" si="70"/>
        <v>101</v>
      </c>
      <c r="O208" s="156">
        <f t="shared" si="65"/>
        <v>27457</v>
      </c>
      <c r="Q208" s="156"/>
    </row>
    <row r="209" spans="1:29" ht="12.75" hidden="1" customHeight="1">
      <c r="A209" s="161" t="str">
        <f t="shared" si="66"/>
        <v>6Disability Accommodations</v>
      </c>
      <c r="B209" s="161">
        <f t="shared" si="64"/>
        <v>1</v>
      </c>
      <c r="C209" s="163">
        <v>6</v>
      </c>
      <c r="D209" s="163" t="b">
        <v>1</v>
      </c>
      <c r="E209" s="161" t="s">
        <v>19</v>
      </c>
      <c r="F209" s="161" t="str">
        <f t="shared" si="67"/>
        <v>001</v>
      </c>
      <c r="G209" s="385">
        <v>101</v>
      </c>
      <c r="H209" s="161" t="str">
        <f t="shared" si="68"/>
        <v>011</v>
      </c>
      <c r="I209" s="161" t="str">
        <f t="shared" si="69"/>
        <v>001-011</v>
      </c>
      <c r="J209" s="162" t="s">
        <v>491</v>
      </c>
      <c r="K209" s="161" t="s">
        <v>170</v>
      </c>
      <c r="L209" s="418">
        <v>132329</v>
      </c>
      <c r="M209" s="420">
        <v>-23524</v>
      </c>
      <c r="N209" s="157">
        <f t="shared" si="70"/>
        <v>101</v>
      </c>
      <c r="O209" s="156">
        <f t="shared" si="65"/>
        <v>108805</v>
      </c>
      <c r="Q209" s="156"/>
    </row>
    <row r="210" spans="1:29" ht="12.75" hidden="1" customHeight="1">
      <c r="A210" s="161" t="str">
        <f t="shared" si="66"/>
        <v>7Disability Accommodations</v>
      </c>
      <c r="B210" s="161">
        <f t="shared" si="64"/>
        <v>1</v>
      </c>
      <c r="C210" s="163">
        <v>7</v>
      </c>
      <c r="D210" s="163" t="b">
        <v>1</v>
      </c>
      <c r="E210" s="161" t="s">
        <v>20</v>
      </c>
      <c r="F210" s="161" t="str">
        <f t="shared" si="67"/>
        <v>001</v>
      </c>
      <c r="G210" s="385">
        <v>101</v>
      </c>
      <c r="H210" s="161" t="str">
        <f t="shared" si="68"/>
        <v>011</v>
      </c>
      <c r="I210" s="161" t="str">
        <f t="shared" si="69"/>
        <v>001-011</v>
      </c>
      <c r="J210" s="162" t="s">
        <v>491</v>
      </c>
      <c r="K210" s="161" t="s">
        <v>170</v>
      </c>
      <c r="L210" s="418">
        <v>67740</v>
      </c>
      <c r="M210" s="420">
        <v>-7004</v>
      </c>
      <c r="N210" s="157">
        <f t="shared" si="70"/>
        <v>101</v>
      </c>
      <c r="O210" s="156">
        <f t="shared" si="65"/>
        <v>60736</v>
      </c>
      <c r="Q210" s="156"/>
    </row>
    <row r="211" spans="1:29" ht="12.75" hidden="1" customHeight="1">
      <c r="A211" s="161" t="str">
        <f t="shared" si="66"/>
        <v>4Disability Accommodations</v>
      </c>
      <c r="B211" s="161">
        <f t="shared" si="64"/>
        <v>1</v>
      </c>
      <c r="C211" s="163">
        <v>4</v>
      </c>
      <c r="D211" s="163" t="b">
        <v>1</v>
      </c>
      <c r="E211" s="161" t="s">
        <v>17</v>
      </c>
      <c r="F211" s="161" t="str">
        <f t="shared" si="67"/>
        <v>001</v>
      </c>
      <c r="G211" s="385">
        <v>101</v>
      </c>
      <c r="H211" s="161" t="str">
        <f t="shared" si="68"/>
        <v>011</v>
      </c>
      <c r="I211" s="161" t="str">
        <f t="shared" si="69"/>
        <v>001-011</v>
      </c>
      <c r="J211" s="162" t="s">
        <v>491</v>
      </c>
      <c r="K211" s="161" t="s">
        <v>170</v>
      </c>
      <c r="L211" s="418">
        <v>47968</v>
      </c>
      <c r="M211" s="420">
        <v>5766</v>
      </c>
      <c r="N211" s="157">
        <f t="shared" si="70"/>
        <v>101</v>
      </c>
      <c r="O211" s="156">
        <f t="shared" si="65"/>
        <v>53734</v>
      </c>
      <c r="Q211" s="156"/>
    </row>
    <row r="212" spans="1:29" ht="12.75" hidden="1" customHeight="1">
      <c r="A212" s="161" t="str">
        <f t="shared" si="66"/>
        <v>24Disability Accommodations</v>
      </c>
      <c r="B212" s="161">
        <f t="shared" si="64"/>
        <v>1</v>
      </c>
      <c r="C212" s="163">
        <v>24</v>
      </c>
      <c r="D212" s="163" t="b">
        <v>1</v>
      </c>
      <c r="E212" s="161" t="s">
        <v>37</v>
      </c>
      <c r="F212" s="161" t="str">
        <f t="shared" si="67"/>
        <v>001</v>
      </c>
      <c r="G212" s="385">
        <v>101</v>
      </c>
      <c r="H212" s="161" t="str">
        <f t="shared" si="68"/>
        <v>011</v>
      </c>
      <c r="I212" s="161" t="str">
        <f t="shared" si="69"/>
        <v>001-011</v>
      </c>
      <c r="J212" s="162" t="s">
        <v>491</v>
      </c>
      <c r="K212" s="161" t="s">
        <v>170</v>
      </c>
      <c r="L212" s="418">
        <v>45374</v>
      </c>
      <c r="M212" s="420">
        <v>-25627</v>
      </c>
      <c r="N212" s="157">
        <f t="shared" si="70"/>
        <v>101</v>
      </c>
      <c r="O212" s="156">
        <f t="shared" si="65"/>
        <v>19747</v>
      </c>
      <c r="Q212" s="420">
        <v>-57961.651782889683</v>
      </c>
      <c r="R212" s="420">
        <f>ROUND(Q212,0)</f>
        <v>-57962</v>
      </c>
      <c r="AA212" s="373">
        <v>-73539</v>
      </c>
      <c r="AB212" s="374">
        <v>15577.348217110319</v>
      </c>
      <c r="AC212" s="366">
        <f>SUM(AA212:AB212)</f>
        <v>-57961.651782889683</v>
      </c>
    </row>
    <row r="213" spans="1:29" ht="12.75" hidden="1" customHeight="1">
      <c r="A213" s="161" t="str">
        <f t="shared" si="66"/>
        <v>17Disability Accommodations</v>
      </c>
      <c r="B213" s="161">
        <f t="shared" si="64"/>
        <v>1</v>
      </c>
      <c r="C213" s="163">
        <v>17</v>
      </c>
      <c r="D213" s="163" t="b">
        <v>1</v>
      </c>
      <c r="E213" s="161" t="s">
        <v>30</v>
      </c>
      <c r="F213" s="161" t="str">
        <f t="shared" si="67"/>
        <v>001</v>
      </c>
      <c r="G213" s="385">
        <v>101</v>
      </c>
      <c r="H213" s="161" t="str">
        <f t="shared" si="68"/>
        <v>011</v>
      </c>
      <c r="I213" s="161" t="str">
        <f t="shared" si="69"/>
        <v>001-011</v>
      </c>
      <c r="J213" s="162" t="s">
        <v>491</v>
      </c>
      <c r="K213" s="161" t="s">
        <v>170</v>
      </c>
      <c r="L213" s="418">
        <v>164252</v>
      </c>
      <c r="M213" s="420">
        <v>55562</v>
      </c>
      <c r="N213" s="157">
        <f t="shared" si="70"/>
        <v>101</v>
      </c>
      <c r="O213" s="156">
        <f t="shared" si="65"/>
        <v>219814</v>
      </c>
      <c r="Q213" s="420">
        <v>49963.989695846714</v>
      </c>
      <c r="R213" s="420">
        <f t="shared" ref="R213:R241" si="71">ROUND(Q213,0)</f>
        <v>49964</v>
      </c>
      <c r="AA213" s="373">
        <v>-73160</v>
      </c>
      <c r="AB213" s="374">
        <v>123123.98969584671</v>
      </c>
      <c r="AC213" s="366">
        <f t="shared" ref="AC213:AC241" si="72">SUM(AA213:AB213)</f>
        <v>49963.989695846714</v>
      </c>
    </row>
    <row r="214" spans="1:29" ht="12.75" hidden="1" customHeight="1">
      <c r="A214" s="161" t="str">
        <f t="shared" si="66"/>
        <v>22Disability Accommodations</v>
      </c>
      <c r="B214" s="161">
        <f t="shared" si="64"/>
        <v>1</v>
      </c>
      <c r="C214" s="163">
        <v>22</v>
      </c>
      <c r="D214" s="163" t="b">
        <v>1</v>
      </c>
      <c r="E214" s="161" t="s">
        <v>35</v>
      </c>
      <c r="F214" s="161" t="str">
        <f t="shared" si="67"/>
        <v>001</v>
      </c>
      <c r="G214" s="385">
        <v>101</v>
      </c>
      <c r="H214" s="161" t="str">
        <f t="shared" si="68"/>
        <v>011</v>
      </c>
      <c r="I214" s="161" t="str">
        <f t="shared" si="69"/>
        <v>001-011</v>
      </c>
      <c r="J214" s="162" t="s">
        <v>491</v>
      </c>
      <c r="K214" s="161" t="s">
        <v>170</v>
      </c>
      <c r="L214" s="418">
        <v>55422</v>
      </c>
      <c r="M214" s="420">
        <v>24982</v>
      </c>
      <c r="N214" s="157">
        <f t="shared" si="70"/>
        <v>101</v>
      </c>
      <c r="O214" s="156">
        <f t="shared" si="65"/>
        <v>80404</v>
      </c>
      <c r="Q214" s="420">
        <v>-883.13951281239861</v>
      </c>
      <c r="R214" s="420">
        <f t="shared" si="71"/>
        <v>-883</v>
      </c>
      <c r="AA214" s="373">
        <v>-41636</v>
      </c>
      <c r="AB214" s="374">
        <v>40752.860487187601</v>
      </c>
      <c r="AC214" s="366">
        <f t="shared" si="72"/>
        <v>-883.13951281239861</v>
      </c>
    </row>
    <row r="215" spans="1:29" ht="12.75" hidden="1" customHeight="1">
      <c r="A215" s="161" t="str">
        <f t="shared" si="66"/>
        <v>20Disability Accommodations</v>
      </c>
      <c r="B215" s="161">
        <f t="shared" si="64"/>
        <v>1</v>
      </c>
      <c r="C215" s="163">
        <v>20</v>
      </c>
      <c r="D215" s="163" t="b">
        <v>1</v>
      </c>
      <c r="E215" s="161" t="s">
        <v>33</v>
      </c>
      <c r="F215" s="161" t="str">
        <f t="shared" si="67"/>
        <v>001</v>
      </c>
      <c r="G215" s="385">
        <v>101</v>
      </c>
      <c r="H215" s="161" t="str">
        <f t="shared" si="68"/>
        <v>011</v>
      </c>
      <c r="I215" s="161" t="str">
        <f t="shared" si="69"/>
        <v>001-011</v>
      </c>
      <c r="J215" s="162" t="s">
        <v>491</v>
      </c>
      <c r="K215" s="161" t="s">
        <v>170</v>
      </c>
      <c r="L215" s="418">
        <v>40510</v>
      </c>
      <c r="M215" s="420">
        <v>-7231</v>
      </c>
      <c r="N215" s="157">
        <f t="shared" si="70"/>
        <v>101</v>
      </c>
      <c r="O215" s="156">
        <f t="shared" si="65"/>
        <v>33279</v>
      </c>
      <c r="Q215" s="420">
        <v>-5087.0389569304461</v>
      </c>
      <c r="R215" s="420">
        <f t="shared" si="71"/>
        <v>-5087</v>
      </c>
      <c r="AA215" s="373">
        <v>-27745</v>
      </c>
      <c r="AB215" s="374">
        <v>22657.961043069554</v>
      </c>
      <c r="AC215" s="366">
        <f t="shared" si="72"/>
        <v>-5087.0389569304461</v>
      </c>
    </row>
    <row r="216" spans="1:29" ht="12.75" hidden="1" customHeight="1">
      <c r="A216" s="161" t="str">
        <f t="shared" si="66"/>
        <v>15Disability Accommodations</v>
      </c>
      <c r="B216" s="161">
        <f t="shared" si="64"/>
        <v>1</v>
      </c>
      <c r="C216" s="163">
        <v>15</v>
      </c>
      <c r="D216" s="163" t="b">
        <v>1</v>
      </c>
      <c r="E216" s="161" t="s">
        <v>28</v>
      </c>
      <c r="F216" s="161" t="str">
        <f t="shared" si="67"/>
        <v>001</v>
      </c>
      <c r="G216" s="385">
        <v>101</v>
      </c>
      <c r="H216" s="161" t="str">
        <f t="shared" si="68"/>
        <v>011</v>
      </c>
      <c r="I216" s="161" t="str">
        <f t="shared" si="69"/>
        <v>001-011</v>
      </c>
      <c r="J216" s="162" t="s">
        <v>491</v>
      </c>
      <c r="K216" s="161" t="s">
        <v>170</v>
      </c>
      <c r="L216" s="418">
        <v>48834</v>
      </c>
      <c r="M216" s="420">
        <v>-3990</v>
      </c>
      <c r="N216" s="157">
        <f t="shared" si="70"/>
        <v>101</v>
      </c>
      <c r="O216" s="156">
        <f t="shared" si="65"/>
        <v>44844</v>
      </c>
      <c r="Q216" s="420">
        <v>-3950.0185293984723</v>
      </c>
      <c r="R216" s="420">
        <f t="shared" si="71"/>
        <v>-3950</v>
      </c>
      <c r="AA216" s="373">
        <v>-26844</v>
      </c>
      <c r="AB216" s="374">
        <v>22893.981470601528</v>
      </c>
      <c r="AC216" s="366">
        <f t="shared" si="72"/>
        <v>-3950.0185293984723</v>
      </c>
    </row>
    <row r="217" spans="1:29" ht="12.75" hidden="1" customHeight="1">
      <c r="A217" s="161" t="str">
        <f t="shared" si="66"/>
        <v>21Disability Accommodations</v>
      </c>
      <c r="B217" s="161">
        <f t="shared" si="64"/>
        <v>1</v>
      </c>
      <c r="C217" s="163">
        <v>21</v>
      </c>
      <c r="D217" s="163" t="b">
        <v>1</v>
      </c>
      <c r="E217" s="161" t="s">
        <v>34</v>
      </c>
      <c r="F217" s="161" t="str">
        <f t="shared" si="67"/>
        <v>001</v>
      </c>
      <c r="G217" s="385">
        <v>101</v>
      </c>
      <c r="H217" s="161" t="str">
        <f t="shared" si="68"/>
        <v>011</v>
      </c>
      <c r="I217" s="161" t="str">
        <f t="shared" si="69"/>
        <v>001-011</v>
      </c>
      <c r="J217" s="162" t="s">
        <v>491</v>
      </c>
      <c r="K217" s="161" t="s">
        <v>170</v>
      </c>
      <c r="L217" s="418">
        <v>41919</v>
      </c>
      <c r="M217" s="420">
        <v>11972</v>
      </c>
      <c r="N217" s="157">
        <f t="shared" si="70"/>
        <v>101</v>
      </c>
      <c r="O217" s="156">
        <f t="shared" si="65"/>
        <v>53891</v>
      </c>
      <c r="Q217" s="420">
        <v>-5693.2218556514672</v>
      </c>
      <c r="R217" s="420">
        <f t="shared" si="71"/>
        <v>-5693</v>
      </c>
      <c r="AA217" s="373">
        <v>-37792</v>
      </c>
      <c r="AB217" s="374">
        <v>32098.778144348533</v>
      </c>
      <c r="AC217" s="366">
        <f t="shared" si="72"/>
        <v>-5693.2218556514672</v>
      </c>
    </row>
    <row r="218" spans="1:29" ht="12.75" hidden="1" customHeight="1">
      <c r="A218" s="161" t="str">
        <f t="shared" si="66"/>
        <v>16Disability Accommodations</v>
      </c>
      <c r="B218" s="161">
        <f t="shared" ref="B218:B281" si="73">B217</f>
        <v>1</v>
      </c>
      <c r="C218" s="163">
        <v>16</v>
      </c>
      <c r="D218" s="163" t="b">
        <v>1</v>
      </c>
      <c r="E218" s="161" t="s">
        <v>29</v>
      </c>
      <c r="F218" s="161" t="str">
        <f t="shared" si="67"/>
        <v>001</v>
      </c>
      <c r="G218" s="385">
        <v>101</v>
      </c>
      <c r="H218" s="161" t="str">
        <f t="shared" si="68"/>
        <v>011</v>
      </c>
      <c r="I218" s="161" t="str">
        <f t="shared" si="69"/>
        <v>001-011</v>
      </c>
      <c r="J218" s="162" t="s">
        <v>491</v>
      </c>
      <c r="K218" s="161" t="s">
        <v>170</v>
      </c>
      <c r="L218" s="418">
        <v>47126</v>
      </c>
      <c r="M218" s="420">
        <v>-24153</v>
      </c>
      <c r="N218" s="157">
        <f t="shared" si="70"/>
        <v>101</v>
      </c>
      <c r="O218" s="156">
        <f t="shared" si="65"/>
        <v>22973</v>
      </c>
      <c r="Q218" s="420">
        <v>34244.436887061049</v>
      </c>
      <c r="R218" s="420">
        <f t="shared" si="71"/>
        <v>34244</v>
      </c>
      <c r="AA218" s="373">
        <v>-67087</v>
      </c>
      <c r="AB218" s="374">
        <v>101331.43688706105</v>
      </c>
      <c r="AC218" s="366">
        <f t="shared" si="72"/>
        <v>34244.436887061049</v>
      </c>
    </row>
    <row r="219" spans="1:29" ht="12.75" hidden="1" customHeight="1">
      <c r="A219" s="161" t="str">
        <f t="shared" si="66"/>
        <v>90DOC Compensation</v>
      </c>
      <c r="B219" s="161">
        <f t="shared" si="73"/>
        <v>1</v>
      </c>
      <c r="C219" s="160">
        <v>90</v>
      </c>
      <c r="D219" s="163" t="b">
        <v>1</v>
      </c>
      <c r="E219" s="161" t="s">
        <v>205</v>
      </c>
      <c r="F219" s="161" t="str">
        <f t="shared" si="67"/>
        <v>001</v>
      </c>
      <c r="G219" s="161" t="str">
        <f>IF(RIGHT(J219,3)="012","201",IF(RIGHT(J219,3)="232","123",IF(RIGHT(J219,3)="1E2","215",RIGHT(J219,3))))</f>
        <v>011</v>
      </c>
      <c r="H219" s="161" t="str">
        <f t="shared" si="68"/>
        <v>011</v>
      </c>
      <c r="I219" s="161" t="str">
        <f t="shared" si="69"/>
        <v>001-011</v>
      </c>
      <c r="J219" s="162" t="s">
        <v>491</v>
      </c>
      <c r="K219" s="161" t="s">
        <v>213</v>
      </c>
      <c r="L219" s="418">
        <v>597310</v>
      </c>
      <c r="M219" s="419">
        <v>0</v>
      </c>
      <c r="N219" s="157">
        <f t="shared" si="70"/>
        <v>101</v>
      </c>
      <c r="O219" s="156">
        <f t="shared" si="65"/>
        <v>597310</v>
      </c>
      <c r="Q219" s="420">
        <v>-7783.3032494237777</v>
      </c>
      <c r="R219" s="420">
        <f t="shared" si="71"/>
        <v>-7783</v>
      </c>
      <c r="AA219" s="373">
        <v>-42793</v>
      </c>
      <c r="AB219" s="374">
        <v>35009.696750576222</v>
      </c>
      <c r="AC219" s="366">
        <f t="shared" si="72"/>
        <v>-7783.3032494237777</v>
      </c>
    </row>
    <row r="220" spans="1:29" ht="12.75" hidden="1" customHeight="1">
      <c r="A220" s="161" t="str">
        <f t="shared" si="66"/>
        <v>23Employment Resource Center</v>
      </c>
      <c r="B220" s="161">
        <f t="shared" si="73"/>
        <v>1</v>
      </c>
      <c r="C220" s="163">
        <v>23</v>
      </c>
      <c r="D220" s="163" t="b">
        <v>1</v>
      </c>
      <c r="E220" s="161" t="s">
        <v>36</v>
      </c>
      <c r="F220" s="161" t="str">
        <f t="shared" si="67"/>
        <v>001</v>
      </c>
      <c r="G220" s="385">
        <v>101</v>
      </c>
      <c r="H220" s="161" t="str">
        <f t="shared" si="68"/>
        <v>011</v>
      </c>
      <c r="I220" s="161" t="str">
        <f t="shared" si="69"/>
        <v>001-011</v>
      </c>
      <c r="J220" s="162" t="s">
        <v>491</v>
      </c>
      <c r="K220" s="161" t="s">
        <v>157</v>
      </c>
      <c r="L220" s="418">
        <v>1139716</v>
      </c>
      <c r="M220" s="418">
        <v>0</v>
      </c>
      <c r="N220" s="157">
        <f t="shared" si="70"/>
        <v>101</v>
      </c>
      <c r="O220" s="156">
        <f t="shared" si="65"/>
        <v>1139716</v>
      </c>
      <c r="Q220" s="420">
        <v>-12143.056537262171</v>
      </c>
      <c r="R220" s="420">
        <f t="shared" si="71"/>
        <v>-12143</v>
      </c>
      <c r="AA220" s="373">
        <v>-69260</v>
      </c>
      <c r="AB220" s="374">
        <v>57116.943462737829</v>
      </c>
      <c r="AC220" s="366">
        <f t="shared" si="72"/>
        <v>-12143.056537262171</v>
      </c>
    </row>
    <row r="221" spans="1:29" ht="12.75" hidden="1" customHeight="1">
      <c r="A221" s="161" t="str">
        <f t="shared" si="66"/>
        <v>23Fabrication Wing Training Program</v>
      </c>
      <c r="B221" s="161">
        <f t="shared" si="73"/>
        <v>1</v>
      </c>
      <c r="C221" s="163">
        <v>23</v>
      </c>
      <c r="D221" s="163" t="b">
        <v>1</v>
      </c>
      <c r="E221" s="161" t="s">
        <v>36</v>
      </c>
      <c r="F221" s="161" t="str">
        <f t="shared" si="67"/>
        <v>001</v>
      </c>
      <c r="G221" s="161" t="str">
        <f>IF(RIGHT(J221,3)="012","201",IF(RIGHT(J221,3)="232","123",IF(RIGHT(J221,3)="1E2","215",RIGHT(J221,3))))</f>
        <v>BJ1</v>
      </c>
      <c r="H221" s="161" t="str">
        <f t="shared" si="68"/>
        <v>BJ1</v>
      </c>
      <c r="I221" s="161" t="str">
        <f t="shared" si="69"/>
        <v>001-BJ1</v>
      </c>
      <c r="J221" s="162" t="s">
        <v>468</v>
      </c>
      <c r="K221" s="161" t="s">
        <v>341</v>
      </c>
      <c r="L221" s="418">
        <v>500000</v>
      </c>
      <c r="M221" s="418">
        <v>580000</v>
      </c>
      <c r="N221" s="157" t="str">
        <f t="shared" si="70"/>
        <v>BJ1</v>
      </c>
      <c r="O221" s="156">
        <f t="shared" si="65"/>
        <v>1080000</v>
      </c>
      <c r="Q221" s="420">
        <v>-22610.054322773081</v>
      </c>
      <c r="R221" s="420">
        <f t="shared" si="71"/>
        <v>-22610</v>
      </c>
      <c r="AA221" s="373">
        <v>-106712</v>
      </c>
      <c r="AB221" s="374">
        <v>84101.945677226919</v>
      </c>
      <c r="AC221" s="366">
        <f t="shared" si="72"/>
        <v>-22610.054322773081</v>
      </c>
    </row>
    <row r="222" spans="1:29" ht="12.75" hidden="1" customHeight="1">
      <c r="A222" s="161" t="str">
        <f t="shared" si="66"/>
        <v>00Facilities M&amp;O - FY 2013</v>
      </c>
      <c r="B222" s="161">
        <f t="shared" si="73"/>
        <v>1</v>
      </c>
      <c r="C222" s="160" t="s">
        <v>180</v>
      </c>
      <c r="D222" s="163" t="b">
        <v>1</v>
      </c>
      <c r="E222" s="161" t="s">
        <v>181</v>
      </c>
      <c r="F222" s="161" t="str">
        <f t="shared" si="67"/>
        <v>001</v>
      </c>
      <c r="G222" s="385">
        <v>101</v>
      </c>
      <c r="H222" s="161" t="str">
        <f t="shared" si="68"/>
        <v>011</v>
      </c>
      <c r="I222" s="161" t="str">
        <f t="shared" si="69"/>
        <v>001-011</v>
      </c>
      <c r="J222" s="162" t="s">
        <v>491</v>
      </c>
      <c r="K222" s="161" t="s">
        <v>227</v>
      </c>
      <c r="L222" s="418">
        <v>521966</v>
      </c>
      <c r="M222" s="420">
        <v>-258</v>
      </c>
      <c r="N222" s="157">
        <f t="shared" si="70"/>
        <v>101</v>
      </c>
      <c r="O222" s="156">
        <f t="shared" si="65"/>
        <v>521708</v>
      </c>
      <c r="Q222" s="420">
        <v>-5355.6489356894308</v>
      </c>
      <c r="R222" s="420">
        <f t="shared" si="71"/>
        <v>-5356</v>
      </c>
      <c r="AA222" s="373">
        <v>-55628</v>
      </c>
      <c r="AB222" s="374">
        <v>50272.351064310569</v>
      </c>
      <c r="AC222" s="366">
        <f t="shared" si="72"/>
        <v>-5355.6489356894308</v>
      </c>
    </row>
    <row r="223" spans="1:29" ht="12.75" hidden="1" customHeight="1">
      <c r="A223" s="161" t="str">
        <f t="shared" si="66"/>
        <v>00Facilities M&amp;O - FY 2014</v>
      </c>
      <c r="B223" s="161">
        <f t="shared" si="73"/>
        <v>1</v>
      </c>
      <c r="C223" s="160" t="s">
        <v>180</v>
      </c>
      <c r="D223" s="163" t="b">
        <v>1</v>
      </c>
      <c r="E223" s="161" t="s">
        <v>181</v>
      </c>
      <c r="F223" s="161" t="str">
        <f t="shared" si="67"/>
        <v>001</v>
      </c>
      <c r="G223" s="385">
        <v>101</v>
      </c>
      <c r="H223" s="161" t="str">
        <f t="shared" si="68"/>
        <v>011</v>
      </c>
      <c r="I223" s="161" t="str">
        <f t="shared" si="69"/>
        <v>001-011</v>
      </c>
      <c r="J223" s="162" t="s">
        <v>491</v>
      </c>
      <c r="K223" s="161" t="s">
        <v>252</v>
      </c>
      <c r="L223" s="418">
        <v>2329</v>
      </c>
      <c r="M223" s="420">
        <v>-2329</v>
      </c>
      <c r="N223" s="157">
        <f t="shared" si="70"/>
        <v>101</v>
      </c>
      <c r="O223" s="156">
        <f t="shared" si="65"/>
        <v>0</v>
      </c>
      <c r="Q223" s="420">
        <v>-8177.589867582592</v>
      </c>
      <c r="R223" s="420">
        <f t="shared" si="71"/>
        <v>-8178</v>
      </c>
      <c r="AA223" s="373">
        <v>-32173</v>
      </c>
      <c r="AB223" s="374">
        <v>23995.410132417408</v>
      </c>
      <c r="AC223" s="366">
        <f t="shared" si="72"/>
        <v>-8177.589867582592</v>
      </c>
    </row>
    <row r="224" spans="1:29" ht="12.75" hidden="1" customHeight="1">
      <c r="A224" s="161" t="str">
        <f t="shared" si="66"/>
        <v>00Facilities M&amp;O - FY 2015</v>
      </c>
      <c r="B224" s="161">
        <f t="shared" si="73"/>
        <v>1</v>
      </c>
      <c r="C224" s="163" t="s">
        <v>180</v>
      </c>
      <c r="D224" s="163" t="b">
        <v>1</v>
      </c>
      <c r="E224" s="161" t="s">
        <v>181</v>
      </c>
      <c r="F224" s="161" t="str">
        <f t="shared" si="67"/>
        <v>001</v>
      </c>
      <c r="G224" s="385">
        <v>101</v>
      </c>
      <c r="H224" s="161" t="str">
        <f t="shared" si="68"/>
        <v>011</v>
      </c>
      <c r="I224" s="161" t="str">
        <f t="shared" si="69"/>
        <v>001-011</v>
      </c>
      <c r="J224" s="162" t="s">
        <v>491</v>
      </c>
      <c r="K224" s="161" t="s">
        <v>342</v>
      </c>
      <c r="L224" s="418">
        <v>443000</v>
      </c>
      <c r="M224" s="420">
        <v>-43000</v>
      </c>
      <c r="N224" s="157">
        <f t="shared" si="70"/>
        <v>101</v>
      </c>
      <c r="O224" s="156">
        <f t="shared" si="65"/>
        <v>400000</v>
      </c>
      <c r="Q224" s="420">
        <v>-1334.9543996022912</v>
      </c>
      <c r="R224" s="420">
        <f t="shared" si="71"/>
        <v>-1335</v>
      </c>
      <c r="AA224" s="373">
        <v>-59632</v>
      </c>
      <c r="AB224" s="374">
        <v>58297.045600397709</v>
      </c>
      <c r="AC224" s="366">
        <f t="shared" si="72"/>
        <v>-1334.9543996022912</v>
      </c>
    </row>
    <row r="225" spans="1:29" ht="12.75" hidden="1" customHeight="1">
      <c r="A225" s="161" t="str">
        <f t="shared" si="66"/>
        <v>00Facilities M&amp;O - FY 2016</v>
      </c>
      <c r="B225" s="161">
        <f t="shared" si="73"/>
        <v>1</v>
      </c>
      <c r="C225" s="163" t="s">
        <v>180</v>
      </c>
      <c r="D225" s="163" t="b">
        <v>1</v>
      </c>
      <c r="E225" s="161" t="s">
        <v>181</v>
      </c>
      <c r="F225" s="161" t="str">
        <f t="shared" si="67"/>
        <v>001</v>
      </c>
      <c r="G225" s="385">
        <v>101</v>
      </c>
      <c r="H225" s="161" t="str">
        <f t="shared" si="68"/>
        <v>011</v>
      </c>
      <c r="I225" s="161" t="str">
        <f t="shared" si="69"/>
        <v>001-011</v>
      </c>
      <c r="J225" s="162" t="s">
        <v>491</v>
      </c>
      <c r="K225" s="161" t="s">
        <v>440</v>
      </c>
      <c r="L225" s="418">
        <v>0</v>
      </c>
      <c r="M225" s="420">
        <v>216400</v>
      </c>
      <c r="N225" s="157">
        <f t="shared" si="70"/>
        <v>101</v>
      </c>
      <c r="O225" s="156">
        <f t="shared" si="65"/>
        <v>216400</v>
      </c>
      <c r="Q225" s="420">
        <v>9594.5148009219483</v>
      </c>
      <c r="R225" s="420">
        <f t="shared" si="71"/>
        <v>9595</v>
      </c>
      <c r="AA225" s="373">
        <v>-46421</v>
      </c>
      <c r="AB225" s="374">
        <v>56015.514800921948</v>
      </c>
      <c r="AC225" s="366">
        <f t="shared" si="72"/>
        <v>9594.5148009219483</v>
      </c>
    </row>
    <row r="226" spans="1:29" ht="12.75" hidden="1" customHeight="1">
      <c r="A226" s="161" t="str">
        <f t="shared" si="66"/>
        <v>17Facilities M&amp;O - FY 2015</v>
      </c>
      <c r="B226" s="161">
        <f t="shared" si="73"/>
        <v>1</v>
      </c>
      <c r="C226" s="163">
        <v>17</v>
      </c>
      <c r="D226" s="163" t="b">
        <v>1</v>
      </c>
      <c r="E226" s="161" t="s">
        <v>30</v>
      </c>
      <c r="F226" s="161" t="str">
        <f t="shared" si="67"/>
        <v>001</v>
      </c>
      <c r="G226" s="385">
        <v>101</v>
      </c>
      <c r="H226" s="161" t="str">
        <f t="shared" si="68"/>
        <v>011</v>
      </c>
      <c r="I226" s="161" t="str">
        <f t="shared" si="69"/>
        <v>001-011</v>
      </c>
      <c r="J226" s="162" t="s">
        <v>491</v>
      </c>
      <c r="K226" s="161" t="s">
        <v>342</v>
      </c>
      <c r="L226" s="418">
        <v>0</v>
      </c>
      <c r="M226" s="418">
        <v>22400</v>
      </c>
      <c r="N226" s="157">
        <f t="shared" si="70"/>
        <v>101</v>
      </c>
      <c r="O226" s="156">
        <f t="shared" ref="O226:O289" si="74">SUM(L226:M226)</f>
        <v>22400</v>
      </c>
      <c r="Q226" s="420">
        <v>4596.0034799114219</v>
      </c>
      <c r="R226" s="420">
        <f t="shared" si="71"/>
        <v>4596</v>
      </c>
      <c r="AA226" s="373">
        <v>-37809</v>
      </c>
      <c r="AB226" s="374">
        <v>42405.003479911422</v>
      </c>
      <c r="AC226" s="366">
        <f t="shared" si="72"/>
        <v>4596.0034799114219</v>
      </c>
    </row>
    <row r="227" spans="1:29" ht="12.75" hidden="1" customHeight="1">
      <c r="A227" s="161" t="str">
        <f t="shared" si="66"/>
        <v>22Facilities M&amp;O - FY 2015</v>
      </c>
      <c r="B227" s="161">
        <f t="shared" si="73"/>
        <v>1</v>
      </c>
      <c r="C227" s="163">
        <v>22</v>
      </c>
      <c r="D227" s="163" t="b">
        <v>1</v>
      </c>
      <c r="E227" s="161" t="s">
        <v>35</v>
      </c>
      <c r="F227" s="161" t="str">
        <f t="shared" si="67"/>
        <v>001</v>
      </c>
      <c r="G227" s="385">
        <v>101</v>
      </c>
      <c r="H227" s="161" t="str">
        <f t="shared" si="68"/>
        <v>011</v>
      </c>
      <c r="I227" s="161" t="str">
        <f t="shared" si="69"/>
        <v>001-011</v>
      </c>
      <c r="J227" s="162" t="s">
        <v>491</v>
      </c>
      <c r="K227" s="161" t="s">
        <v>342</v>
      </c>
      <c r="L227" s="418">
        <v>0</v>
      </c>
      <c r="M227" s="418">
        <v>36400</v>
      </c>
      <c r="N227" s="157">
        <f t="shared" si="70"/>
        <v>101</v>
      </c>
      <c r="O227" s="156">
        <f t="shared" si="74"/>
        <v>36400</v>
      </c>
      <c r="Q227" s="420">
        <v>19700.371175486966</v>
      </c>
      <c r="R227" s="420">
        <f t="shared" si="71"/>
        <v>19700</v>
      </c>
      <c r="AA227" s="373">
        <v>-26953</v>
      </c>
      <c r="AB227" s="374">
        <v>46653.371175486966</v>
      </c>
      <c r="AC227" s="366">
        <f t="shared" si="72"/>
        <v>19700.371175486966</v>
      </c>
    </row>
    <row r="228" spans="1:29" ht="12.75" hidden="1" customHeight="1">
      <c r="A228" s="161" t="str">
        <f t="shared" si="66"/>
        <v>00Feasibility Study</v>
      </c>
      <c r="B228" s="161">
        <f t="shared" si="73"/>
        <v>1</v>
      </c>
      <c r="C228" s="163" t="s">
        <v>180</v>
      </c>
      <c r="D228" s="163" t="b">
        <v>1</v>
      </c>
      <c r="E228" s="161" t="s">
        <v>181</v>
      </c>
      <c r="F228" s="161" t="str">
        <f t="shared" si="67"/>
        <v>001</v>
      </c>
      <c r="G228" s="161" t="str">
        <f>IF(RIGHT(J228,3)="012","201",IF(RIGHT(J228,3)="232","123",IF(RIGHT(J228,3)="1E2","215",RIGHT(J228,3))))</f>
        <v>BR1</v>
      </c>
      <c r="H228" s="161" t="str">
        <f t="shared" si="68"/>
        <v>BR1</v>
      </c>
      <c r="I228" s="161" t="str">
        <f t="shared" si="69"/>
        <v>001-BR1</v>
      </c>
      <c r="J228" s="162" t="s">
        <v>476</v>
      </c>
      <c r="K228" s="161" t="s">
        <v>446</v>
      </c>
      <c r="L228" s="418">
        <v>150000</v>
      </c>
      <c r="M228" s="420">
        <v>0</v>
      </c>
      <c r="N228" s="157" t="str">
        <f t="shared" si="70"/>
        <v>BR1</v>
      </c>
      <c r="O228" s="156">
        <f t="shared" si="74"/>
        <v>150000</v>
      </c>
      <c r="Q228" s="420">
        <v>28045.680752022425</v>
      </c>
      <c r="R228" s="420">
        <f t="shared" si="71"/>
        <v>28046</v>
      </c>
      <c r="AA228" s="373">
        <v>-60698</v>
      </c>
      <c r="AB228" s="374">
        <v>88743.680752022425</v>
      </c>
      <c r="AC228" s="366">
        <f t="shared" si="72"/>
        <v>28045.680752022425</v>
      </c>
    </row>
    <row r="229" spans="1:29" ht="12.75" customHeight="1">
      <c r="A229" s="161" t="str">
        <f t="shared" si="66"/>
        <v>28General Wage Increase (GL9)</v>
      </c>
      <c r="B229" s="161">
        <f t="shared" si="73"/>
        <v>1</v>
      </c>
      <c r="C229" s="163">
        <v>28</v>
      </c>
      <c r="D229" s="163" t="b">
        <v>1</v>
      </c>
      <c r="E229" s="161" t="s">
        <v>41</v>
      </c>
      <c r="F229" s="161" t="str">
        <f t="shared" si="67"/>
        <v>001</v>
      </c>
      <c r="G229" s="385">
        <v>101</v>
      </c>
      <c r="H229" s="161" t="str">
        <f t="shared" si="68"/>
        <v>011</v>
      </c>
      <c r="I229" s="161" t="str">
        <f t="shared" si="69"/>
        <v>001-011</v>
      </c>
      <c r="J229" s="162" t="s">
        <v>491</v>
      </c>
      <c r="K229" s="161" t="s">
        <v>448</v>
      </c>
      <c r="M229" s="420">
        <v>309824</v>
      </c>
      <c r="N229" s="157">
        <f t="shared" si="70"/>
        <v>101</v>
      </c>
      <c r="O229" s="156">
        <f t="shared" si="74"/>
        <v>309824</v>
      </c>
      <c r="Q229" s="420">
        <v>-15024.365164730872</v>
      </c>
      <c r="R229" s="420">
        <f t="shared" si="71"/>
        <v>-15024</v>
      </c>
      <c r="AA229" s="373">
        <v>-41616</v>
      </c>
      <c r="AB229" s="374">
        <v>26591.634835269128</v>
      </c>
      <c r="AC229" s="366">
        <f t="shared" si="72"/>
        <v>-15024.365164730872</v>
      </c>
    </row>
    <row r="230" spans="1:29" ht="12.75" customHeight="1">
      <c r="A230" s="161" t="str">
        <f t="shared" si="66"/>
        <v>8General Wage Increase (GL9)</v>
      </c>
      <c r="B230" s="161">
        <f t="shared" si="73"/>
        <v>1</v>
      </c>
      <c r="C230" s="163">
        <v>8</v>
      </c>
      <c r="D230" s="163" t="b">
        <v>1</v>
      </c>
      <c r="E230" s="161" t="s">
        <v>21</v>
      </c>
      <c r="F230" s="161" t="str">
        <f t="shared" si="67"/>
        <v>001</v>
      </c>
      <c r="G230" s="385">
        <v>101</v>
      </c>
      <c r="H230" s="161" t="str">
        <f t="shared" si="68"/>
        <v>011</v>
      </c>
      <c r="I230" s="161" t="str">
        <f t="shared" si="69"/>
        <v>001-011</v>
      </c>
      <c r="J230" s="162" t="s">
        <v>491</v>
      </c>
      <c r="K230" s="161" t="s">
        <v>448</v>
      </c>
      <c r="M230" s="420">
        <v>657487</v>
      </c>
      <c r="N230" s="157">
        <f t="shared" si="70"/>
        <v>101</v>
      </c>
      <c r="O230" s="156">
        <f t="shared" si="74"/>
        <v>657487</v>
      </c>
      <c r="Q230" s="420">
        <v>612.9051385185594</v>
      </c>
      <c r="R230" s="420">
        <f t="shared" si="71"/>
        <v>613</v>
      </c>
      <c r="AA230" s="373">
        <v>-86872</v>
      </c>
      <c r="AB230" s="374">
        <v>87484.905138518559</v>
      </c>
      <c r="AC230" s="366">
        <f t="shared" si="72"/>
        <v>612.9051385185594</v>
      </c>
    </row>
    <row r="231" spans="1:29" ht="12.75" customHeight="1">
      <c r="A231" s="161" t="str">
        <f t="shared" si="66"/>
        <v>25General Wage Increase (GL9)</v>
      </c>
      <c r="B231" s="161">
        <f t="shared" si="73"/>
        <v>1</v>
      </c>
      <c r="C231" s="163">
        <v>25</v>
      </c>
      <c r="D231" s="163" t="b">
        <v>1</v>
      </c>
      <c r="E231" s="161" t="s">
        <v>38</v>
      </c>
      <c r="F231" s="161" t="str">
        <f t="shared" si="67"/>
        <v>001</v>
      </c>
      <c r="G231" s="385">
        <v>101</v>
      </c>
      <c r="H231" s="161" t="str">
        <f t="shared" si="68"/>
        <v>011</v>
      </c>
      <c r="I231" s="161" t="str">
        <f t="shared" si="69"/>
        <v>001-011</v>
      </c>
      <c r="J231" s="162" t="s">
        <v>491</v>
      </c>
      <c r="K231" s="161" t="s">
        <v>448</v>
      </c>
      <c r="M231" s="420">
        <v>224153</v>
      </c>
      <c r="N231" s="157">
        <f t="shared" si="70"/>
        <v>101</v>
      </c>
      <c r="O231" s="156">
        <f t="shared" si="74"/>
        <v>224153</v>
      </c>
      <c r="Q231" s="420">
        <v>-7506.9569304469624</v>
      </c>
      <c r="R231" s="420">
        <f t="shared" si="71"/>
        <v>-7507</v>
      </c>
      <c r="AA231" s="373">
        <v>-34964</v>
      </c>
      <c r="AB231" s="374">
        <v>27457.043069553038</v>
      </c>
      <c r="AC231" s="366">
        <f t="shared" si="72"/>
        <v>-7506.9569304469624</v>
      </c>
    </row>
    <row r="232" spans="1:29" ht="12.75" customHeight="1">
      <c r="A232" s="161" t="str">
        <f t="shared" si="66"/>
        <v>18General Wage Increase (GL9)</v>
      </c>
      <c r="B232" s="161">
        <f t="shared" si="73"/>
        <v>1</v>
      </c>
      <c r="C232" s="163">
        <v>18</v>
      </c>
      <c r="D232" s="163" t="b">
        <v>1</v>
      </c>
      <c r="E232" s="161" t="s">
        <v>31</v>
      </c>
      <c r="F232" s="161" t="str">
        <f t="shared" si="67"/>
        <v>001</v>
      </c>
      <c r="G232" s="385">
        <v>101</v>
      </c>
      <c r="H232" s="161" t="str">
        <f t="shared" si="68"/>
        <v>011</v>
      </c>
      <c r="I232" s="161" t="str">
        <f t="shared" si="69"/>
        <v>001-011</v>
      </c>
      <c r="J232" s="162" t="s">
        <v>491</v>
      </c>
      <c r="K232" s="161" t="s">
        <v>448</v>
      </c>
      <c r="M232" s="420">
        <v>187772</v>
      </c>
      <c r="N232" s="157">
        <f t="shared" si="70"/>
        <v>101</v>
      </c>
      <c r="O232" s="156">
        <f t="shared" si="74"/>
        <v>187772</v>
      </c>
      <c r="Q232" s="420">
        <v>-23523.582907759745</v>
      </c>
      <c r="R232" s="420">
        <f t="shared" si="71"/>
        <v>-23524</v>
      </c>
      <c r="AA232" s="373">
        <v>-132329</v>
      </c>
      <c r="AB232" s="374">
        <v>108805.41709224026</v>
      </c>
      <c r="AC232" s="366">
        <f t="shared" si="72"/>
        <v>-23523.582907759745</v>
      </c>
    </row>
    <row r="233" spans="1:29" ht="12.75" customHeight="1">
      <c r="A233" s="161" t="str">
        <f t="shared" si="66"/>
        <v>30General Wage Increase (GL9)</v>
      </c>
      <c r="B233" s="161">
        <f t="shared" si="73"/>
        <v>1</v>
      </c>
      <c r="C233" s="163">
        <v>30</v>
      </c>
      <c r="D233" s="163" t="b">
        <v>1</v>
      </c>
      <c r="E233" s="161" t="s">
        <v>43</v>
      </c>
      <c r="F233" s="161" t="str">
        <f t="shared" si="67"/>
        <v>001</v>
      </c>
      <c r="G233" s="385">
        <v>101</v>
      </c>
      <c r="H233" s="161" t="str">
        <f t="shared" si="68"/>
        <v>011</v>
      </c>
      <c r="I233" s="161" t="str">
        <f t="shared" si="69"/>
        <v>001-011</v>
      </c>
      <c r="J233" s="162" t="s">
        <v>491</v>
      </c>
      <c r="K233" s="161" t="s">
        <v>448</v>
      </c>
      <c r="M233" s="420">
        <v>164384</v>
      </c>
      <c r="N233" s="157">
        <f t="shared" si="70"/>
        <v>101</v>
      </c>
      <c r="O233" s="156">
        <f t="shared" si="74"/>
        <v>164384</v>
      </c>
      <c r="Q233" s="420">
        <v>-7004.0766484385531</v>
      </c>
      <c r="R233" s="420">
        <f t="shared" si="71"/>
        <v>-7004</v>
      </c>
      <c r="AA233" s="373">
        <v>-67740</v>
      </c>
      <c r="AB233" s="374">
        <v>60735.923351561447</v>
      </c>
      <c r="AC233" s="366">
        <f t="shared" si="72"/>
        <v>-7004.0766484385531</v>
      </c>
    </row>
    <row r="234" spans="1:29" ht="13.35" customHeight="1">
      <c r="A234" s="161" t="str">
        <f t="shared" si="66"/>
        <v>12General Wage Increase (GL9)</v>
      </c>
      <c r="B234" s="161">
        <f t="shared" si="73"/>
        <v>1</v>
      </c>
      <c r="C234" s="163">
        <v>12</v>
      </c>
      <c r="D234" s="163" t="b">
        <v>1</v>
      </c>
      <c r="E234" s="161" t="s">
        <v>25</v>
      </c>
      <c r="F234" s="161" t="str">
        <f t="shared" si="67"/>
        <v>001</v>
      </c>
      <c r="G234" s="385">
        <v>101</v>
      </c>
      <c r="H234" s="161" t="str">
        <f t="shared" si="68"/>
        <v>011</v>
      </c>
      <c r="I234" s="161" t="str">
        <f t="shared" si="69"/>
        <v>001-011</v>
      </c>
      <c r="J234" s="162" t="s">
        <v>491</v>
      </c>
      <c r="K234" s="161" t="s">
        <v>448</v>
      </c>
      <c r="M234" s="420">
        <v>186535</v>
      </c>
      <c r="N234" s="157">
        <f t="shared" si="70"/>
        <v>101</v>
      </c>
      <c r="O234" s="156">
        <f t="shared" si="74"/>
        <v>186535</v>
      </c>
      <c r="Q234" s="420">
        <v>5765.9840014462025</v>
      </c>
      <c r="R234" s="420">
        <f t="shared" si="71"/>
        <v>5766</v>
      </c>
      <c r="AA234" s="373">
        <v>-47968</v>
      </c>
      <c r="AB234" s="374">
        <v>53733.984001446202</v>
      </c>
      <c r="AC234" s="366">
        <f t="shared" si="72"/>
        <v>5765.9840014462025</v>
      </c>
    </row>
    <row r="235" spans="1:29" ht="12.6" customHeight="1">
      <c r="A235" s="161" t="str">
        <f t="shared" si="66"/>
        <v>14General Wage Increase (GL9)</v>
      </c>
      <c r="B235" s="161">
        <f t="shared" si="73"/>
        <v>1</v>
      </c>
      <c r="C235" s="163">
        <v>14</v>
      </c>
      <c r="D235" s="163" t="b">
        <v>1</v>
      </c>
      <c r="E235" s="161" t="s">
        <v>27</v>
      </c>
      <c r="F235" s="161" t="str">
        <f t="shared" si="67"/>
        <v>001</v>
      </c>
      <c r="G235" s="385">
        <v>101</v>
      </c>
      <c r="H235" s="161" t="str">
        <f t="shared" si="68"/>
        <v>011</v>
      </c>
      <c r="I235" s="161" t="str">
        <f t="shared" si="69"/>
        <v>001-011</v>
      </c>
      <c r="J235" s="162" t="s">
        <v>491</v>
      </c>
      <c r="K235" s="161" t="s">
        <v>448</v>
      </c>
      <c r="M235" s="420">
        <v>573266</v>
      </c>
      <c r="N235" s="157">
        <f t="shared" si="70"/>
        <v>101</v>
      </c>
      <c r="O235" s="156">
        <f t="shared" si="74"/>
        <v>573266</v>
      </c>
      <c r="Q235" s="420">
        <v>-25626.957563158132</v>
      </c>
      <c r="R235" s="420">
        <f t="shared" si="71"/>
        <v>-25627</v>
      </c>
      <c r="AA235" s="373">
        <v>-45374</v>
      </c>
      <c r="AB235" s="374">
        <v>19747.042436841868</v>
      </c>
      <c r="AC235" s="366">
        <f t="shared" si="72"/>
        <v>-25626.957563158132</v>
      </c>
    </row>
    <row r="236" spans="1:29" ht="12.75" customHeight="1">
      <c r="A236" s="161" t="str">
        <f t="shared" si="66"/>
        <v>29General Wage Increase (GL9)</v>
      </c>
      <c r="B236" s="161">
        <f t="shared" si="73"/>
        <v>1</v>
      </c>
      <c r="C236" s="163">
        <v>29</v>
      </c>
      <c r="D236" s="163" t="b">
        <v>1</v>
      </c>
      <c r="E236" s="161" t="s">
        <v>42</v>
      </c>
      <c r="F236" s="161" t="str">
        <f t="shared" si="67"/>
        <v>001</v>
      </c>
      <c r="G236" s="385">
        <v>101</v>
      </c>
      <c r="H236" s="161" t="str">
        <f t="shared" si="68"/>
        <v>011</v>
      </c>
      <c r="I236" s="161" t="str">
        <f t="shared" si="69"/>
        <v>001-011</v>
      </c>
      <c r="J236" s="162" t="s">
        <v>491</v>
      </c>
      <c r="K236" s="161" t="s">
        <v>448</v>
      </c>
      <c r="M236" s="420">
        <v>331509</v>
      </c>
      <c r="N236" s="157">
        <f t="shared" si="70"/>
        <v>101</v>
      </c>
      <c r="O236" s="156">
        <f t="shared" si="74"/>
        <v>331509</v>
      </c>
      <c r="Q236" s="420">
        <v>55561.691508112242</v>
      </c>
      <c r="R236" s="420">
        <f t="shared" si="71"/>
        <v>55562</v>
      </c>
      <c r="AA236" s="373">
        <v>-164252</v>
      </c>
      <c r="AB236" s="374">
        <v>219813.69150811224</v>
      </c>
      <c r="AC236" s="366">
        <f t="shared" si="72"/>
        <v>55561.691508112242</v>
      </c>
    </row>
    <row r="237" spans="1:29" ht="12.75" customHeight="1">
      <c r="A237" s="161" t="str">
        <f t="shared" si="66"/>
        <v>19General Wage Increase (GL9)</v>
      </c>
      <c r="B237" s="161">
        <f t="shared" si="73"/>
        <v>1</v>
      </c>
      <c r="C237" s="163">
        <v>19</v>
      </c>
      <c r="D237" s="163" t="b">
        <v>1</v>
      </c>
      <c r="E237" s="161" t="s">
        <v>32</v>
      </c>
      <c r="F237" s="161" t="str">
        <f t="shared" si="67"/>
        <v>001</v>
      </c>
      <c r="G237" s="385">
        <v>101</v>
      </c>
      <c r="H237" s="161" t="str">
        <f t="shared" si="68"/>
        <v>011</v>
      </c>
      <c r="I237" s="161" t="str">
        <f t="shared" si="69"/>
        <v>001-011</v>
      </c>
      <c r="J237" s="162" t="s">
        <v>491</v>
      </c>
      <c r="K237" s="161" t="s">
        <v>448</v>
      </c>
      <c r="M237" s="420">
        <v>303440</v>
      </c>
      <c r="N237" s="157">
        <f t="shared" si="70"/>
        <v>101</v>
      </c>
      <c r="O237" s="156">
        <f t="shared" si="74"/>
        <v>303440</v>
      </c>
      <c r="Q237" s="420">
        <v>24982.292312559322</v>
      </c>
      <c r="R237" s="420">
        <f t="shared" si="71"/>
        <v>24982</v>
      </c>
      <c r="AA237" s="373">
        <v>-55422</v>
      </c>
      <c r="AB237" s="374">
        <v>80404.292312559322</v>
      </c>
      <c r="AC237" s="366">
        <f t="shared" si="72"/>
        <v>24982.292312559322</v>
      </c>
    </row>
    <row r="238" spans="1:29" ht="12.75" customHeight="1">
      <c r="A238" s="161" t="str">
        <f t="shared" si="66"/>
        <v>23General Wage Increase (GL9)</v>
      </c>
      <c r="B238" s="161">
        <f t="shared" si="73"/>
        <v>1</v>
      </c>
      <c r="C238" s="163">
        <v>23</v>
      </c>
      <c r="D238" s="163" t="b">
        <v>1</v>
      </c>
      <c r="E238" s="161" t="s">
        <v>36</v>
      </c>
      <c r="F238" s="161" t="str">
        <f t="shared" si="67"/>
        <v>001</v>
      </c>
      <c r="G238" s="385">
        <v>101</v>
      </c>
      <c r="H238" s="161" t="str">
        <f t="shared" si="68"/>
        <v>011</v>
      </c>
      <c r="I238" s="161" t="str">
        <f t="shared" si="69"/>
        <v>001-011</v>
      </c>
      <c r="J238" s="162" t="s">
        <v>491</v>
      </c>
      <c r="K238" s="161" t="s">
        <v>448</v>
      </c>
      <c r="M238" s="420">
        <v>467106</v>
      </c>
      <c r="N238" s="157">
        <f t="shared" si="70"/>
        <v>101</v>
      </c>
      <c r="O238" s="156">
        <f t="shared" si="74"/>
        <v>467106</v>
      </c>
      <c r="Q238" s="420">
        <v>-7231.1197179915907</v>
      </c>
      <c r="R238" s="420">
        <f t="shared" si="71"/>
        <v>-7231</v>
      </c>
      <c r="AA238" s="373">
        <v>-40510</v>
      </c>
      <c r="AB238" s="374">
        <v>33278.880282008409</v>
      </c>
      <c r="AC238" s="366">
        <f t="shared" si="72"/>
        <v>-7231.1197179915907</v>
      </c>
    </row>
    <row r="239" spans="1:29" ht="12.75" customHeight="1">
      <c r="A239" s="161" t="str">
        <f t="shared" si="66"/>
        <v>5General Wage Increase (GL9)</v>
      </c>
      <c r="B239" s="161">
        <f t="shared" si="73"/>
        <v>1</v>
      </c>
      <c r="C239" s="163">
        <v>5</v>
      </c>
      <c r="D239" s="163" t="b">
        <v>1</v>
      </c>
      <c r="E239" s="161" t="s">
        <v>18</v>
      </c>
      <c r="F239" s="161" t="str">
        <f t="shared" si="67"/>
        <v>001</v>
      </c>
      <c r="G239" s="385">
        <v>101</v>
      </c>
      <c r="H239" s="161" t="str">
        <f t="shared" si="68"/>
        <v>011</v>
      </c>
      <c r="I239" s="161" t="str">
        <f t="shared" si="69"/>
        <v>001-011</v>
      </c>
      <c r="J239" s="162" t="s">
        <v>491</v>
      </c>
      <c r="K239" s="161" t="s">
        <v>448</v>
      </c>
      <c r="M239" s="420">
        <v>388804</v>
      </c>
      <c r="N239" s="157">
        <f t="shared" si="70"/>
        <v>101</v>
      </c>
      <c r="O239" s="156">
        <f t="shared" si="74"/>
        <v>388804</v>
      </c>
      <c r="Q239" s="420">
        <v>-3990.1187689248472</v>
      </c>
      <c r="R239" s="420">
        <f t="shared" si="71"/>
        <v>-3990</v>
      </c>
      <c r="AA239" s="373">
        <v>-48834</v>
      </c>
      <c r="AB239" s="374">
        <v>44843.881231075153</v>
      </c>
      <c r="AC239" s="366">
        <f t="shared" si="72"/>
        <v>-3990.1187689248472</v>
      </c>
    </row>
    <row r="240" spans="1:29" ht="12.75" customHeight="1">
      <c r="A240" s="161" t="str">
        <f t="shared" si="66"/>
        <v>2General Wage Increase (GL9)</v>
      </c>
      <c r="B240" s="161">
        <f t="shared" si="73"/>
        <v>1</v>
      </c>
      <c r="C240" s="163">
        <v>2</v>
      </c>
      <c r="D240" s="163" t="b">
        <v>1</v>
      </c>
      <c r="E240" s="161" t="s">
        <v>15</v>
      </c>
      <c r="F240" s="161" t="str">
        <f t="shared" si="67"/>
        <v>001</v>
      </c>
      <c r="G240" s="385">
        <v>101</v>
      </c>
      <c r="H240" s="161" t="str">
        <f t="shared" si="68"/>
        <v>011</v>
      </c>
      <c r="I240" s="161" t="str">
        <f t="shared" si="69"/>
        <v>001-011</v>
      </c>
      <c r="J240" s="162" t="s">
        <v>491</v>
      </c>
      <c r="K240" s="161" t="s">
        <v>448</v>
      </c>
      <c r="M240" s="420">
        <v>147132</v>
      </c>
      <c r="N240" s="157">
        <f t="shared" si="70"/>
        <v>101</v>
      </c>
      <c r="O240" s="156">
        <f t="shared" si="74"/>
        <v>147132</v>
      </c>
      <c r="Q240" s="420">
        <v>11972.33095313418</v>
      </c>
      <c r="R240" s="420">
        <f t="shared" si="71"/>
        <v>11972</v>
      </c>
      <c r="AA240" s="373">
        <v>-41919</v>
      </c>
      <c r="AB240" s="374">
        <v>53891.33095313418</v>
      </c>
      <c r="AC240" s="366">
        <f t="shared" si="72"/>
        <v>11972.33095313418</v>
      </c>
    </row>
    <row r="241" spans="1:29" ht="12.75" customHeight="1">
      <c r="A241" s="161" t="str">
        <f t="shared" si="66"/>
        <v>10General Wage Increase (GL9)</v>
      </c>
      <c r="B241" s="161">
        <f t="shared" si="73"/>
        <v>1</v>
      </c>
      <c r="C241" s="163">
        <v>10</v>
      </c>
      <c r="D241" s="163" t="b">
        <v>1</v>
      </c>
      <c r="E241" s="161" t="s">
        <v>23</v>
      </c>
      <c r="F241" s="161" t="str">
        <f t="shared" si="67"/>
        <v>001</v>
      </c>
      <c r="G241" s="385">
        <v>101</v>
      </c>
      <c r="H241" s="161" t="str">
        <f t="shared" si="68"/>
        <v>011</v>
      </c>
      <c r="I241" s="161" t="str">
        <f t="shared" si="69"/>
        <v>001-011</v>
      </c>
      <c r="J241" s="162" t="s">
        <v>491</v>
      </c>
      <c r="K241" s="161" t="s">
        <v>448</v>
      </c>
      <c r="M241" s="420">
        <v>496497</v>
      </c>
      <c r="N241" s="157">
        <f t="shared" si="70"/>
        <v>101</v>
      </c>
      <c r="O241" s="156">
        <f t="shared" si="74"/>
        <v>496497</v>
      </c>
      <c r="Q241" s="420">
        <v>-24153.34505355448</v>
      </c>
      <c r="R241" s="420">
        <f t="shared" si="71"/>
        <v>-24153</v>
      </c>
      <c r="AA241" s="373">
        <v>-47126</v>
      </c>
      <c r="AB241" s="374">
        <v>22972.65494644552</v>
      </c>
      <c r="AC241" s="366">
        <f t="shared" si="72"/>
        <v>-24153.34505355448</v>
      </c>
    </row>
    <row r="242" spans="1:29" ht="12.75" customHeight="1">
      <c r="A242" s="161" t="str">
        <f t="shared" si="66"/>
        <v>9General Wage Increase (GL9)</v>
      </c>
      <c r="B242" s="161">
        <f t="shared" si="73"/>
        <v>1</v>
      </c>
      <c r="C242" s="163">
        <v>9</v>
      </c>
      <c r="D242" s="163" t="b">
        <v>1</v>
      </c>
      <c r="E242" s="161" t="s">
        <v>22</v>
      </c>
      <c r="F242" s="161" t="str">
        <f t="shared" si="67"/>
        <v>001</v>
      </c>
      <c r="G242" s="385">
        <v>101</v>
      </c>
      <c r="H242" s="161" t="str">
        <f t="shared" si="68"/>
        <v>011</v>
      </c>
      <c r="I242" s="161" t="str">
        <f t="shared" si="69"/>
        <v>001-011</v>
      </c>
      <c r="J242" s="162" t="s">
        <v>491</v>
      </c>
      <c r="K242" s="161" t="s">
        <v>448</v>
      </c>
      <c r="M242" s="420">
        <v>431603</v>
      </c>
      <c r="N242" s="157">
        <f t="shared" si="70"/>
        <v>101</v>
      </c>
      <c r="O242" s="156">
        <f t="shared" si="74"/>
        <v>431603</v>
      </c>
      <c r="Q242" s="156"/>
      <c r="Y242" s="156">
        <f>SUM(L212:L241)</f>
        <v>3797758</v>
      </c>
      <c r="Z242" s="156">
        <f>SUM(O212:O241)</f>
        <v>9076795</v>
      </c>
      <c r="AB242" s="366">
        <f>SUM(AB212:AB241)</f>
        <v>1740807.9999999998</v>
      </c>
    </row>
    <row r="243" spans="1:29" ht="12.75" customHeight="1">
      <c r="A243" s="161" t="str">
        <f t="shared" si="66"/>
        <v>26General Wage Increase (GL9)</v>
      </c>
      <c r="B243" s="161">
        <f t="shared" si="73"/>
        <v>1</v>
      </c>
      <c r="C243" s="163">
        <v>26</v>
      </c>
      <c r="D243" s="163" t="b">
        <v>1</v>
      </c>
      <c r="E243" s="161" t="s">
        <v>39</v>
      </c>
      <c r="F243" s="161" t="str">
        <f t="shared" si="67"/>
        <v>001</v>
      </c>
      <c r="G243" s="385">
        <v>101</v>
      </c>
      <c r="H243" s="161" t="str">
        <f t="shared" si="68"/>
        <v>011</v>
      </c>
      <c r="I243" s="161" t="str">
        <f t="shared" si="69"/>
        <v>001-011</v>
      </c>
      <c r="J243" s="162" t="s">
        <v>491</v>
      </c>
      <c r="K243" s="161" t="s">
        <v>448</v>
      </c>
      <c r="M243" s="420">
        <v>302593</v>
      </c>
      <c r="N243" s="157">
        <f t="shared" si="70"/>
        <v>101</v>
      </c>
      <c r="O243" s="156">
        <f t="shared" si="74"/>
        <v>302593</v>
      </c>
      <c r="Q243" s="156"/>
    </row>
    <row r="244" spans="1:29" ht="12.75" customHeight="1">
      <c r="A244" s="161" t="str">
        <f t="shared" si="66"/>
        <v>13General Wage Increase (GL9)</v>
      </c>
      <c r="B244" s="161">
        <f t="shared" si="73"/>
        <v>1</v>
      </c>
      <c r="C244" s="163">
        <v>13</v>
      </c>
      <c r="D244" s="163" t="b">
        <v>1</v>
      </c>
      <c r="E244" s="161" t="s">
        <v>26</v>
      </c>
      <c r="F244" s="161" t="str">
        <f t="shared" si="67"/>
        <v>001</v>
      </c>
      <c r="G244" s="385">
        <v>101</v>
      </c>
      <c r="H244" s="161" t="str">
        <f t="shared" si="68"/>
        <v>011</v>
      </c>
      <c r="I244" s="161" t="str">
        <f t="shared" si="69"/>
        <v>001-011</v>
      </c>
      <c r="J244" s="162" t="s">
        <v>491</v>
      </c>
      <c r="K244" s="161" t="s">
        <v>448</v>
      </c>
      <c r="M244" s="420">
        <v>154974</v>
      </c>
      <c r="N244" s="157">
        <f t="shared" si="70"/>
        <v>101</v>
      </c>
      <c r="O244" s="156">
        <f t="shared" si="74"/>
        <v>154974</v>
      </c>
      <c r="Q244" s="156"/>
      <c r="Y244" s="159" t="s">
        <v>493</v>
      </c>
      <c r="AA244" s="159" t="s">
        <v>494</v>
      </c>
    </row>
    <row r="245" spans="1:29" ht="12.75" customHeight="1">
      <c r="A245" s="161" t="str">
        <f t="shared" si="66"/>
        <v>3General Wage Increase (GL9)</v>
      </c>
      <c r="B245" s="161">
        <f t="shared" si="73"/>
        <v>1</v>
      </c>
      <c r="C245" s="163">
        <v>3</v>
      </c>
      <c r="D245" s="163" t="b">
        <v>1</v>
      </c>
      <c r="E245" s="161" t="s">
        <v>16</v>
      </c>
      <c r="F245" s="161" t="str">
        <f t="shared" si="67"/>
        <v>001</v>
      </c>
      <c r="G245" s="385">
        <v>101</v>
      </c>
      <c r="H245" s="161" t="str">
        <f t="shared" si="68"/>
        <v>011</v>
      </c>
      <c r="I245" s="161" t="str">
        <f t="shared" si="69"/>
        <v>001-011</v>
      </c>
      <c r="J245" s="162" t="s">
        <v>491</v>
      </c>
      <c r="K245" s="161" t="s">
        <v>448</v>
      </c>
      <c r="M245" s="420">
        <v>374017</v>
      </c>
      <c r="N245" s="157">
        <f t="shared" si="70"/>
        <v>101</v>
      </c>
      <c r="O245" s="156">
        <f t="shared" si="74"/>
        <v>374017</v>
      </c>
      <c r="Q245" s="156"/>
    </row>
    <row r="246" spans="1:29" ht="12.75" customHeight="1">
      <c r="A246" s="161" t="str">
        <f t="shared" si="66"/>
        <v>1General Wage Increase (GL9)</v>
      </c>
      <c r="B246" s="161">
        <f t="shared" si="73"/>
        <v>1</v>
      </c>
      <c r="C246" s="163">
        <v>1</v>
      </c>
      <c r="D246" s="163" t="b">
        <v>1</v>
      </c>
      <c r="E246" s="161" t="s">
        <v>14</v>
      </c>
      <c r="F246" s="161" t="str">
        <f t="shared" si="67"/>
        <v>001</v>
      </c>
      <c r="G246" s="385">
        <v>101</v>
      </c>
      <c r="H246" s="161" t="str">
        <f t="shared" si="68"/>
        <v>011</v>
      </c>
      <c r="I246" s="161" t="str">
        <f t="shared" si="69"/>
        <v>001-011</v>
      </c>
      <c r="J246" s="162" t="s">
        <v>491</v>
      </c>
      <c r="K246" s="161" t="s">
        <v>448</v>
      </c>
      <c r="M246" s="420">
        <v>178142</v>
      </c>
      <c r="N246" s="157">
        <f t="shared" si="70"/>
        <v>101</v>
      </c>
      <c r="O246" s="156">
        <f t="shared" si="74"/>
        <v>178142</v>
      </c>
      <c r="Q246" s="156"/>
    </row>
    <row r="247" spans="1:29" ht="12.75" customHeight="1">
      <c r="A247" s="161" t="str">
        <f t="shared" si="66"/>
        <v>11General Wage Increase (GL9)</v>
      </c>
      <c r="B247" s="161">
        <f t="shared" si="73"/>
        <v>1</v>
      </c>
      <c r="C247" s="163">
        <v>11</v>
      </c>
      <c r="D247" s="163" t="b">
        <v>1</v>
      </c>
      <c r="E247" s="161" t="s">
        <v>24</v>
      </c>
      <c r="F247" s="161" t="str">
        <f t="shared" si="67"/>
        <v>001</v>
      </c>
      <c r="G247" s="385">
        <v>101</v>
      </c>
      <c r="H247" s="161" t="str">
        <f t="shared" si="68"/>
        <v>011</v>
      </c>
      <c r="I247" s="161" t="str">
        <f t="shared" si="69"/>
        <v>001-011</v>
      </c>
      <c r="J247" s="162" t="s">
        <v>491</v>
      </c>
      <c r="K247" s="161" t="s">
        <v>448</v>
      </c>
      <c r="M247" s="420">
        <v>401095</v>
      </c>
      <c r="N247" s="157">
        <f t="shared" si="70"/>
        <v>101</v>
      </c>
      <c r="O247" s="156">
        <f t="shared" si="74"/>
        <v>401095</v>
      </c>
      <c r="Q247" s="156"/>
      <c r="Y247" s="387">
        <v>613765</v>
      </c>
      <c r="Z247" s="387">
        <v>-76818</v>
      </c>
      <c r="AA247" s="387">
        <f t="shared" ref="AA247:AA277" si="75">SUBTOTAL(9,X247:Z247)</f>
        <v>536947</v>
      </c>
    </row>
    <row r="248" spans="1:29" ht="12.75" customHeight="1">
      <c r="A248" s="161" t="str">
        <f t="shared" si="66"/>
        <v>27General Wage Increase (GL9)</v>
      </c>
      <c r="B248" s="161">
        <f t="shared" si="73"/>
        <v>1</v>
      </c>
      <c r="C248" s="163">
        <v>27</v>
      </c>
      <c r="D248" s="163" t="b">
        <v>1</v>
      </c>
      <c r="E248" s="161" t="s">
        <v>40</v>
      </c>
      <c r="F248" s="161" t="str">
        <f t="shared" si="67"/>
        <v>001</v>
      </c>
      <c r="G248" s="385">
        <v>101</v>
      </c>
      <c r="H248" s="161" t="str">
        <f t="shared" si="68"/>
        <v>011</v>
      </c>
      <c r="I248" s="161" t="str">
        <f t="shared" si="69"/>
        <v>001-011</v>
      </c>
      <c r="J248" s="162" t="s">
        <v>491</v>
      </c>
      <c r="K248" s="161" t="s">
        <v>448</v>
      </c>
      <c r="M248" s="420">
        <v>300579</v>
      </c>
      <c r="N248" s="157">
        <f t="shared" si="70"/>
        <v>101</v>
      </c>
      <c r="O248" s="156">
        <f t="shared" si="74"/>
        <v>300579</v>
      </c>
      <c r="Q248" s="156"/>
      <c r="Y248" s="388">
        <v>1764478</v>
      </c>
      <c r="Z248" s="388">
        <v>-220840</v>
      </c>
      <c r="AA248" s="387">
        <f t="shared" si="75"/>
        <v>1543638</v>
      </c>
    </row>
    <row r="249" spans="1:29" ht="12.75" customHeight="1">
      <c r="A249" s="161" t="str">
        <f t="shared" si="66"/>
        <v>89General Wage Increase (GL9)</v>
      </c>
      <c r="B249" s="161">
        <f t="shared" si="73"/>
        <v>1</v>
      </c>
      <c r="C249" s="160" t="s">
        <v>144</v>
      </c>
      <c r="D249" s="163" t="b">
        <v>1</v>
      </c>
      <c r="E249" s="161" t="s">
        <v>204</v>
      </c>
      <c r="F249" s="161" t="str">
        <f t="shared" si="67"/>
        <v>001</v>
      </c>
      <c r="G249" s="161" t="str">
        <f>IF(RIGHT(J249,3)="012","201",IF(RIGHT(J249,3)="232","123",IF(RIGHT(J249,3)="1E2","215",RIGHT(J249,3))))</f>
        <v>011</v>
      </c>
      <c r="H249" s="161" t="str">
        <f t="shared" si="68"/>
        <v>011</v>
      </c>
      <c r="I249" s="161" t="str">
        <f t="shared" si="69"/>
        <v>001-011</v>
      </c>
      <c r="J249" s="162" t="s">
        <v>491</v>
      </c>
      <c r="K249" s="161" t="s">
        <v>448</v>
      </c>
      <c r="M249" s="418">
        <v>119589</v>
      </c>
      <c r="N249" s="157">
        <f t="shared" si="70"/>
        <v>101</v>
      </c>
      <c r="O249" s="156">
        <f>SUM(L249:M249)</f>
        <v>119589</v>
      </c>
      <c r="Q249" s="156"/>
      <c r="Y249" s="387">
        <v>495094</v>
      </c>
      <c r="Z249" s="387">
        <v>-61965</v>
      </c>
      <c r="AA249" s="387">
        <f t="shared" si="75"/>
        <v>433129</v>
      </c>
    </row>
    <row r="250" spans="1:29" ht="12.75" customHeight="1">
      <c r="A250" s="161" t="str">
        <f t="shared" si="66"/>
        <v>6General Wage Increase (GL9)</v>
      </c>
      <c r="B250" s="161">
        <f t="shared" si="73"/>
        <v>1</v>
      </c>
      <c r="C250" s="163">
        <v>6</v>
      </c>
      <c r="D250" s="163" t="b">
        <v>1</v>
      </c>
      <c r="E250" s="161" t="s">
        <v>19</v>
      </c>
      <c r="F250" s="161" t="str">
        <f t="shared" si="67"/>
        <v>001</v>
      </c>
      <c r="G250" s="385">
        <v>101</v>
      </c>
      <c r="H250" s="161" t="str">
        <f t="shared" si="68"/>
        <v>011</v>
      </c>
      <c r="I250" s="161" t="str">
        <f t="shared" si="69"/>
        <v>001-011</v>
      </c>
      <c r="J250" s="162" t="s">
        <v>491</v>
      </c>
      <c r="K250" s="161" t="s">
        <v>448</v>
      </c>
      <c r="M250" s="420">
        <v>1206835</v>
      </c>
      <c r="N250" s="157">
        <f t="shared" si="70"/>
        <v>101</v>
      </c>
      <c r="O250" s="156">
        <f t="shared" si="74"/>
        <v>1206835</v>
      </c>
      <c r="Q250" s="156"/>
      <c r="Y250" s="388">
        <v>403138</v>
      </c>
      <c r="Z250" s="388">
        <v>-50456</v>
      </c>
      <c r="AA250" s="387">
        <f t="shared" si="75"/>
        <v>352682</v>
      </c>
    </row>
    <row r="251" spans="1:29" ht="12.75" customHeight="1">
      <c r="A251" s="161" t="str">
        <f t="shared" si="66"/>
        <v>7General Wage Increase (GL9)</v>
      </c>
      <c r="B251" s="161">
        <f t="shared" si="73"/>
        <v>1</v>
      </c>
      <c r="C251" s="163">
        <v>7</v>
      </c>
      <c r="D251" s="163" t="b">
        <v>1</v>
      </c>
      <c r="E251" s="161" t="s">
        <v>20</v>
      </c>
      <c r="F251" s="161" t="str">
        <f t="shared" si="67"/>
        <v>001</v>
      </c>
      <c r="G251" s="385">
        <v>101</v>
      </c>
      <c r="H251" s="161" t="str">
        <f t="shared" si="68"/>
        <v>011</v>
      </c>
      <c r="I251" s="161" t="str">
        <f t="shared" si="69"/>
        <v>001-011</v>
      </c>
      <c r="J251" s="162" t="s">
        <v>491</v>
      </c>
      <c r="K251" s="161" t="s">
        <v>448</v>
      </c>
      <c r="M251" s="420">
        <v>367722</v>
      </c>
      <c r="N251" s="157">
        <f t="shared" si="70"/>
        <v>101</v>
      </c>
      <c r="O251" s="156">
        <f t="shared" si="74"/>
        <v>367722</v>
      </c>
      <c r="Q251" s="156"/>
      <c r="Y251" s="387">
        <v>436840</v>
      </c>
      <c r="Z251" s="387">
        <v>-54674</v>
      </c>
      <c r="AA251" s="387">
        <f t="shared" si="75"/>
        <v>382166</v>
      </c>
    </row>
    <row r="252" spans="1:29" ht="12.75" customHeight="1">
      <c r="A252" s="161" t="str">
        <f t="shared" si="66"/>
        <v>4General Wage Increase (GL9)</v>
      </c>
      <c r="B252" s="161">
        <f t="shared" si="73"/>
        <v>1</v>
      </c>
      <c r="C252" s="163">
        <v>4</v>
      </c>
      <c r="D252" s="163" t="b">
        <v>1</v>
      </c>
      <c r="E252" s="161" t="s">
        <v>17</v>
      </c>
      <c r="F252" s="161" t="str">
        <f t="shared" si="67"/>
        <v>001</v>
      </c>
      <c r="G252" s="385">
        <v>101</v>
      </c>
      <c r="H252" s="161" t="str">
        <f t="shared" si="68"/>
        <v>011</v>
      </c>
      <c r="I252" s="161" t="str">
        <f t="shared" si="69"/>
        <v>001-011</v>
      </c>
      <c r="J252" s="162" t="s">
        <v>491</v>
      </c>
      <c r="K252" s="161" t="s">
        <v>448</v>
      </c>
      <c r="M252" s="420">
        <v>316976</v>
      </c>
      <c r="N252" s="157">
        <f t="shared" si="70"/>
        <v>101</v>
      </c>
      <c r="O252" s="156">
        <f t="shared" si="74"/>
        <v>316976</v>
      </c>
      <c r="Q252" s="156"/>
      <c r="Y252" s="388">
        <v>528915</v>
      </c>
      <c r="Z252" s="388">
        <v>-66199</v>
      </c>
      <c r="AA252" s="387">
        <f t="shared" si="75"/>
        <v>462716</v>
      </c>
    </row>
    <row r="253" spans="1:29" ht="12.75" customHeight="1">
      <c r="A253" s="161" t="str">
        <f t="shared" si="66"/>
        <v>24General Wage Increase (GL9)</v>
      </c>
      <c r="B253" s="161">
        <f t="shared" si="73"/>
        <v>1</v>
      </c>
      <c r="C253" s="163">
        <v>24</v>
      </c>
      <c r="D253" s="163" t="b">
        <v>1</v>
      </c>
      <c r="E253" s="161" t="s">
        <v>37</v>
      </c>
      <c r="F253" s="161" t="str">
        <f t="shared" si="67"/>
        <v>001</v>
      </c>
      <c r="G253" s="385">
        <v>101</v>
      </c>
      <c r="H253" s="161" t="str">
        <f t="shared" si="68"/>
        <v>011</v>
      </c>
      <c r="I253" s="161" t="str">
        <f t="shared" si="69"/>
        <v>001-011</v>
      </c>
      <c r="J253" s="162" t="s">
        <v>491</v>
      </c>
      <c r="K253" s="161" t="s">
        <v>448</v>
      </c>
      <c r="M253" s="420">
        <v>278513</v>
      </c>
      <c r="N253" s="157">
        <f t="shared" si="70"/>
        <v>101</v>
      </c>
      <c r="O253" s="156">
        <f t="shared" si="74"/>
        <v>278513</v>
      </c>
      <c r="Q253" s="156"/>
      <c r="Y253" s="387">
        <v>1847567</v>
      </c>
      <c r="Z253" s="387">
        <v>-231240</v>
      </c>
      <c r="AA253" s="387">
        <f t="shared" si="75"/>
        <v>1616327</v>
      </c>
    </row>
    <row r="254" spans="1:29" ht="12.75" customHeight="1">
      <c r="A254" s="161" t="str">
        <f t="shared" si="66"/>
        <v>17General Wage Increase (GL9)</v>
      </c>
      <c r="B254" s="161">
        <f t="shared" si="73"/>
        <v>1</v>
      </c>
      <c r="C254" s="163">
        <v>17</v>
      </c>
      <c r="D254" s="163" t="b">
        <v>1</v>
      </c>
      <c r="E254" s="161" t="s">
        <v>30</v>
      </c>
      <c r="F254" s="161" t="str">
        <f t="shared" si="67"/>
        <v>001</v>
      </c>
      <c r="G254" s="385">
        <v>101</v>
      </c>
      <c r="H254" s="161" t="str">
        <f t="shared" si="68"/>
        <v>011</v>
      </c>
      <c r="I254" s="161" t="str">
        <f t="shared" si="69"/>
        <v>001-011</v>
      </c>
      <c r="J254" s="162" t="s">
        <v>491</v>
      </c>
      <c r="K254" s="161" t="s">
        <v>448</v>
      </c>
      <c r="M254" s="420">
        <v>900244</v>
      </c>
      <c r="N254" s="157">
        <f t="shared" si="70"/>
        <v>101</v>
      </c>
      <c r="O254" s="156">
        <f t="shared" si="74"/>
        <v>900244</v>
      </c>
      <c r="Q254" s="156"/>
      <c r="Y254" s="388">
        <v>741746</v>
      </c>
      <c r="Z254" s="388">
        <v>-92836</v>
      </c>
      <c r="AA254" s="387">
        <f t="shared" si="75"/>
        <v>648910</v>
      </c>
    </row>
    <row r="255" spans="1:29" ht="12.75" customHeight="1">
      <c r="A255" s="161" t="str">
        <f t="shared" si="66"/>
        <v>22General Wage Increase (GL9)</v>
      </c>
      <c r="B255" s="161">
        <f t="shared" si="73"/>
        <v>1</v>
      </c>
      <c r="C255" s="163">
        <v>22</v>
      </c>
      <c r="D255" s="163" t="b">
        <v>1</v>
      </c>
      <c r="E255" s="161" t="s">
        <v>35</v>
      </c>
      <c r="F255" s="161" t="str">
        <f t="shared" si="67"/>
        <v>001</v>
      </c>
      <c r="G255" s="385">
        <v>101</v>
      </c>
      <c r="H255" s="161" t="str">
        <f t="shared" si="68"/>
        <v>011</v>
      </c>
      <c r="I255" s="161" t="str">
        <f t="shared" si="69"/>
        <v>001-011</v>
      </c>
      <c r="J255" s="162" t="s">
        <v>491</v>
      </c>
      <c r="K255" s="161" t="s">
        <v>448</v>
      </c>
      <c r="M255" s="420">
        <v>429668</v>
      </c>
      <c r="N255" s="157">
        <f t="shared" si="70"/>
        <v>101</v>
      </c>
      <c r="O255" s="156">
        <f t="shared" si="74"/>
        <v>429668</v>
      </c>
      <c r="Q255" s="156"/>
      <c r="Y255" s="387">
        <v>853619</v>
      </c>
      <c r="Z255" s="387">
        <v>-106838</v>
      </c>
      <c r="AA255" s="387">
        <f t="shared" si="75"/>
        <v>746781</v>
      </c>
    </row>
    <row r="256" spans="1:29" ht="12.75" customHeight="1">
      <c r="A256" s="161" t="str">
        <f t="shared" si="66"/>
        <v>20General Wage Increase (GL9)</v>
      </c>
      <c r="B256" s="161">
        <f t="shared" si="73"/>
        <v>1</v>
      </c>
      <c r="C256" s="163">
        <v>20</v>
      </c>
      <c r="D256" s="163" t="b">
        <v>1</v>
      </c>
      <c r="E256" s="161" t="s">
        <v>33</v>
      </c>
      <c r="F256" s="161" t="str">
        <f t="shared" si="67"/>
        <v>001</v>
      </c>
      <c r="G256" s="385">
        <v>101</v>
      </c>
      <c r="H256" s="161" t="str">
        <f t="shared" si="68"/>
        <v>011</v>
      </c>
      <c r="I256" s="161" t="str">
        <f t="shared" si="69"/>
        <v>001-011</v>
      </c>
      <c r="J256" s="162" t="s">
        <v>491</v>
      </c>
      <c r="K256" s="161" t="s">
        <v>448</v>
      </c>
      <c r="M256" s="420">
        <v>283179</v>
      </c>
      <c r="N256" s="157">
        <f t="shared" si="70"/>
        <v>101</v>
      </c>
      <c r="O256" s="156">
        <f t="shared" si="74"/>
        <v>283179</v>
      </c>
      <c r="Q256" s="156"/>
      <c r="Y256" s="388">
        <v>1421345</v>
      </c>
      <c r="Z256" s="388">
        <v>-177894</v>
      </c>
      <c r="AA256" s="387">
        <f t="shared" si="75"/>
        <v>1243451</v>
      </c>
    </row>
    <row r="257" spans="1:27" ht="12.75" customHeight="1">
      <c r="A257" s="161" t="str">
        <f t="shared" si="66"/>
        <v>15General Wage Increase (GL9)</v>
      </c>
      <c r="B257" s="161">
        <f t="shared" si="73"/>
        <v>1</v>
      </c>
      <c r="C257" s="163">
        <v>15</v>
      </c>
      <c r="D257" s="163" t="b">
        <v>1</v>
      </c>
      <c r="E257" s="161" t="s">
        <v>28</v>
      </c>
      <c r="F257" s="161" t="str">
        <f t="shared" si="67"/>
        <v>001</v>
      </c>
      <c r="G257" s="385">
        <v>101</v>
      </c>
      <c r="H257" s="161" t="str">
        <f t="shared" si="68"/>
        <v>011</v>
      </c>
      <c r="I257" s="161" t="str">
        <f t="shared" si="69"/>
        <v>001-011</v>
      </c>
      <c r="J257" s="162" t="s">
        <v>491</v>
      </c>
      <c r="K257" s="161" t="s">
        <v>448</v>
      </c>
      <c r="M257" s="420">
        <v>226496</v>
      </c>
      <c r="N257" s="157">
        <f t="shared" si="70"/>
        <v>101</v>
      </c>
      <c r="O257" s="156">
        <f t="shared" si="74"/>
        <v>226496</v>
      </c>
      <c r="Q257" s="156"/>
      <c r="Y257" s="387">
        <v>1207432</v>
      </c>
      <c r="Z257" s="387">
        <v>-151121</v>
      </c>
      <c r="AA257" s="387">
        <f t="shared" si="75"/>
        <v>1056311</v>
      </c>
    </row>
    <row r="258" spans="1:27" ht="12.75" customHeight="1">
      <c r="A258" s="161" t="str">
        <f t="shared" ref="A258:A321" si="76">C258&amp;K258</f>
        <v>21General Wage Increase (GL9)</v>
      </c>
      <c r="B258" s="161">
        <f t="shared" si="73"/>
        <v>1</v>
      </c>
      <c r="C258" s="163">
        <v>21</v>
      </c>
      <c r="D258" s="163" t="b">
        <v>1</v>
      </c>
      <c r="E258" s="161" t="s">
        <v>34</v>
      </c>
      <c r="F258" s="161" t="str">
        <f t="shared" ref="F258:F321" si="77">LEFT(J258,3)</f>
        <v>001</v>
      </c>
      <c r="G258" s="385">
        <v>101</v>
      </c>
      <c r="H258" s="161" t="str">
        <f t="shared" ref="H258:H321" si="78">RIGHT(J258,3)</f>
        <v>011</v>
      </c>
      <c r="I258" s="161" t="str">
        <f t="shared" ref="I258:I321" si="79">F258&amp;"-"&amp;H258</f>
        <v>001-011</v>
      </c>
      <c r="J258" s="162" t="s">
        <v>491</v>
      </c>
      <c r="K258" s="161" t="s">
        <v>448</v>
      </c>
      <c r="M258" s="420">
        <v>202260</v>
      </c>
      <c r="N258" s="157">
        <f t="shared" ref="N258:N321" si="80">VLOOKUP(H258,Approp,2,FALSE)</f>
        <v>101</v>
      </c>
      <c r="O258" s="156">
        <f t="shared" si="74"/>
        <v>202260</v>
      </c>
      <c r="Q258" s="156"/>
      <c r="Y258" s="388">
        <v>381558</v>
      </c>
      <c r="Z258" s="388">
        <v>-47755</v>
      </c>
      <c r="AA258" s="387">
        <f t="shared" si="75"/>
        <v>333803</v>
      </c>
    </row>
    <row r="259" spans="1:27" ht="12.75" customHeight="1">
      <c r="A259" s="161" t="str">
        <f t="shared" si="76"/>
        <v>16General Wage Increase (GL9)</v>
      </c>
      <c r="B259" s="161">
        <f t="shared" si="73"/>
        <v>1</v>
      </c>
      <c r="C259" s="163">
        <v>16</v>
      </c>
      <c r="D259" s="163" t="b">
        <v>1</v>
      </c>
      <c r="E259" s="161" t="s">
        <v>29</v>
      </c>
      <c r="F259" s="161" t="str">
        <f t="shared" si="77"/>
        <v>001</v>
      </c>
      <c r="G259" s="385">
        <v>101</v>
      </c>
      <c r="H259" s="161" t="str">
        <f t="shared" si="78"/>
        <v>011</v>
      </c>
      <c r="I259" s="161" t="str">
        <f t="shared" si="79"/>
        <v>001-011</v>
      </c>
      <c r="J259" s="162" t="s">
        <v>491</v>
      </c>
      <c r="K259" s="161" t="s">
        <v>448</v>
      </c>
      <c r="M259" s="420">
        <v>260606</v>
      </c>
      <c r="N259" s="157">
        <f t="shared" si="80"/>
        <v>101</v>
      </c>
      <c r="O259" s="156">
        <f>SUM(L259:M259)</f>
        <v>260606</v>
      </c>
      <c r="Q259" s="156"/>
      <c r="Y259" s="387">
        <v>1425691</v>
      </c>
      <c r="Z259" s="387">
        <v>-178438</v>
      </c>
      <c r="AA259" s="387">
        <f t="shared" si="75"/>
        <v>1247253</v>
      </c>
    </row>
    <row r="260" spans="1:27" ht="12.75" hidden="1" customHeight="1">
      <c r="A260" s="161" t="str">
        <f t="shared" si="76"/>
        <v>28Health Rate Changes</v>
      </c>
      <c r="B260" s="161">
        <f t="shared" si="73"/>
        <v>1</v>
      </c>
      <c r="C260" s="163">
        <v>28</v>
      </c>
      <c r="D260" s="163" t="b">
        <v>1</v>
      </c>
      <c r="E260" s="161" t="s">
        <v>41</v>
      </c>
      <c r="F260" s="161" t="str">
        <f t="shared" si="77"/>
        <v>001</v>
      </c>
      <c r="G260" s="385">
        <v>101</v>
      </c>
      <c r="H260" s="161" t="str">
        <f t="shared" si="78"/>
        <v>011</v>
      </c>
      <c r="I260" s="161" t="str">
        <f t="shared" si="79"/>
        <v>001-011</v>
      </c>
      <c r="J260" s="162" t="s">
        <v>491</v>
      </c>
      <c r="K260" s="161" t="s">
        <v>340</v>
      </c>
      <c r="M260" s="418">
        <v>533756</v>
      </c>
      <c r="N260" s="157">
        <f t="shared" si="80"/>
        <v>101</v>
      </c>
      <c r="O260" s="156">
        <f t="shared" si="74"/>
        <v>533756</v>
      </c>
      <c r="Q260" s="156"/>
      <c r="Y260" s="388">
        <v>1207260</v>
      </c>
      <c r="Z260" s="388">
        <v>-151100</v>
      </c>
      <c r="AA260" s="387">
        <f t="shared" si="75"/>
        <v>0</v>
      </c>
    </row>
    <row r="261" spans="1:27" ht="12.75" hidden="1" customHeight="1">
      <c r="A261" s="161" t="str">
        <f t="shared" si="76"/>
        <v>8Health Rate Changes</v>
      </c>
      <c r="B261" s="161">
        <f t="shared" si="73"/>
        <v>1</v>
      </c>
      <c r="C261" s="163">
        <v>8</v>
      </c>
      <c r="D261" s="163" t="b">
        <v>1</v>
      </c>
      <c r="E261" s="161" t="s">
        <v>21</v>
      </c>
      <c r="F261" s="161" t="str">
        <f t="shared" si="77"/>
        <v>001</v>
      </c>
      <c r="G261" s="385">
        <v>101</v>
      </c>
      <c r="H261" s="161" t="str">
        <f t="shared" si="78"/>
        <v>011</v>
      </c>
      <c r="I261" s="161" t="str">
        <f t="shared" si="79"/>
        <v>001-011</v>
      </c>
      <c r="J261" s="162" t="s">
        <v>491</v>
      </c>
      <c r="K261" s="161" t="s">
        <v>340</v>
      </c>
      <c r="M261" s="418">
        <v>1534464</v>
      </c>
      <c r="N261" s="157">
        <f t="shared" si="80"/>
        <v>101</v>
      </c>
      <c r="O261" s="156">
        <f t="shared" si="74"/>
        <v>1534464</v>
      </c>
      <c r="Q261" s="156"/>
      <c r="Y261" s="387">
        <v>681578</v>
      </c>
      <c r="Z261" s="387">
        <v>-85306</v>
      </c>
      <c r="AA261" s="387">
        <f t="shared" si="75"/>
        <v>0</v>
      </c>
    </row>
    <row r="262" spans="1:27" ht="12.75" hidden="1" customHeight="1">
      <c r="A262" s="161" t="str">
        <f t="shared" si="76"/>
        <v>25Health Rate Changes</v>
      </c>
      <c r="B262" s="161">
        <f t="shared" si="73"/>
        <v>1</v>
      </c>
      <c r="C262" s="163">
        <v>25</v>
      </c>
      <c r="D262" s="163" t="b">
        <v>1</v>
      </c>
      <c r="E262" s="161" t="s">
        <v>38</v>
      </c>
      <c r="F262" s="161" t="str">
        <f t="shared" si="77"/>
        <v>001</v>
      </c>
      <c r="G262" s="385">
        <v>101</v>
      </c>
      <c r="H262" s="161" t="str">
        <f t="shared" si="78"/>
        <v>011</v>
      </c>
      <c r="I262" s="161" t="str">
        <f t="shared" si="79"/>
        <v>001-011</v>
      </c>
      <c r="J262" s="162" t="s">
        <v>491</v>
      </c>
      <c r="K262" s="161" t="s">
        <v>340</v>
      </c>
      <c r="M262" s="418">
        <v>430554</v>
      </c>
      <c r="N262" s="157">
        <f t="shared" si="80"/>
        <v>101</v>
      </c>
      <c r="O262" s="156">
        <f t="shared" si="74"/>
        <v>430554</v>
      </c>
      <c r="Q262" s="156"/>
      <c r="Y262" s="388">
        <v>488470</v>
      </c>
      <c r="Z262" s="388">
        <v>-61136</v>
      </c>
      <c r="AA262" s="387">
        <f t="shared" si="75"/>
        <v>0</v>
      </c>
    </row>
    <row r="263" spans="1:27" ht="12.75" hidden="1" customHeight="1">
      <c r="A263" s="161" t="str">
        <f t="shared" si="76"/>
        <v>18Health Rate Changes</v>
      </c>
      <c r="B263" s="161">
        <f t="shared" si="73"/>
        <v>1</v>
      </c>
      <c r="C263" s="163">
        <v>18</v>
      </c>
      <c r="D263" s="163" t="b">
        <v>1</v>
      </c>
      <c r="E263" s="161" t="s">
        <v>31</v>
      </c>
      <c r="F263" s="161" t="str">
        <f t="shared" si="77"/>
        <v>001</v>
      </c>
      <c r="G263" s="385">
        <v>101</v>
      </c>
      <c r="H263" s="161" t="str">
        <f t="shared" si="78"/>
        <v>011</v>
      </c>
      <c r="I263" s="161" t="str">
        <f t="shared" si="79"/>
        <v>001-011</v>
      </c>
      <c r="J263" s="162" t="s">
        <v>491</v>
      </c>
      <c r="K263" s="161" t="s">
        <v>340</v>
      </c>
      <c r="M263" s="418">
        <v>350586</v>
      </c>
      <c r="N263" s="157">
        <f t="shared" si="80"/>
        <v>101</v>
      </c>
      <c r="O263" s="156">
        <f t="shared" si="74"/>
        <v>350586</v>
      </c>
      <c r="Q263" s="156"/>
      <c r="Y263" s="387">
        <v>1127643</v>
      </c>
      <c r="Z263" s="387">
        <v>-141135</v>
      </c>
      <c r="AA263" s="387">
        <f t="shared" si="75"/>
        <v>0</v>
      </c>
    </row>
    <row r="264" spans="1:27" ht="12.75" hidden="1" customHeight="1">
      <c r="A264" s="161" t="str">
        <f t="shared" si="76"/>
        <v>30Health Rate Changes</v>
      </c>
      <c r="B264" s="161">
        <f t="shared" si="73"/>
        <v>1</v>
      </c>
      <c r="C264" s="163">
        <v>30</v>
      </c>
      <c r="D264" s="163" t="b">
        <v>1</v>
      </c>
      <c r="E264" s="161" t="s">
        <v>43</v>
      </c>
      <c r="F264" s="161" t="str">
        <f t="shared" si="77"/>
        <v>001</v>
      </c>
      <c r="G264" s="385">
        <v>101</v>
      </c>
      <c r="H264" s="161" t="str">
        <f t="shared" si="78"/>
        <v>011</v>
      </c>
      <c r="I264" s="161" t="str">
        <f t="shared" si="79"/>
        <v>001-011</v>
      </c>
      <c r="J264" s="162" t="s">
        <v>491</v>
      </c>
      <c r="K264" s="161" t="s">
        <v>340</v>
      </c>
      <c r="M264" s="418">
        <v>543364</v>
      </c>
      <c r="N264" s="157">
        <f t="shared" si="80"/>
        <v>101</v>
      </c>
      <c r="O264" s="156">
        <f t="shared" si="74"/>
        <v>543364</v>
      </c>
      <c r="Q264" s="156"/>
      <c r="Y264" s="388">
        <v>449534</v>
      </c>
      <c r="Z264" s="388">
        <v>-56263</v>
      </c>
      <c r="AA264" s="387">
        <f t="shared" si="75"/>
        <v>0</v>
      </c>
    </row>
    <row r="265" spans="1:27" ht="12.75" hidden="1" customHeight="1">
      <c r="A265" s="161" t="str">
        <f t="shared" si="76"/>
        <v>12Health Rate Changes</v>
      </c>
      <c r="B265" s="161">
        <f t="shared" si="73"/>
        <v>1</v>
      </c>
      <c r="C265" s="163">
        <v>12</v>
      </c>
      <c r="D265" s="163" t="b">
        <v>1</v>
      </c>
      <c r="E265" s="161" t="s">
        <v>25</v>
      </c>
      <c r="F265" s="161" t="str">
        <f t="shared" si="77"/>
        <v>001</v>
      </c>
      <c r="G265" s="385">
        <v>101</v>
      </c>
      <c r="H265" s="161" t="str">
        <f t="shared" si="78"/>
        <v>011</v>
      </c>
      <c r="I265" s="161" t="str">
        <f t="shared" si="79"/>
        <v>001-011</v>
      </c>
      <c r="J265" s="162" t="s">
        <v>491</v>
      </c>
      <c r="K265" s="161" t="s">
        <v>340</v>
      </c>
      <c r="M265" s="418">
        <v>459967</v>
      </c>
      <c r="N265" s="157">
        <f t="shared" si="80"/>
        <v>101</v>
      </c>
      <c r="O265" s="156">
        <f t="shared" si="74"/>
        <v>459967</v>
      </c>
      <c r="Q265" s="156"/>
      <c r="Y265" s="387">
        <v>1384190</v>
      </c>
      <c r="Z265" s="387">
        <v>-173244</v>
      </c>
      <c r="AA265" s="387">
        <f t="shared" si="75"/>
        <v>0</v>
      </c>
    </row>
    <row r="266" spans="1:27" ht="12.75" hidden="1" customHeight="1">
      <c r="A266" s="161" t="str">
        <f t="shared" si="76"/>
        <v>14Health Rate Changes</v>
      </c>
      <c r="B266" s="161">
        <f t="shared" si="73"/>
        <v>1</v>
      </c>
      <c r="C266" s="163">
        <v>14</v>
      </c>
      <c r="D266" s="163" t="b">
        <v>1</v>
      </c>
      <c r="E266" s="161" t="s">
        <v>27</v>
      </c>
      <c r="F266" s="161" t="str">
        <f t="shared" si="77"/>
        <v>001</v>
      </c>
      <c r="G266" s="385">
        <v>101</v>
      </c>
      <c r="H266" s="161" t="str">
        <f t="shared" si="78"/>
        <v>011</v>
      </c>
      <c r="I266" s="161" t="str">
        <f t="shared" si="79"/>
        <v>001-011</v>
      </c>
      <c r="J266" s="162" t="s">
        <v>491</v>
      </c>
      <c r="K266" s="161" t="s">
        <v>340</v>
      </c>
      <c r="M266" s="418">
        <v>1606722</v>
      </c>
      <c r="N266" s="157">
        <f t="shared" si="80"/>
        <v>101</v>
      </c>
      <c r="O266" s="156">
        <f t="shared" si="74"/>
        <v>1606722</v>
      </c>
      <c r="Q266" s="156"/>
      <c r="Y266" s="388">
        <v>646143</v>
      </c>
      <c r="Z266" s="388">
        <v>-80871</v>
      </c>
      <c r="AA266" s="387">
        <f t="shared" si="75"/>
        <v>0</v>
      </c>
    </row>
    <row r="267" spans="1:27" ht="12.75" hidden="1" customHeight="1">
      <c r="A267" s="161" t="str">
        <f t="shared" si="76"/>
        <v>29Health Rate Changes</v>
      </c>
      <c r="B267" s="161">
        <f t="shared" si="73"/>
        <v>1</v>
      </c>
      <c r="C267" s="163">
        <v>29</v>
      </c>
      <c r="D267" s="163" t="b">
        <v>1</v>
      </c>
      <c r="E267" s="161" t="s">
        <v>42</v>
      </c>
      <c r="F267" s="161" t="str">
        <f t="shared" si="77"/>
        <v>001</v>
      </c>
      <c r="G267" s="385">
        <v>101</v>
      </c>
      <c r="H267" s="161" t="str">
        <f t="shared" si="78"/>
        <v>011</v>
      </c>
      <c r="I267" s="161" t="str">
        <f t="shared" si="79"/>
        <v>001-011</v>
      </c>
      <c r="J267" s="162" t="s">
        <v>491</v>
      </c>
      <c r="K267" s="161" t="s">
        <v>340</v>
      </c>
      <c r="M267" s="418">
        <v>645053</v>
      </c>
      <c r="N267" s="157">
        <f t="shared" si="80"/>
        <v>101</v>
      </c>
      <c r="O267" s="156">
        <f t="shared" si="74"/>
        <v>645053</v>
      </c>
      <c r="Q267" s="156"/>
      <c r="Y267" s="387">
        <v>3319314</v>
      </c>
      <c r="Z267" s="387">
        <v>-415442</v>
      </c>
      <c r="AA267" s="387">
        <f t="shared" si="75"/>
        <v>0</v>
      </c>
    </row>
    <row r="268" spans="1:27" ht="12.75" hidden="1" customHeight="1">
      <c r="A268" s="161" t="str">
        <f t="shared" si="76"/>
        <v>19Health Rate Changes</v>
      </c>
      <c r="B268" s="161">
        <f t="shared" si="73"/>
        <v>1</v>
      </c>
      <c r="C268" s="163">
        <v>19</v>
      </c>
      <c r="D268" s="163" t="b">
        <v>1</v>
      </c>
      <c r="E268" s="161" t="s">
        <v>32</v>
      </c>
      <c r="F268" s="161" t="str">
        <f t="shared" si="77"/>
        <v>001</v>
      </c>
      <c r="G268" s="385">
        <v>101</v>
      </c>
      <c r="H268" s="161" t="str">
        <f t="shared" si="78"/>
        <v>011</v>
      </c>
      <c r="I268" s="161" t="str">
        <f t="shared" si="79"/>
        <v>001-011</v>
      </c>
      <c r="J268" s="162" t="s">
        <v>491</v>
      </c>
      <c r="K268" s="161" t="s">
        <v>340</v>
      </c>
      <c r="M268" s="418">
        <v>742343</v>
      </c>
      <c r="N268" s="157">
        <f t="shared" si="80"/>
        <v>101</v>
      </c>
      <c r="O268" s="156">
        <f t="shared" si="74"/>
        <v>742343</v>
      </c>
      <c r="Q268" s="156"/>
      <c r="Y268" s="388">
        <v>1050944</v>
      </c>
      <c r="Z268" s="388">
        <v>-131535</v>
      </c>
      <c r="AA268" s="387">
        <f t="shared" si="75"/>
        <v>0</v>
      </c>
    </row>
    <row r="269" spans="1:27" ht="12.75" hidden="1" customHeight="1">
      <c r="A269" s="161" t="str">
        <f t="shared" si="76"/>
        <v>23Health Rate Changes</v>
      </c>
      <c r="B269" s="161">
        <f t="shared" si="73"/>
        <v>1</v>
      </c>
      <c r="C269" s="163">
        <v>23</v>
      </c>
      <c r="D269" s="163" t="b">
        <v>1</v>
      </c>
      <c r="E269" s="161" t="s">
        <v>36</v>
      </c>
      <c r="F269" s="161" t="str">
        <f t="shared" si="77"/>
        <v>001</v>
      </c>
      <c r="G269" s="385">
        <v>101</v>
      </c>
      <c r="H269" s="161" t="str">
        <f t="shared" si="78"/>
        <v>011</v>
      </c>
      <c r="I269" s="161" t="str">
        <f t="shared" si="79"/>
        <v>001-011</v>
      </c>
      <c r="J269" s="162" t="s">
        <v>491</v>
      </c>
      <c r="K269" s="161" t="s">
        <v>340</v>
      </c>
      <c r="M269" s="418">
        <v>1236060</v>
      </c>
      <c r="N269" s="157">
        <f t="shared" si="80"/>
        <v>101</v>
      </c>
      <c r="O269" s="156">
        <f t="shared" si="74"/>
        <v>1236060</v>
      </c>
      <c r="Q269" s="156"/>
      <c r="Y269" s="387">
        <v>889100</v>
      </c>
      <c r="Z269" s="387">
        <v>-111279</v>
      </c>
      <c r="AA269" s="387">
        <f t="shared" si="75"/>
        <v>0</v>
      </c>
    </row>
    <row r="270" spans="1:27" ht="12.75" hidden="1" customHeight="1">
      <c r="A270" s="161" t="str">
        <f t="shared" si="76"/>
        <v>5Health Rate Changes</v>
      </c>
      <c r="B270" s="161">
        <f t="shared" si="73"/>
        <v>1</v>
      </c>
      <c r="C270" s="163">
        <v>5</v>
      </c>
      <c r="D270" s="163" t="b">
        <v>1</v>
      </c>
      <c r="E270" s="161" t="s">
        <v>18</v>
      </c>
      <c r="F270" s="161" t="str">
        <f t="shared" si="77"/>
        <v>001</v>
      </c>
      <c r="G270" s="385">
        <v>101</v>
      </c>
      <c r="H270" s="161" t="str">
        <f t="shared" si="78"/>
        <v>011</v>
      </c>
      <c r="I270" s="161" t="str">
        <f t="shared" si="79"/>
        <v>001-011</v>
      </c>
      <c r="J270" s="162" t="s">
        <v>491</v>
      </c>
      <c r="K270" s="161" t="s">
        <v>340</v>
      </c>
      <c r="M270" s="418">
        <v>1050033</v>
      </c>
      <c r="N270" s="157">
        <f t="shared" si="80"/>
        <v>101</v>
      </c>
      <c r="O270" s="156">
        <f t="shared" si="74"/>
        <v>1050033</v>
      </c>
      <c r="Q270" s="156"/>
      <c r="Y270" s="388">
        <v>873108</v>
      </c>
      <c r="Z270" s="388">
        <v>-109277</v>
      </c>
      <c r="AA270" s="387">
        <f t="shared" si="75"/>
        <v>0</v>
      </c>
    </row>
    <row r="271" spans="1:27" ht="12.75" hidden="1" customHeight="1">
      <c r="A271" s="161" t="str">
        <f t="shared" si="76"/>
        <v>2Health Rate Changes</v>
      </c>
      <c r="B271" s="161">
        <f t="shared" si="73"/>
        <v>1</v>
      </c>
      <c r="C271" s="163">
        <v>2</v>
      </c>
      <c r="D271" s="163" t="b">
        <v>1</v>
      </c>
      <c r="E271" s="161" t="s">
        <v>15</v>
      </c>
      <c r="F271" s="161" t="str">
        <f t="shared" si="77"/>
        <v>001</v>
      </c>
      <c r="G271" s="385">
        <v>101</v>
      </c>
      <c r="H271" s="161" t="str">
        <f t="shared" si="78"/>
        <v>011</v>
      </c>
      <c r="I271" s="161" t="str">
        <f t="shared" si="79"/>
        <v>001-011</v>
      </c>
      <c r="J271" s="162" t="s">
        <v>491</v>
      </c>
      <c r="K271" s="161" t="s">
        <v>340</v>
      </c>
      <c r="M271" s="418">
        <v>331818</v>
      </c>
      <c r="N271" s="157">
        <f t="shared" si="80"/>
        <v>101</v>
      </c>
      <c r="O271" s="156">
        <f t="shared" si="74"/>
        <v>331818</v>
      </c>
      <c r="Q271" s="156"/>
      <c r="Y271" s="387">
        <v>2733628</v>
      </c>
      <c r="Z271" s="387">
        <v>-342139</v>
      </c>
      <c r="AA271" s="387">
        <f t="shared" si="75"/>
        <v>0</v>
      </c>
    </row>
    <row r="272" spans="1:27" ht="12.75" hidden="1" customHeight="1">
      <c r="A272" s="161" t="str">
        <f t="shared" si="76"/>
        <v>10Health Rate Changes</v>
      </c>
      <c r="B272" s="161">
        <f t="shared" si="73"/>
        <v>1</v>
      </c>
      <c r="C272" s="163">
        <v>10</v>
      </c>
      <c r="D272" s="163" t="b">
        <v>1</v>
      </c>
      <c r="E272" s="161" t="s">
        <v>23</v>
      </c>
      <c r="F272" s="161" t="str">
        <f t="shared" si="77"/>
        <v>001</v>
      </c>
      <c r="G272" s="385">
        <v>101</v>
      </c>
      <c r="H272" s="161" t="str">
        <f t="shared" si="78"/>
        <v>011</v>
      </c>
      <c r="I272" s="161" t="str">
        <f t="shared" si="79"/>
        <v>001-011</v>
      </c>
      <c r="J272" s="162" t="s">
        <v>491</v>
      </c>
      <c r="K272" s="161" t="s">
        <v>340</v>
      </c>
      <c r="M272" s="418">
        <v>1239840</v>
      </c>
      <c r="N272" s="157">
        <f t="shared" si="80"/>
        <v>101</v>
      </c>
      <c r="O272" s="156">
        <f t="shared" si="74"/>
        <v>1239840</v>
      </c>
      <c r="Q272" s="156"/>
      <c r="Y272" s="388">
        <v>1190740</v>
      </c>
      <c r="Z272" s="388">
        <v>-149032</v>
      </c>
      <c r="AA272" s="387">
        <f t="shared" si="75"/>
        <v>0</v>
      </c>
    </row>
    <row r="273" spans="1:27" ht="12.75" hidden="1" customHeight="1">
      <c r="A273" s="161" t="str">
        <f t="shared" si="76"/>
        <v>9Health Rate Changes</v>
      </c>
      <c r="B273" s="161">
        <f t="shared" si="73"/>
        <v>1</v>
      </c>
      <c r="C273" s="163">
        <v>9</v>
      </c>
      <c r="D273" s="163" t="b">
        <v>1</v>
      </c>
      <c r="E273" s="161" t="s">
        <v>22</v>
      </c>
      <c r="F273" s="161" t="str">
        <f t="shared" si="77"/>
        <v>001</v>
      </c>
      <c r="G273" s="385">
        <v>101</v>
      </c>
      <c r="H273" s="161" t="str">
        <f t="shared" si="78"/>
        <v>011</v>
      </c>
      <c r="I273" s="161" t="str">
        <f t="shared" si="79"/>
        <v>001-011</v>
      </c>
      <c r="J273" s="162" t="s">
        <v>491</v>
      </c>
      <c r="K273" s="161" t="s">
        <v>340</v>
      </c>
      <c r="M273" s="418">
        <v>1049883</v>
      </c>
      <c r="N273" s="157">
        <f t="shared" si="80"/>
        <v>101</v>
      </c>
      <c r="O273" s="156">
        <f t="shared" si="74"/>
        <v>1049883</v>
      </c>
      <c r="Q273" s="156"/>
      <c r="Y273" s="387">
        <v>787473</v>
      </c>
      <c r="Z273" s="387">
        <v>-98559</v>
      </c>
      <c r="AA273" s="387">
        <f t="shared" si="75"/>
        <v>0</v>
      </c>
    </row>
    <row r="274" spans="1:27" ht="12.75" hidden="1" customHeight="1">
      <c r="A274" s="161" t="str">
        <f t="shared" si="76"/>
        <v>26Health Rate Changes</v>
      </c>
      <c r="B274" s="161">
        <f t="shared" si="73"/>
        <v>1</v>
      </c>
      <c r="C274" s="163">
        <v>26</v>
      </c>
      <c r="D274" s="163" t="b">
        <v>1</v>
      </c>
      <c r="E274" s="161" t="s">
        <v>39</v>
      </c>
      <c r="F274" s="161" t="str">
        <f t="shared" si="77"/>
        <v>001</v>
      </c>
      <c r="G274" s="385">
        <v>101</v>
      </c>
      <c r="H274" s="161" t="str">
        <f t="shared" si="78"/>
        <v>011</v>
      </c>
      <c r="I274" s="161" t="str">
        <f t="shared" si="79"/>
        <v>001-011</v>
      </c>
      <c r="J274" s="162" t="s">
        <v>491</v>
      </c>
      <c r="K274" s="161" t="s">
        <v>340</v>
      </c>
      <c r="M274" s="418">
        <v>592728</v>
      </c>
      <c r="N274" s="157">
        <f t="shared" si="80"/>
        <v>101</v>
      </c>
      <c r="O274" s="156">
        <f t="shared" si="74"/>
        <v>592728</v>
      </c>
      <c r="Q274" s="156"/>
      <c r="Y274" s="388">
        <v>666533</v>
      </c>
      <c r="Z274" s="388">
        <v>-83423</v>
      </c>
      <c r="AA274" s="387">
        <f t="shared" si="75"/>
        <v>0</v>
      </c>
    </row>
    <row r="275" spans="1:27" ht="12.75" hidden="1" customHeight="1">
      <c r="A275" s="161" t="str">
        <f t="shared" si="76"/>
        <v>13Health Rate Changes</v>
      </c>
      <c r="B275" s="161">
        <f t="shared" si="73"/>
        <v>1</v>
      </c>
      <c r="C275" s="163">
        <v>13</v>
      </c>
      <c r="D275" s="163" t="b">
        <v>1</v>
      </c>
      <c r="E275" s="161" t="s">
        <v>26</v>
      </c>
      <c r="F275" s="161" t="str">
        <f t="shared" si="77"/>
        <v>001</v>
      </c>
      <c r="G275" s="385">
        <v>101</v>
      </c>
      <c r="H275" s="161" t="str">
        <f t="shared" si="78"/>
        <v>011</v>
      </c>
      <c r="I275" s="161" t="str">
        <f t="shared" si="79"/>
        <v>001-011</v>
      </c>
      <c r="J275" s="162" t="s">
        <v>491</v>
      </c>
      <c r="K275" s="161" t="s">
        <v>340</v>
      </c>
      <c r="M275" s="418">
        <v>424794</v>
      </c>
      <c r="N275" s="157">
        <f t="shared" si="80"/>
        <v>101</v>
      </c>
      <c r="O275" s="156">
        <f t="shared" si="74"/>
        <v>424794</v>
      </c>
      <c r="Q275" s="156"/>
      <c r="Y275" s="387">
        <v>639495</v>
      </c>
      <c r="Z275" s="387">
        <v>-80040</v>
      </c>
      <c r="AA275" s="387">
        <f t="shared" si="75"/>
        <v>0</v>
      </c>
    </row>
    <row r="276" spans="1:27" ht="12.75" hidden="1" customHeight="1">
      <c r="A276" s="161" t="str">
        <f t="shared" si="76"/>
        <v>3Health Rate Changes</v>
      </c>
      <c r="B276" s="161">
        <f t="shared" si="73"/>
        <v>1</v>
      </c>
      <c r="C276" s="163">
        <v>3</v>
      </c>
      <c r="D276" s="163" t="b">
        <v>1</v>
      </c>
      <c r="E276" s="161" t="s">
        <v>16</v>
      </c>
      <c r="F276" s="161" t="str">
        <f t="shared" si="77"/>
        <v>001</v>
      </c>
      <c r="G276" s="385">
        <v>101</v>
      </c>
      <c r="H276" s="161" t="str">
        <f t="shared" si="78"/>
        <v>011</v>
      </c>
      <c r="I276" s="161" t="str">
        <f t="shared" si="79"/>
        <v>001-011</v>
      </c>
      <c r="J276" s="162" t="s">
        <v>491</v>
      </c>
      <c r="K276" s="161" t="s">
        <v>340</v>
      </c>
      <c r="M276" s="418">
        <v>980645</v>
      </c>
      <c r="N276" s="157">
        <f t="shared" si="80"/>
        <v>101</v>
      </c>
      <c r="O276" s="156">
        <f t="shared" si="74"/>
        <v>980645</v>
      </c>
      <c r="Q276" s="156"/>
      <c r="Y276" s="388">
        <v>858910</v>
      </c>
      <c r="Z276" s="388">
        <v>-107500</v>
      </c>
      <c r="AA276" s="387">
        <f t="shared" si="75"/>
        <v>0</v>
      </c>
    </row>
    <row r="277" spans="1:27" ht="12.75" hidden="1" customHeight="1">
      <c r="A277" s="161" t="str">
        <f t="shared" si="76"/>
        <v>1Health Rate Changes</v>
      </c>
      <c r="B277" s="161">
        <f t="shared" si="73"/>
        <v>1</v>
      </c>
      <c r="C277" s="163">
        <v>1</v>
      </c>
      <c r="D277" s="163" t="b">
        <v>1</v>
      </c>
      <c r="E277" s="161" t="s">
        <v>14</v>
      </c>
      <c r="F277" s="161" t="str">
        <f t="shared" si="77"/>
        <v>001</v>
      </c>
      <c r="G277" s="385">
        <v>101</v>
      </c>
      <c r="H277" s="161" t="str">
        <f t="shared" si="78"/>
        <v>011</v>
      </c>
      <c r="I277" s="161" t="str">
        <f t="shared" si="79"/>
        <v>001-011</v>
      </c>
      <c r="J277" s="162" t="s">
        <v>491</v>
      </c>
      <c r="K277" s="161" t="s">
        <v>340</v>
      </c>
      <c r="M277" s="418">
        <v>390933</v>
      </c>
      <c r="N277" s="157">
        <f t="shared" si="80"/>
        <v>101</v>
      </c>
      <c r="O277" s="156">
        <f t="shared" si="74"/>
        <v>390933</v>
      </c>
      <c r="Q277" s="156"/>
      <c r="Y277" s="388">
        <v>324749</v>
      </c>
      <c r="Z277" s="388">
        <v>-40645</v>
      </c>
      <c r="AA277" s="387">
        <f t="shared" si="75"/>
        <v>0</v>
      </c>
    </row>
    <row r="278" spans="1:27" ht="12.75" hidden="1" customHeight="1">
      <c r="A278" s="161" t="str">
        <f t="shared" si="76"/>
        <v>11Health Rate Changes</v>
      </c>
      <c r="B278" s="161">
        <f t="shared" si="73"/>
        <v>1</v>
      </c>
      <c r="C278" s="163">
        <v>11</v>
      </c>
      <c r="D278" s="163" t="b">
        <v>1</v>
      </c>
      <c r="E278" s="161" t="s">
        <v>24</v>
      </c>
      <c r="F278" s="161" t="str">
        <f t="shared" si="77"/>
        <v>001</v>
      </c>
      <c r="G278" s="385">
        <v>101</v>
      </c>
      <c r="H278" s="161" t="str">
        <f t="shared" si="78"/>
        <v>011</v>
      </c>
      <c r="I278" s="161" t="str">
        <f t="shared" si="79"/>
        <v>001-011</v>
      </c>
      <c r="J278" s="162" t="s">
        <v>491</v>
      </c>
      <c r="K278" s="161" t="s">
        <v>340</v>
      </c>
      <c r="M278" s="418">
        <v>1203749</v>
      </c>
      <c r="N278" s="157">
        <f t="shared" si="80"/>
        <v>101</v>
      </c>
      <c r="O278" s="156">
        <f t="shared" si="74"/>
        <v>1203749</v>
      </c>
      <c r="Q278" s="156"/>
    </row>
    <row r="279" spans="1:27" ht="12.75" hidden="1" customHeight="1">
      <c r="A279" s="161" t="str">
        <f t="shared" si="76"/>
        <v>27Health Rate Changes</v>
      </c>
      <c r="B279" s="161">
        <f t="shared" si="73"/>
        <v>1</v>
      </c>
      <c r="C279" s="163">
        <v>27</v>
      </c>
      <c r="D279" s="163" t="b">
        <v>1</v>
      </c>
      <c r="E279" s="161" t="s">
        <v>40</v>
      </c>
      <c r="F279" s="161" t="str">
        <f t="shared" si="77"/>
        <v>001</v>
      </c>
      <c r="G279" s="385">
        <v>101</v>
      </c>
      <c r="H279" s="161" t="str">
        <f t="shared" si="78"/>
        <v>011</v>
      </c>
      <c r="I279" s="161" t="str">
        <f t="shared" si="79"/>
        <v>001-011</v>
      </c>
      <c r="J279" s="162" t="s">
        <v>491</v>
      </c>
      <c r="K279" s="161" t="s">
        <v>340</v>
      </c>
      <c r="M279" s="418">
        <v>561913</v>
      </c>
      <c r="N279" s="157">
        <f t="shared" si="80"/>
        <v>101</v>
      </c>
      <c r="O279" s="156">
        <f t="shared" si="74"/>
        <v>561913</v>
      </c>
      <c r="Q279" s="156"/>
    </row>
    <row r="280" spans="1:27" ht="12.75" hidden="1" customHeight="1">
      <c r="A280" s="161" t="str">
        <f t="shared" si="76"/>
        <v>89Health Rate Changes</v>
      </c>
      <c r="B280" s="161">
        <f t="shared" si="73"/>
        <v>1</v>
      </c>
      <c r="C280" s="160" t="s">
        <v>144</v>
      </c>
      <c r="D280" s="163" t="b">
        <v>1</v>
      </c>
      <c r="E280" s="161" t="s">
        <v>204</v>
      </c>
      <c r="F280" s="161" t="str">
        <f t="shared" si="77"/>
        <v>001</v>
      </c>
      <c r="G280" s="161" t="str">
        <f>IF(RIGHT(J280,3)="012","201",IF(RIGHT(J280,3)="232","123",IF(RIGHT(J280,3)="1E2","215",RIGHT(J280,3))))</f>
        <v>011</v>
      </c>
      <c r="H280" s="161" t="str">
        <f t="shared" si="78"/>
        <v>011</v>
      </c>
      <c r="I280" s="161" t="str">
        <f t="shared" si="79"/>
        <v>001-011</v>
      </c>
      <c r="J280" s="162" t="s">
        <v>491</v>
      </c>
      <c r="K280" s="161" t="s">
        <v>340</v>
      </c>
      <c r="M280" s="418">
        <v>282414</v>
      </c>
      <c r="N280" s="157">
        <f t="shared" si="80"/>
        <v>101</v>
      </c>
      <c r="O280" s="156">
        <f t="shared" si="74"/>
        <v>282414</v>
      </c>
      <c r="Q280" s="156"/>
    </row>
    <row r="281" spans="1:27" ht="12.75" hidden="1" customHeight="1">
      <c r="A281" s="161" t="str">
        <f t="shared" si="76"/>
        <v>6Health Rate Changes</v>
      </c>
      <c r="B281" s="161">
        <f t="shared" si="73"/>
        <v>1</v>
      </c>
      <c r="C281" s="163">
        <v>6</v>
      </c>
      <c r="D281" s="163" t="b">
        <v>1</v>
      </c>
      <c r="E281" s="161" t="s">
        <v>19</v>
      </c>
      <c r="F281" s="161" t="str">
        <f t="shared" si="77"/>
        <v>001</v>
      </c>
      <c r="G281" s="385">
        <v>101</v>
      </c>
      <c r="H281" s="161" t="str">
        <f t="shared" si="78"/>
        <v>011</v>
      </c>
      <c r="I281" s="161" t="str">
        <f t="shared" si="79"/>
        <v>001-011</v>
      </c>
      <c r="J281" s="162" t="s">
        <v>491</v>
      </c>
      <c r="K281" s="161" t="s">
        <v>340</v>
      </c>
      <c r="M281" s="418">
        <v>2886616</v>
      </c>
      <c r="N281" s="157">
        <f t="shared" si="80"/>
        <v>101</v>
      </c>
      <c r="O281" s="156">
        <f t="shared" si="74"/>
        <v>2886616</v>
      </c>
      <c r="Q281" s="156"/>
    </row>
    <row r="282" spans="1:27" ht="12.75" hidden="1" customHeight="1">
      <c r="A282" s="161" t="str">
        <f t="shared" si="76"/>
        <v>7Health Rate Changes</v>
      </c>
      <c r="B282" s="161">
        <f t="shared" ref="B282:B292" si="81">B281</f>
        <v>1</v>
      </c>
      <c r="C282" s="163">
        <v>7</v>
      </c>
      <c r="D282" s="163" t="b">
        <v>1</v>
      </c>
      <c r="E282" s="161" t="s">
        <v>20</v>
      </c>
      <c r="F282" s="161" t="str">
        <f t="shared" si="77"/>
        <v>001</v>
      </c>
      <c r="G282" s="385">
        <v>101</v>
      </c>
      <c r="H282" s="161" t="str">
        <f t="shared" si="78"/>
        <v>011</v>
      </c>
      <c r="I282" s="161" t="str">
        <f t="shared" si="79"/>
        <v>001-011</v>
      </c>
      <c r="J282" s="162" t="s">
        <v>491</v>
      </c>
      <c r="K282" s="161" t="s">
        <v>340</v>
      </c>
      <c r="M282" s="418">
        <v>913945</v>
      </c>
      <c r="N282" s="157">
        <f t="shared" si="80"/>
        <v>101</v>
      </c>
      <c r="O282" s="156">
        <f t="shared" si="74"/>
        <v>913945</v>
      </c>
      <c r="Q282" s="156"/>
    </row>
    <row r="283" spans="1:27" ht="12.75" hidden="1" customHeight="1">
      <c r="A283" s="161" t="str">
        <f t="shared" si="76"/>
        <v>4Health Rate Changes</v>
      </c>
      <c r="B283" s="161">
        <f t="shared" si="81"/>
        <v>1</v>
      </c>
      <c r="C283" s="163">
        <v>4</v>
      </c>
      <c r="D283" s="163" t="b">
        <v>1</v>
      </c>
      <c r="E283" s="161" t="s">
        <v>17</v>
      </c>
      <c r="F283" s="161" t="str">
        <f t="shared" si="77"/>
        <v>001</v>
      </c>
      <c r="G283" s="385">
        <v>101</v>
      </c>
      <c r="H283" s="161" t="str">
        <f t="shared" si="78"/>
        <v>011</v>
      </c>
      <c r="I283" s="161" t="str">
        <f t="shared" si="79"/>
        <v>001-011</v>
      </c>
      <c r="J283" s="162" t="s">
        <v>491</v>
      </c>
      <c r="K283" s="161" t="s">
        <v>340</v>
      </c>
      <c r="M283" s="418">
        <v>773198</v>
      </c>
      <c r="N283" s="157">
        <f t="shared" si="80"/>
        <v>101</v>
      </c>
      <c r="O283" s="156">
        <f t="shared" si="74"/>
        <v>773198</v>
      </c>
      <c r="Q283" s="156"/>
    </row>
    <row r="284" spans="1:27" ht="12.75" hidden="1" customHeight="1">
      <c r="A284" s="161" t="str">
        <f t="shared" si="76"/>
        <v>24Health Rate Changes</v>
      </c>
      <c r="B284" s="161">
        <f t="shared" si="81"/>
        <v>1</v>
      </c>
      <c r="C284" s="163">
        <v>24</v>
      </c>
      <c r="D284" s="163" t="b">
        <v>1</v>
      </c>
      <c r="E284" s="161" t="s">
        <v>37</v>
      </c>
      <c r="F284" s="161" t="str">
        <f t="shared" si="77"/>
        <v>001</v>
      </c>
      <c r="G284" s="385">
        <v>101</v>
      </c>
      <c r="H284" s="161" t="str">
        <f t="shared" si="78"/>
        <v>011</v>
      </c>
      <c r="I284" s="161" t="str">
        <f t="shared" si="79"/>
        <v>001-011</v>
      </c>
      <c r="J284" s="162" t="s">
        <v>491</v>
      </c>
      <c r="K284" s="161" t="s">
        <v>340</v>
      </c>
      <c r="M284" s="418">
        <v>759291</v>
      </c>
      <c r="N284" s="157">
        <f t="shared" si="80"/>
        <v>101</v>
      </c>
      <c r="O284" s="156">
        <f t="shared" si="74"/>
        <v>759291</v>
      </c>
      <c r="Q284" s="156"/>
    </row>
    <row r="285" spans="1:27" ht="12.75" hidden="1" customHeight="1">
      <c r="A285" s="161" t="str">
        <f t="shared" si="76"/>
        <v>17Health Rate Changes</v>
      </c>
      <c r="B285" s="161">
        <f t="shared" si="81"/>
        <v>1</v>
      </c>
      <c r="C285" s="163">
        <v>17</v>
      </c>
      <c r="D285" s="163" t="b">
        <v>1</v>
      </c>
      <c r="E285" s="161" t="s">
        <v>30</v>
      </c>
      <c r="F285" s="161" t="str">
        <f t="shared" si="77"/>
        <v>001</v>
      </c>
      <c r="G285" s="385">
        <v>101</v>
      </c>
      <c r="H285" s="161" t="str">
        <f t="shared" si="78"/>
        <v>011</v>
      </c>
      <c r="I285" s="161" t="str">
        <f t="shared" si="79"/>
        <v>001-011</v>
      </c>
      <c r="J285" s="162" t="s">
        <v>491</v>
      </c>
      <c r="K285" s="161" t="s">
        <v>340</v>
      </c>
      <c r="M285" s="418">
        <v>2377276</v>
      </c>
      <c r="N285" s="157">
        <f t="shared" si="80"/>
        <v>101</v>
      </c>
      <c r="O285" s="156">
        <f t="shared" si="74"/>
        <v>2377276</v>
      </c>
      <c r="Q285" s="156"/>
    </row>
    <row r="286" spans="1:27" ht="12.75" hidden="1" customHeight="1">
      <c r="A286" s="161" t="str">
        <f t="shared" si="76"/>
        <v>22Health Rate Changes</v>
      </c>
      <c r="B286" s="161">
        <f t="shared" si="81"/>
        <v>1</v>
      </c>
      <c r="C286" s="163">
        <v>22</v>
      </c>
      <c r="D286" s="163" t="b">
        <v>1</v>
      </c>
      <c r="E286" s="161" t="s">
        <v>35</v>
      </c>
      <c r="F286" s="161" t="str">
        <f t="shared" si="77"/>
        <v>001</v>
      </c>
      <c r="G286" s="385">
        <v>101</v>
      </c>
      <c r="H286" s="161" t="str">
        <f t="shared" si="78"/>
        <v>011</v>
      </c>
      <c r="I286" s="161" t="str">
        <f t="shared" si="79"/>
        <v>001-011</v>
      </c>
      <c r="J286" s="162" t="s">
        <v>491</v>
      </c>
      <c r="K286" s="161" t="s">
        <v>340</v>
      </c>
      <c r="M286" s="418">
        <v>1035517</v>
      </c>
      <c r="N286" s="157">
        <f t="shared" si="80"/>
        <v>101</v>
      </c>
      <c r="O286" s="156">
        <f t="shared" si="74"/>
        <v>1035517</v>
      </c>
      <c r="Q286" s="156"/>
    </row>
    <row r="287" spans="1:27" ht="12.75" hidden="1" customHeight="1">
      <c r="A287" s="161" t="str">
        <f t="shared" si="76"/>
        <v>20Health Rate Changes</v>
      </c>
      <c r="B287" s="161">
        <f t="shared" si="81"/>
        <v>1</v>
      </c>
      <c r="C287" s="163">
        <v>20</v>
      </c>
      <c r="D287" s="163" t="b">
        <v>1</v>
      </c>
      <c r="E287" s="161" t="s">
        <v>33</v>
      </c>
      <c r="F287" s="161" t="str">
        <f t="shared" si="77"/>
        <v>001</v>
      </c>
      <c r="G287" s="385">
        <v>101</v>
      </c>
      <c r="H287" s="161" t="str">
        <f t="shared" si="78"/>
        <v>011</v>
      </c>
      <c r="I287" s="161" t="str">
        <f t="shared" si="79"/>
        <v>001-011</v>
      </c>
      <c r="J287" s="162" t="s">
        <v>491</v>
      </c>
      <c r="K287" s="161" t="s">
        <v>340</v>
      </c>
      <c r="M287" s="418">
        <v>684819</v>
      </c>
      <c r="N287" s="157">
        <f t="shared" si="80"/>
        <v>101</v>
      </c>
      <c r="O287" s="156">
        <f t="shared" si="74"/>
        <v>684819</v>
      </c>
      <c r="Q287" s="156"/>
    </row>
    <row r="288" spans="1:27" ht="12.75" hidden="1" customHeight="1">
      <c r="A288" s="161" t="str">
        <f t="shared" si="76"/>
        <v>15Health Rate Changes</v>
      </c>
      <c r="B288" s="161">
        <f t="shared" si="81"/>
        <v>1</v>
      </c>
      <c r="C288" s="163">
        <v>15</v>
      </c>
      <c r="D288" s="163" t="b">
        <v>1</v>
      </c>
      <c r="E288" s="161" t="s">
        <v>28</v>
      </c>
      <c r="F288" s="161" t="str">
        <f t="shared" si="77"/>
        <v>001</v>
      </c>
      <c r="G288" s="385">
        <v>101</v>
      </c>
      <c r="H288" s="161" t="str">
        <f t="shared" si="78"/>
        <v>011</v>
      </c>
      <c r="I288" s="161" t="str">
        <f t="shared" si="79"/>
        <v>001-011</v>
      </c>
      <c r="J288" s="162" t="s">
        <v>491</v>
      </c>
      <c r="K288" s="161" t="s">
        <v>340</v>
      </c>
      <c r="M288" s="418">
        <v>579644</v>
      </c>
      <c r="N288" s="157">
        <f t="shared" si="80"/>
        <v>101</v>
      </c>
      <c r="O288" s="156">
        <f t="shared" si="74"/>
        <v>579644</v>
      </c>
      <c r="Q288" s="156"/>
    </row>
    <row r="289" spans="1:17" ht="12.75" hidden="1" customHeight="1">
      <c r="A289" s="161" t="str">
        <f t="shared" si="76"/>
        <v>21Health Rate Changes</v>
      </c>
      <c r="B289" s="161">
        <f t="shared" si="81"/>
        <v>1</v>
      </c>
      <c r="C289" s="163">
        <v>21</v>
      </c>
      <c r="D289" s="163" t="b">
        <v>1</v>
      </c>
      <c r="E289" s="161" t="s">
        <v>34</v>
      </c>
      <c r="F289" s="161" t="str">
        <f t="shared" si="77"/>
        <v>001</v>
      </c>
      <c r="G289" s="385">
        <v>101</v>
      </c>
      <c r="H289" s="161" t="str">
        <f t="shared" si="78"/>
        <v>011</v>
      </c>
      <c r="I289" s="161" t="str">
        <f t="shared" si="79"/>
        <v>001-011</v>
      </c>
      <c r="J289" s="162" t="s">
        <v>491</v>
      </c>
      <c r="K289" s="161" t="s">
        <v>340</v>
      </c>
      <c r="M289" s="418">
        <v>556131</v>
      </c>
      <c r="N289" s="157">
        <f t="shared" si="80"/>
        <v>101</v>
      </c>
      <c r="O289" s="156">
        <f t="shared" si="74"/>
        <v>556131</v>
      </c>
      <c r="Q289" s="156"/>
    </row>
    <row r="290" spans="1:17" ht="12.75" hidden="1" customHeight="1">
      <c r="A290" s="161" t="str">
        <f t="shared" si="76"/>
        <v>16Health Rate Changes</v>
      </c>
      <c r="B290" s="161">
        <f t="shared" si="81"/>
        <v>1</v>
      </c>
      <c r="C290" s="163">
        <v>16</v>
      </c>
      <c r="D290" s="163" t="b">
        <v>1</v>
      </c>
      <c r="E290" s="161" t="s">
        <v>29</v>
      </c>
      <c r="F290" s="161" t="str">
        <f t="shared" si="77"/>
        <v>001</v>
      </c>
      <c r="G290" s="385">
        <v>101</v>
      </c>
      <c r="H290" s="161" t="str">
        <f t="shared" si="78"/>
        <v>011</v>
      </c>
      <c r="I290" s="161" t="str">
        <f t="shared" si="79"/>
        <v>001-011</v>
      </c>
      <c r="J290" s="162" t="s">
        <v>491</v>
      </c>
      <c r="K290" s="161" t="s">
        <v>340</v>
      </c>
      <c r="M290" s="418">
        <v>746944</v>
      </c>
      <c r="N290" s="157">
        <f t="shared" si="80"/>
        <v>101</v>
      </c>
      <c r="O290" s="156">
        <f t="shared" ref="O290:O353" si="82">SUM(L290:M290)</f>
        <v>746944</v>
      </c>
      <c r="Q290" s="156"/>
    </row>
    <row r="291" spans="1:17" ht="12.75" hidden="1" customHeight="1">
      <c r="A291" s="161" t="str">
        <f t="shared" si="76"/>
        <v>8Hospital Employee Education &amp; Training</v>
      </c>
      <c r="B291" s="161">
        <f t="shared" si="81"/>
        <v>1</v>
      </c>
      <c r="C291" s="163">
        <v>8</v>
      </c>
      <c r="D291" s="163" t="b">
        <v>1</v>
      </c>
      <c r="E291" s="161" t="s">
        <v>21</v>
      </c>
      <c r="F291" s="161" t="str">
        <f t="shared" si="77"/>
        <v>001</v>
      </c>
      <c r="G291" s="385">
        <v>101</v>
      </c>
      <c r="H291" s="161" t="str">
        <f t="shared" si="78"/>
        <v>011</v>
      </c>
      <c r="I291" s="161" t="str">
        <f t="shared" si="79"/>
        <v>001-011</v>
      </c>
      <c r="J291" s="162" t="s">
        <v>491</v>
      </c>
      <c r="K291" s="161" t="s">
        <v>162</v>
      </c>
      <c r="L291" s="420"/>
      <c r="M291" s="419"/>
      <c r="N291" s="157">
        <f t="shared" si="80"/>
        <v>101</v>
      </c>
      <c r="O291" s="156">
        <f t="shared" si="82"/>
        <v>0</v>
      </c>
      <c r="Q291" s="156"/>
    </row>
    <row r="292" spans="1:17" ht="12.75" hidden="1" customHeight="1">
      <c r="A292" s="161" t="str">
        <f t="shared" si="76"/>
        <v>25Hospital Employee Education &amp; Training</v>
      </c>
      <c r="B292" s="161">
        <f t="shared" si="81"/>
        <v>1</v>
      </c>
      <c r="C292" s="163">
        <v>25</v>
      </c>
      <c r="D292" s="163" t="b">
        <v>1</v>
      </c>
      <c r="E292" s="161" t="s">
        <v>38</v>
      </c>
      <c r="F292" s="161" t="str">
        <f t="shared" si="77"/>
        <v>001</v>
      </c>
      <c r="G292" s="385">
        <v>101</v>
      </c>
      <c r="H292" s="161" t="str">
        <f t="shared" si="78"/>
        <v>011</v>
      </c>
      <c r="I292" s="161" t="str">
        <f t="shared" si="79"/>
        <v>001-011</v>
      </c>
      <c r="J292" s="162" t="s">
        <v>491</v>
      </c>
      <c r="K292" s="161" t="s">
        <v>162</v>
      </c>
      <c r="L292" s="418">
        <v>53316</v>
      </c>
      <c r="M292" s="419">
        <v>-53316</v>
      </c>
      <c r="N292" s="157">
        <f t="shared" si="80"/>
        <v>101</v>
      </c>
      <c r="O292" s="156">
        <f t="shared" si="82"/>
        <v>0</v>
      </c>
      <c r="Q292" s="156"/>
    </row>
    <row r="293" spans="1:17" ht="12.75" hidden="1" customHeight="1">
      <c r="A293" s="161" t="str">
        <f t="shared" si="76"/>
        <v>14Hospital Employee Education &amp; Training</v>
      </c>
      <c r="B293" s="161">
        <f>B291</f>
        <v>1</v>
      </c>
      <c r="C293" s="163">
        <v>14</v>
      </c>
      <c r="D293" s="163" t="b">
        <v>1</v>
      </c>
      <c r="E293" s="161" t="s">
        <v>27</v>
      </c>
      <c r="F293" s="161" t="str">
        <f t="shared" si="77"/>
        <v>001</v>
      </c>
      <c r="G293" s="385">
        <v>101</v>
      </c>
      <c r="H293" s="161" t="str">
        <f t="shared" si="78"/>
        <v>011</v>
      </c>
      <c r="I293" s="161" t="str">
        <f t="shared" si="79"/>
        <v>001-011</v>
      </c>
      <c r="J293" s="162" t="s">
        <v>491</v>
      </c>
      <c r="K293" s="161" t="s">
        <v>162</v>
      </c>
      <c r="L293" s="418">
        <v>71127</v>
      </c>
      <c r="M293" s="419">
        <v>-71127</v>
      </c>
      <c r="N293" s="157">
        <f t="shared" si="80"/>
        <v>101</v>
      </c>
      <c r="O293" s="156">
        <f t="shared" si="82"/>
        <v>0</v>
      </c>
      <c r="Q293" s="156"/>
    </row>
    <row r="294" spans="1:17" ht="12.75" hidden="1" customHeight="1">
      <c r="A294" s="161" t="str">
        <f t="shared" si="76"/>
        <v>23Hospital Employee Education &amp; Training</v>
      </c>
      <c r="B294" s="161">
        <f t="shared" ref="B294:B302" si="83">B293</f>
        <v>1</v>
      </c>
      <c r="C294" s="163">
        <v>23</v>
      </c>
      <c r="D294" s="163" t="b">
        <v>1</v>
      </c>
      <c r="E294" s="161" t="s">
        <v>36</v>
      </c>
      <c r="F294" s="161" t="str">
        <f t="shared" si="77"/>
        <v>001</v>
      </c>
      <c r="G294" s="385">
        <v>101</v>
      </c>
      <c r="H294" s="161" t="str">
        <f t="shared" si="78"/>
        <v>011</v>
      </c>
      <c r="I294" s="161" t="str">
        <f t="shared" si="79"/>
        <v>001-011</v>
      </c>
      <c r="J294" s="162" t="s">
        <v>491</v>
      </c>
      <c r="K294" s="161" t="s">
        <v>162</v>
      </c>
      <c r="L294" s="418">
        <v>134220</v>
      </c>
      <c r="M294" s="419">
        <v>-134220</v>
      </c>
      <c r="N294" s="157">
        <f t="shared" si="80"/>
        <v>101</v>
      </c>
      <c r="O294" s="156">
        <f t="shared" si="82"/>
        <v>0</v>
      </c>
      <c r="Q294" s="156"/>
    </row>
    <row r="295" spans="1:17" ht="12.75" hidden="1" customHeight="1">
      <c r="A295" s="161" t="str">
        <f t="shared" si="76"/>
        <v>00Hospital Employee Education &amp; Training</v>
      </c>
      <c r="B295" s="161">
        <f t="shared" si="83"/>
        <v>1</v>
      </c>
      <c r="C295" s="163" t="s">
        <v>180</v>
      </c>
      <c r="D295" s="163" t="b">
        <v>1</v>
      </c>
      <c r="E295" s="161" t="s">
        <v>181</v>
      </c>
      <c r="F295" s="161" t="str">
        <f t="shared" si="77"/>
        <v>001</v>
      </c>
      <c r="G295" s="385">
        <v>101</v>
      </c>
      <c r="H295" s="161" t="str">
        <f t="shared" si="78"/>
        <v>011</v>
      </c>
      <c r="I295" s="161" t="str">
        <f t="shared" si="79"/>
        <v>001-011</v>
      </c>
      <c r="J295" s="162" t="s">
        <v>491</v>
      </c>
      <c r="K295" s="161" t="s">
        <v>162</v>
      </c>
      <c r="L295" s="418">
        <v>0</v>
      </c>
      <c r="M295" s="420">
        <v>2039906</v>
      </c>
      <c r="N295" s="157">
        <f t="shared" si="80"/>
        <v>101</v>
      </c>
      <c r="O295" s="156">
        <f t="shared" si="82"/>
        <v>2039906</v>
      </c>
      <c r="Q295" s="156"/>
    </row>
    <row r="296" spans="1:17" ht="12.75" hidden="1" customHeight="1">
      <c r="A296" s="161" t="str">
        <f t="shared" si="76"/>
        <v>9Hospital Employee Education &amp; Training</v>
      </c>
      <c r="B296" s="161">
        <f t="shared" si="83"/>
        <v>1</v>
      </c>
      <c r="C296" s="163">
        <v>9</v>
      </c>
      <c r="D296" s="163" t="b">
        <v>1</v>
      </c>
      <c r="E296" s="161" t="s">
        <v>22</v>
      </c>
      <c r="F296" s="161" t="str">
        <f t="shared" si="77"/>
        <v>001</v>
      </c>
      <c r="G296" s="385">
        <v>101</v>
      </c>
      <c r="H296" s="161" t="str">
        <f t="shared" si="78"/>
        <v>011</v>
      </c>
      <c r="I296" s="161" t="str">
        <f t="shared" si="79"/>
        <v>001-011</v>
      </c>
      <c r="J296" s="162" t="s">
        <v>491</v>
      </c>
      <c r="K296" s="161" t="s">
        <v>162</v>
      </c>
      <c r="L296" s="418">
        <v>608395</v>
      </c>
      <c r="M296" s="419">
        <v>-608395</v>
      </c>
      <c r="N296" s="157">
        <f t="shared" si="80"/>
        <v>101</v>
      </c>
      <c r="O296" s="156">
        <f t="shared" si="82"/>
        <v>0</v>
      </c>
      <c r="Q296" s="156"/>
    </row>
    <row r="297" spans="1:17" ht="12.75" hidden="1" customHeight="1">
      <c r="A297" s="161" t="str">
        <f t="shared" si="76"/>
        <v>3Hospital Employee Education &amp; Training</v>
      </c>
      <c r="B297" s="161">
        <f t="shared" si="83"/>
        <v>1</v>
      </c>
      <c r="C297" s="163">
        <v>3</v>
      </c>
      <c r="D297" s="163" t="b">
        <v>1</v>
      </c>
      <c r="E297" s="161" t="s">
        <v>16</v>
      </c>
      <c r="F297" s="161" t="str">
        <f t="shared" si="77"/>
        <v>001</v>
      </c>
      <c r="G297" s="385">
        <v>101</v>
      </c>
      <c r="H297" s="161" t="str">
        <f t="shared" si="78"/>
        <v>011</v>
      </c>
      <c r="I297" s="161" t="str">
        <f t="shared" si="79"/>
        <v>001-011</v>
      </c>
      <c r="J297" s="162" t="s">
        <v>491</v>
      </c>
      <c r="K297" s="161" t="s">
        <v>162</v>
      </c>
      <c r="L297" s="418">
        <v>41923</v>
      </c>
      <c r="M297" s="419">
        <v>-41923</v>
      </c>
      <c r="N297" s="157">
        <f t="shared" si="80"/>
        <v>101</v>
      </c>
      <c r="O297" s="156">
        <f t="shared" si="82"/>
        <v>0</v>
      </c>
      <c r="Q297" s="156"/>
    </row>
    <row r="298" spans="1:17" ht="12.75" hidden="1" customHeight="1">
      <c r="A298" s="161" t="str">
        <f t="shared" si="76"/>
        <v>11Hospital Employee Education &amp; Training</v>
      </c>
      <c r="B298" s="161">
        <f t="shared" si="83"/>
        <v>1</v>
      </c>
      <c r="C298" s="163">
        <v>11</v>
      </c>
      <c r="D298" s="163" t="b">
        <v>1</v>
      </c>
      <c r="E298" s="161" t="s">
        <v>24</v>
      </c>
      <c r="F298" s="161" t="str">
        <f t="shared" si="77"/>
        <v>001</v>
      </c>
      <c r="G298" s="385">
        <v>101</v>
      </c>
      <c r="H298" s="161" t="str">
        <f t="shared" si="78"/>
        <v>011</v>
      </c>
      <c r="I298" s="161" t="str">
        <f t="shared" si="79"/>
        <v>001-011</v>
      </c>
      <c r="J298" s="162" t="s">
        <v>491</v>
      </c>
      <c r="K298" s="161" t="s">
        <v>162</v>
      </c>
      <c r="L298" s="418">
        <v>128815</v>
      </c>
      <c r="M298" s="419">
        <v>-128815</v>
      </c>
      <c r="N298" s="157">
        <f t="shared" si="80"/>
        <v>101</v>
      </c>
      <c r="O298" s="156">
        <f t="shared" si="82"/>
        <v>0</v>
      </c>
      <c r="Q298" s="156"/>
    </row>
    <row r="299" spans="1:17" ht="12.75" hidden="1" customHeight="1">
      <c r="A299" s="161" t="str">
        <f t="shared" si="76"/>
        <v>89Hospital Employee Education &amp; Training</v>
      </c>
      <c r="B299" s="161">
        <f t="shared" si="83"/>
        <v>1</v>
      </c>
      <c r="C299" s="160" t="s">
        <v>144</v>
      </c>
      <c r="D299" s="163" t="b">
        <v>1</v>
      </c>
      <c r="E299" s="161" t="s">
        <v>204</v>
      </c>
      <c r="F299" s="161" t="str">
        <f t="shared" si="77"/>
        <v>001</v>
      </c>
      <c r="G299" s="161" t="str">
        <f>IF(RIGHT(J299,3)="012","201",IF(RIGHT(J299,3)="232","123",IF(RIGHT(J299,3)="1E2","215",RIGHT(J299,3))))</f>
        <v>011</v>
      </c>
      <c r="H299" s="161" t="str">
        <f t="shared" si="78"/>
        <v>011</v>
      </c>
      <c r="I299" s="161" t="str">
        <f t="shared" si="79"/>
        <v>001-011</v>
      </c>
      <c r="J299" s="162" t="s">
        <v>491</v>
      </c>
      <c r="K299" s="161" t="s">
        <v>162</v>
      </c>
      <c r="L299" s="421">
        <v>42074</v>
      </c>
      <c r="M299" s="420">
        <v>-42074</v>
      </c>
      <c r="N299" s="157">
        <f t="shared" si="80"/>
        <v>101</v>
      </c>
      <c r="O299" s="156">
        <f t="shared" si="82"/>
        <v>0</v>
      </c>
      <c r="Q299" s="156"/>
    </row>
    <row r="300" spans="1:17" ht="12.75" hidden="1" customHeight="1">
      <c r="A300" s="161" t="str">
        <f t="shared" si="76"/>
        <v>6Hospital Employee Education &amp; Training</v>
      </c>
      <c r="B300" s="161">
        <f t="shared" si="83"/>
        <v>1</v>
      </c>
      <c r="C300" s="163">
        <v>6</v>
      </c>
      <c r="D300" s="163" t="b">
        <v>1</v>
      </c>
      <c r="E300" s="161" t="s">
        <v>19</v>
      </c>
      <c r="F300" s="161" t="str">
        <f t="shared" si="77"/>
        <v>001</v>
      </c>
      <c r="G300" s="385">
        <v>101</v>
      </c>
      <c r="H300" s="161" t="str">
        <f t="shared" si="78"/>
        <v>011</v>
      </c>
      <c r="I300" s="161" t="str">
        <f t="shared" si="79"/>
        <v>001-011</v>
      </c>
      <c r="J300" s="162" t="s">
        <v>491</v>
      </c>
      <c r="K300" s="161" t="s">
        <v>162</v>
      </c>
      <c r="L300" s="418">
        <v>536156</v>
      </c>
      <c r="M300" s="419">
        <v>-536156</v>
      </c>
      <c r="N300" s="157">
        <f t="shared" si="80"/>
        <v>101</v>
      </c>
      <c r="O300" s="156">
        <f t="shared" si="82"/>
        <v>0</v>
      </c>
      <c r="Q300" s="156"/>
    </row>
    <row r="301" spans="1:17" ht="12.75" hidden="1" customHeight="1">
      <c r="A301" s="161" t="str">
        <f t="shared" si="76"/>
        <v>4Hospital Employee Education &amp; Training</v>
      </c>
      <c r="B301" s="161">
        <f t="shared" si="83"/>
        <v>1</v>
      </c>
      <c r="C301" s="163">
        <v>4</v>
      </c>
      <c r="D301" s="163" t="b">
        <v>1</v>
      </c>
      <c r="E301" s="161" t="s">
        <v>17</v>
      </c>
      <c r="F301" s="161" t="str">
        <f t="shared" si="77"/>
        <v>001</v>
      </c>
      <c r="G301" s="385">
        <v>101</v>
      </c>
      <c r="H301" s="161" t="str">
        <f t="shared" si="78"/>
        <v>011</v>
      </c>
      <c r="I301" s="161" t="str">
        <f t="shared" si="79"/>
        <v>001-011</v>
      </c>
      <c r="J301" s="162" t="s">
        <v>491</v>
      </c>
      <c r="K301" s="161" t="s">
        <v>162</v>
      </c>
      <c r="L301" s="418">
        <v>36795</v>
      </c>
      <c r="M301" s="419">
        <v>-36795</v>
      </c>
      <c r="N301" s="157">
        <f t="shared" si="80"/>
        <v>101</v>
      </c>
      <c r="O301" s="156">
        <f t="shared" si="82"/>
        <v>0</v>
      </c>
      <c r="Q301" s="156"/>
    </row>
    <row r="302" spans="1:17" ht="12.75" hidden="1" customHeight="1">
      <c r="A302" s="161" t="str">
        <f t="shared" si="76"/>
        <v>17Hospital Employee Education &amp; Training</v>
      </c>
      <c r="B302" s="161">
        <f t="shared" si="83"/>
        <v>1</v>
      </c>
      <c r="C302" s="163">
        <v>17</v>
      </c>
      <c r="D302" s="163" t="b">
        <v>1</v>
      </c>
      <c r="E302" s="161" t="s">
        <v>30</v>
      </c>
      <c r="F302" s="161" t="str">
        <f t="shared" si="77"/>
        <v>001</v>
      </c>
      <c r="G302" s="385">
        <v>101</v>
      </c>
      <c r="H302" s="161" t="str">
        <f t="shared" si="78"/>
        <v>011</v>
      </c>
      <c r="I302" s="161" t="str">
        <f t="shared" si="79"/>
        <v>001-011</v>
      </c>
      <c r="J302" s="162" t="s">
        <v>491</v>
      </c>
      <c r="K302" s="161" t="s">
        <v>162</v>
      </c>
      <c r="L302" s="420"/>
      <c r="M302" s="419"/>
      <c r="N302" s="157">
        <f t="shared" si="80"/>
        <v>101</v>
      </c>
      <c r="O302" s="156">
        <f t="shared" si="82"/>
        <v>0</v>
      </c>
      <c r="Q302" s="156"/>
    </row>
    <row r="303" spans="1:17" ht="12.75" hidden="1" customHeight="1">
      <c r="A303" s="161" t="str">
        <f t="shared" si="76"/>
        <v>21Hospital Employee Education &amp; Training</v>
      </c>
      <c r="B303" s="161">
        <f>B301</f>
        <v>1</v>
      </c>
      <c r="C303" s="163">
        <v>21</v>
      </c>
      <c r="D303" s="163" t="b">
        <v>1</v>
      </c>
      <c r="E303" s="161" t="s">
        <v>34</v>
      </c>
      <c r="F303" s="161" t="str">
        <f t="shared" si="77"/>
        <v>001</v>
      </c>
      <c r="G303" s="385">
        <v>101</v>
      </c>
      <c r="H303" s="161" t="str">
        <f t="shared" si="78"/>
        <v>011</v>
      </c>
      <c r="I303" s="161" t="str">
        <f t="shared" si="79"/>
        <v>001-011</v>
      </c>
      <c r="J303" s="162" t="s">
        <v>491</v>
      </c>
      <c r="K303" s="161" t="s">
        <v>162</v>
      </c>
      <c r="L303" s="418">
        <v>278217</v>
      </c>
      <c r="M303" s="418">
        <v>-278217</v>
      </c>
      <c r="N303" s="157">
        <f t="shared" si="80"/>
        <v>101</v>
      </c>
      <c r="O303" s="156">
        <f t="shared" si="82"/>
        <v>0</v>
      </c>
      <c r="Q303" s="156"/>
    </row>
    <row r="304" spans="1:17" ht="12.75" hidden="1" customHeight="1">
      <c r="A304" s="161" t="str">
        <f t="shared" si="76"/>
        <v>16Hospital Employee Education &amp; Training</v>
      </c>
      <c r="B304" s="161">
        <f t="shared" ref="B304:B331" si="84">B303</f>
        <v>1</v>
      </c>
      <c r="C304" s="163">
        <v>16</v>
      </c>
      <c r="D304" s="163" t="b">
        <v>1</v>
      </c>
      <c r="E304" s="161" t="s">
        <v>29</v>
      </c>
      <c r="F304" s="161" t="str">
        <f t="shared" si="77"/>
        <v>001</v>
      </c>
      <c r="G304" s="385">
        <v>101</v>
      </c>
      <c r="H304" s="161" t="str">
        <f t="shared" si="78"/>
        <v>011</v>
      </c>
      <c r="I304" s="161" t="str">
        <f t="shared" si="79"/>
        <v>001-011</v>
      </c>
      <c r="J304" s="162" t="s">
        <v>491</v>
      </c>
      <c r="K304" s="161" t="s">
        <v>162</v>
      </c>
      <c r="L304" s="418">
        <v>108268</v>
      </c>
      <c r="M304" s="420">
        <v>-108268</v>
      </c>
      <c r="N304" s="157">
        <f t="shared" si="80"/>
        <v>101</v>
      </c>
      <c r="O304" s="156">
        <f t="shared" si="82"/>
        <v>0</v>
      </c>
      <c r="Q304" s="156"/>
    </row>
    <row r="305" spans="1:17" ht="12.75" hidden="1" customHeight="1">
      <c r="A305" s="161" t="str">
        <f t="shared" si="76"/>
        <v>89Job Skills Program</v>
      </c>
      <c r="B305" s="161">
        <f t="shared" si="84"/>
        <v>1</v>
      </c>
      <c r="C305" s="160" t="s">
        <v>144</v>
      </c>
      <c r="D305" s="163" t="b">
        <v>1</v>
      </c>
      <c r="E305" s="161" t="s">
        <v>204</v>
      </c>
      <c r="F305" s="161" t="str">
        <f t="shared" si="77"/>
        <v>08A</v>
      </c>
      <c r="G305" s="161" t="str">
        <f>IF(RIGHT(J305,3)="012","201",IF(RIGHT(J305,3)="232","123",IF(RIGHT(J305,3)="1E2","215",RIGHT(J305,3))))</f>
        <v>430</v>
      </c>
      <c r="H305" s="161" t="str">
        <f t="shared" si="78"/>
        <v>430</v>
      </c>
      <c r="I305" s="161" t="str">
        <f t="shared" si="79"/>
        <v>08A-430</v>
      </c>
      <c r="J305" s="162" t="s">
        <v>262</v>
      </c>
      <c r="K305" s="161" t="s">
        <v>52</v>
      </c>
      <c r="L305" s="418">
        <v>55000</v>
      </c>
      <c r="M305" s="420"/>
      <c r="N305" s="157" t="str">
        <f t="shared" si="80"/>
        <v>430</v>
      </c>
      <c r="O305" s="156">
        <f t="shared" si="82"/>
        <v>55000</v>
      </c>
      <c r="Q305" s="156"/>
    </row>
    <row r="306" spans="1:17" ht="12.75" hidden="1" customHeight="1">
      <c r="A306" s="161" t="str">
        <f t="shared" si="76"/>
        <v>90Job Skills Program</v>
      </c>
      <c r="B306" s="161">
        <f t="shared" si="84"/>
        <v>1</v>
      </c>
      <c r="C306" s="160" t="s">
        <v>212</v>
      </c>
      <c r="D306" s="163" t="b">
        <v>1</v>
      </c>
      <c r="E306" s="161" t="s">
        <v>205</v>
      </c>
      <c r="F306" s="161" t="str">
        <f t="shared" si="77"/>
        <v>08A</v>
      </c>
      <c r="G306" s="161" t="str">
        <f>IF(RIGHT(J306,3)="012","201",IF(RIGHT(J306,3)="232","123",IF(RIGHT(J306,3)="1E2","215",RIGHT(J306,3))))</f>
        <v>430</v>
      </c>
      <c r="H306" s="161" t="str">
        <f t="shared" si="78"/>
        <v>430</v>
      </c>
      <c r="I306" s="161" t="str">
        <f t="shared" si="79"/>
        <v>08A-430</v>
      </c>
      <c r="J306" s="162" t="s">
        <v>262</v>
      </c>
      <c r="K306" s="161" t="s">
        <v>52</v>
      </c>
      <c r="L306" s="418">
        <v>2670000</v>
      </c>
      <c r="M306" s="420"/>
      <c r="N306" s="157" t="str">
        <f t="shared" si="80"/>
        <v>430</v>
      </c>
      <c r="O306" s="156">
        <f t="shared" si="82"/>
        <v>2670000</v>
      </c>
      <c r="Q306" s="156"/>
    </row>
    <row r="307" spans="1:17" ht="12.75" hidden="1" customHeight="1">
      <c r="A307" s="161" t="str">
        <f t="shared" si="76"/>
        <v>6Labor Education &amp; Research Center (ELTA)</v>
      </c>
      <c r="B307" s="161">
        <f t="shared" si="84"/>
        <v>1</v>
      </c>
      <c r="C307" s="163">
        <v>6</v>
      </c>
      <c r="D307" s="163" t="b">
        <v>1</v>
      </c>
      <c r="E307" s="161" t="s">
        <v>19</v>
      </c>
      <c r="F307" s="161" t="str">
        <f t="shared" si="77"/>
        <v>08A</v>
      </c>
      <c r="G307" s="161" t="str">
        <f>IF(RIGHT(J307,3)="012","201",IF(RIGHT(J307,3)="232","123",IF(RIGHT(J307,3)="1E2","215",RIGHT(J307,3))))</f>
        <v>3E0</v>
      </c>
      <c r="H307" s="161" t="str">
        <f t="shared" si="78"/>
        <v>3E0</v>
      </c>
      <c r="I307" s="161" t="str">
        <f t="shared" si="79"/>
        <v>08A-3E0</v>
      </c>
      <c r="J307" s="162" t="s">
        <v>149</v>
      </c>
      <c r="K307" s="161" t="s">
        <v>224</v>
      </c>
      <c r="L307" s="418">
        <v>149749</v>
      </c>
      <c r="M307" s="419"/>
      <c r="N307" s="157" t="str">
        <f t="shared" si="80"/>
        <v>3E0</v>
      </c>
      <c r="O307" s="156">
        <f t="shared" si="82"/>
        <v>149749</v>
      </c>
      <c r="Q307" s="156"/>
    </row>
    <row r="308" spans="1:17" ht="12.75" hidden="1" customHeight="1">
      <c r="A308" s="161" t="str">
        <f t="shared" si="76"/>
        <v>6Labor Education &amp; Research Center (GFS)</v>
      </c>
      <c r="B308" s="161">
        <f t="shared" si="84"/>
        <v>1</v>
      </c>
      <c r="C308" s="163">
        <v>6</v>
      </c>
      <c r="D308" s="163" t="b">
        <v>1</v>
      </c>
      <c r="E308" s="161" t="s">
        <v>19</v>
      </c>
      <c r="F308" s="161" t="str">
        <f t="shared" si="77"/>
        <v>001</v>
      </c>
      <c r="G308" s="385">
        <v>101</v>
      </c>
      <c r="H308" s="161" t="str">
        <f t="shared" si="78"/>
        <v>011</v>
      </c>
      <c r="I308" s="161" t="str">
        <f t="shared" si="79"/>
        <v>001-011</v>
      </c>
      <c r="J308" s="162" t="s">
        <v>491</v>
      </c>
      <c r="K308" s="161" t="s">
        <v>225</v>
      </c>
      <c r="L308" s="418">
        <v>13119</v>
      </c>
      <c r="M308" s="419"/>
      <c r="N308" s="157">
        <f t="shared" si="80"/>
        <v>101</v>
      </c>
      <c r="O308" s="156">
        <f t="shared" si="82"/>
        <v>13119</v>
      </c>
      <c r="Q308" s="156"/>
    </row>
    <row r="309" spans="1:17" ht="12.75" hidden="1" customHeight="1">
      <c r="A309" s="161" t="str">
        <f t="shared" si="76"/>
        <v>00LEAN Reduction</v>
      </c>
      <c r="B309" s="161">
        <f t="shared" si="84"/>
        <v>1</v>
      </c>
      <c r="C309" s="160" t="s">
        <v>180</v>
      </c>
      <c r="D309" s="163" t="b">
        <v>1</v>
      </c>
      <c r="E309" s="161" t="s">
        <v>181</v>
      </c>
      <c r="F309" s="161" t="str">
        <f t="shared" si="77"/>
        <v>001</v>
      </c>
      <c r="G309" s="385">
        <v>101</v>
      </c>
      <c r="H309" s="161" t="str">
        <f t="shared" si="78"/>
        <v>011</v>
      </c>
      <c r="I309" s="161" t="str">
        <f t="shared" si="79"/>
        <v>001-011</v>
      </c>
      <c r="J309" s="162" t="s">
        <v>491</v>
      </c>
      <c r="K309" s="161" t="s">
        <v>344</v>
      </c>
      <c r="L309" s="418">
        <v>2262000</v>
      </c>
      <c r="M309" s="420">
        <v>-2262000</v>
      </c>
      <c r="N309" s="157">
        <f t="shared" si="80"/>
        <v>101</v>
      </c>
      <c r="O309" s="156">
        <f t="shared" si="82"/>
        <v>0</v>
      </c>
      <c r="Q309" s="156"/>
    </row>
    <row r="310" spans="1:17" ht="12.75" hidden="1" customHeight="1">
      <c r="A310" s="161" t="str">
        <f t="shared" si="76"/>
        <v>25Leases and Assessments</v>
      </c>
      <c r="B310" s="161">
        <f t="shared" si="84"/>
        <v>1</v>
      </c>
      <c r="C310" s="163">
        <v>25</v>
      </c>
      <c r="D310" s="163" t="b">
        <v>1</v>
      </c>
      <c r="E310" s="161" t="s">
        <v>38</v>
      </c>
      <c r="F310" s="161" t="str">
        <f t="shared" si="77"/>
        <v>001</v>
      </c>
      <c r="G310" s="385">
        <v>101</v>
      </c>
      <c r="H310" s="161" t="str">
        <f t="shared" si="78"/>
        <v>011</v>
      </c>
      <c r="I310" s="161" t="str">
        <f t="shared" si="79"/>
        <v>001-011</v>
      </c>
      <c r="J310" s="162" t="s">
        <v>491</v>
      </c>
      <c r="K310" s="161" t="s">
        <v>253</v>
      </c>
      <c r="M310" s="418">
        <f>3050-2750</f>
        <v>300</v>
      </c>
      <c r="N310" s="157">
        <f t="shared" si="80"/>
        <v>101</v>
      </c>
      <c r="O310" s="156">
        <f t="shared" si="82"/>
        <v>300</v>
      </c>
      <c r="Q310" s="156"/>
    </row>
    <row r="311" spans="1:17" ht="12.75" hidden="1" customHeight="1">
      <c r="A311" s="161" t="str">
        <f t="shared" si="76"/>
        <v>14Leases and Assessments</v>
      </c>
      <c r="B311" s="161">
        <f t="shared" si="84"/>
        <v>1</v>
      </c>
      <c r="C311" s="163">
        <v>14</v>
      </c>
      <c r="D311" s="163" t="b">
        <v>1</v>
      </c>
      <c r="E311" s="161" t="s">
        <v>27</v>
      </c>
      <c r="F311" s="161" t="str">
        <f t="shared" si="77"/>
        <v>001</v>
      </c>
      <c r="G311" s="385">
        <v>101</v>
      </c>
      <c r="H311" s="161" t="str">
        <f t="shared" si="78"/>
        <v>011</v>
      </c>
      <c r="I311" s="161" t="str">
        <f t="shared" si="79"/>
        <v>001-011</v>
      </c>
      <c r="J311" s="162" t="s">
        <v>491</v>
      </c>
      <c r="K311" s="161" t="s">
        <v>253</v>
      </c>
      <c r="M311" s="418">
        <v>209000</v>
      </c>
      <c r="N311" s="157">
        <f t="shared" si="80"/>
        <v>101</v>
      </c>
      <c r="O311" s="156">
        <f t="shared" si="82"/>
        <v>209000</v>
      </c>
      <c r="Q311" s="156"/>
    </row>
    <row r="312" spans="1:17" ht="12.75" hidden="1" customHeight="1">
      <c r="A312" s="161" t="str">
        <f t="shared" si="76"/>
        <v>29Leases and Assessments</v>
      </c>
      <c r="B312" s="161">
        <f t="shared" si="84"/>
        <v>1</v>
      </c>
      <c r="C312" s="163">
        <v>29</v>
      </c>
      <c r="D312" s="163" t="b">
        <v>1</v>
      </c>
      <c r="E312" s="161" t="s">
        <v>42</v>
      </c>
      <c r="F312" s="161" t="str">
        <f t="shared" si="77"/>
        <v>001</v>
      </c>
      <c r="G312" s="385">
        <v>101</v>
      </c>
      <c r="H312" s="161" t="str">
        <f t="shared" si="78"/>
        <v>011</v>
      </c>
      <c r="I312" s="161" t="str">
        <f t="shared" si="79"/>
        <v>001-011</v>
      </c>
      <c r="J312" s="162" t="s">
        <v>491</v>
      </c>
      <c r="K312" s="161" t="s">
        <v>253</v>
      </c>
      <c r="M312" s="418">
        <v>244000</v>
      </c>
      <c r="N312" s="157">
        <f t="shared" si="80"/>
        <v>101</v>
      </c>
      <c r="O312" s="156">
        <f t="shared" si="82"/>
        <v>244000</v>
      </c>
      <c r="Q312" s="156"/>
    </row>
    <row r="313" spans="1:17" ht="12.75" hidden="1" customHeight="1">
      <c r="A313" s="161" t="str">
        <f t="shared" si="76"/>
        <v>23Leases and Assessments</v>
      </c>
      <c r="B313" s="161">
        <f t="shared" si="84"/>
        <v>1</v>
      </c>
      <c r="C313" s="163">
        <v>23</v>
      </c>
      <c r="D313" s="163" t="b">
        <v>1</v>
      </c>
      <c r="E313" s="161" t="s">
        <v>36</v>
      </c>
      <c r="F313" s="161" t="str">
        <f t="shared" si="77"/>
        <v>001</v>
      </c>
      <c r="G313" s="385">
        <v>101</v>
      </c>
      <c r="H313" s="161" t="str">
        <f t="shared" si="78"/>
        <v>011</v>
      </c>
      <c r="I313" s="161" t="str">
        <f t="shared" si="79"/>
        <v>001-011</v>
      </c>
      <c r="J313" s="162" t="s">
        <v>491</v>
      </c>
      <c r="K313" s="161" t="s">
        <v>253</v>
      </c>
      <c r="M313" s="418">
        <v>64000</v>
      </c>
      <c r="N313" s="157">
        <f t="shared" si="80"/>
        <v>101</v>
      </c>
      <c r="O313" s="156">
        <f t="shared" si="82"/>
        <v>64000</v>
      </c>
      <c r="Q313" s="156"/>
    </row>
    <row r="314" spans="1:17" ht="12.75" hidden="1" customHeight="1">
      <c r="A314" s="161" t="str">
        <f t="shared" si="76"/>
        <v>10Leases and Assessments</v>
      </c>
      <c r="B314" s="161">
        <f t="shared" si="84"/>
        <v>1</v>
      </c>
      <c r="C314" s="163">
        <v>10</v>
      </c>
      <c r="D314" s="163" t="b">
        <v>1</v>
      </c>
      <c r="E314" s="161" t="s">
        <v>23</v>
      </c>
      <c r="F314" s="161" t="str">
        <f t="shared" si="77"/>
        <v>001</v>
      </c>
      <c r="G314" s="385">
        <v>101</v>
      </c>
      <c r="H314" s="161" t="str">
        <f t="shared" si="78"/>
        <v>011</v>
      </c>
      <c r="I314" s="161" t="str">
        <f t="shared" si="79"/>
        <v>001-011</v>
      </c>
      <c r="J314" s="162" t="s">
        <v>491</v>
      </c>
      <c r="K314" s="161" t="s">
        <v>253</v>
      </c>
      <c r="M314" s="418">
        <f>42150-150</f>
        <v>42000</v>
      </c>
      <c r="N314" s="157">
        <f t="shared" si="80"/>
        <v>101</v>
      </c>
      <c r="O314" s="156">
        <f t="shared" si="82"/>
        <v>42000</v>
      </c>
      <c r="Q314" s="156"/>
    </row>
    <row r="315" spans="1:17" ht="12.75" hidden="1" customHeight="1">
      <c r="A315" s="161" t="str">
        <f t="shared" si="76"/>
        <v>1Leases and Assessments</v>
      </c>
      <c r="B315" s="161">
        <f t="shared" si="84"/>
        <v>1</v>
      </c>
      <c r="C315" s="163">
        <v>1</v>
      </c>
      <c r="D315" s="163" t="b">
        <v>1</v>
      </c>
      <c r="E315" s="161" t="s">
        <v>14</v>
      </c>
      <c r="F315" s="161" t="str">
        <f t="shared" si="77"/>
        <v>001</v>
      </c>
      <c r="G315" s="385">
        <v>101</v>
      </c>
      <c r="H315" s="161" t="str">
        <f t="shared" si="78"/>
        <v>011</v>
      </c>
      <c r="I315" s="161" t="str">
        <f t="shared" si="79"/>
        <v>001-011</v>
      </c>
      <c r="J315" s="162" t="s">
        <v>491</v>
      </c>
      <c r="K315" s="161" t="s">
        <v>253</v>
      </c>
      <c r="M315" s="418">
        <v>1000</v>
      </c>
      <c r="N315" s="157">
        <f t="shared" si="80"/>
        <v>101</v>
      </c>
      <c r="O315" s="156">
        <f t="shared" si="82"/>
        <v>1000</v>
      </c>
      <c r="Q315" s="156"/>
    </row>
    <row r="316" spans="1:17" ht="12.75" hidden="1" customHeight="1">
      <c r="A316" s="161" t="str">
        <f t="shared" si="76"/>
        <v>11Leases and Assessments</v>
      </c>
      <c r="B316" s="161">
        <f t="shared" si="84"/>
        <v>1</v>
      </c>
      <c r="C316" s="163">
        <v>11</v>
      </c>
      <c r="D316" s="163" t="b">
        <v>1</v>
      </c>
      <c r="E316" s="161" t="s">
        <v>24</v>
      </c>
      <c r="F316" s="161" t="str">
        <f t="shared" si="77"/>
        <v>001</v>
      </c>
      <c r="G316" s="385">
        <v>101</v>
      </c>
      <c r="H316" s="161" t="str">
        <f t="shared" si="78"/>
        <v>011</v>
      </c>
      <c r="I316" s="161" t="str">
        <f t="shared" si="79"/>
        <v>001-011</v>
      </c>
      <c r="J316" s="162" t="s">
        <v>491</v>
      </c>
      <c r="K316" s="161" t="s">
        <v>253</v>
      </c>
      <c r="M316" s="418">
        <v>29000</v>
      </c>
      <c r="N316" s="157">
        <f t="shared" si="80"/>
        <v>101</v>
      </c>
      <c r="O316" s="156">
        <f t="shared" si="82"/>
        <v>29000</v>
      </c>
      <c r="Q316" s="156"/>
    </row>
    <row r="317" spans="1:17" ht="12.75" hidden="1" customHeight="1">
      <c r="A317" s="161" t="str">
        <f t="shared" si="76"/>
        <v>7Leases and Assessments</v>
      </c>
      <c r="B317" s="161">
        <f t="shared" si="84"/>
        <v>1</v>
      </c>
      <c r="C317" s="163">
        <v>7</v>
      </c>
      <c r="D317" s="163" t="b">
        <v>1</v>
      </c>
      <c r="E317" s="161" t="s">
        <v>20</v>
      </c>
      <c r="F317" s="161" t="str">
        <f t="shared" si="77"/>
        <v>001</v>
      </c>
      <c r="G317" s="385">
        <v>101</v>
      </c>
      <c r="H317" s="161" t="str">
        <f t="shared" si="78"/>
        <v>011</v>
      </c>
      <c r="I317" s="161" t="str">
        <f t="shared" si="79"/>
        <v>001-011</v>
      </c>
      <c r="J317" s="162" t="s">
        <v>491</v>
      </c>
      <c r="K317" s="161" t="s">
        <v>253</v>
      </c>
      <c r="M317" s="418">
        <v>9000</v>
      </c>
      <c r="N317" s="157">
        <f t="shared" si="80"/>
        <v>101</v>
      </c>
      <c r="O317" s="156">
        <f t="shared" si="82"/>
        <v>9000</v>
      </c>
      <c r="Q317" s="156"/>
    </row>
    <row r="318" spans="1:17" ht="12.75" hidden="1" customHeight="1">
      <c r="A318" s="161" t="str">
        <f t="shared" si="76"/>
        <v>4Leases and Assessments</v>
      </c>
      <c r="B318" s="161">
        <f t="shared" si="84"/>
        <v>1</v>
      </c>
      <c r="C318" s="163">
        <v>4</v>
      </c>
      <c r="D318" s="163" t="b">
        <v>1</v>
      </c>
      <c r="E318" s="161" t="s">
        <v>17</v>
      </c>
      <c r="F318" s="161" t="str">
        <f t="shared" si="77"/>
        <v>001</v>
      </c>
      <c r="G318" s="385">
        <v>101</v>
      </c>
      <c r="H318" s="161" t="str">
        <f t="shared" si="78"/>
        <v>011</v>
      </c>
      <c r="I318" s="161" t="str">
        <f t="shared" si="79"/>
        <v>001-011</v>
      </c>
      <c r="J318" s="162" t="s">
        <v>491</v>
      </c>
      <c r="K318" s="161" t="s">
        <v>253</v>
      </c>
      <c r="M318" s="418">
        <f>-181000+209000</f>
        <v>28000</v>
      </c>
      <c r="N318" s="157">
        <f t="shared" si="80"/>
        <v>101</v>
      </c>
      <c r="O318" s="156">
        <f t="shared" si="82"/>
        <v>28000</v>
      </c>
      <c r="Q318" s="156"/>
    </row>
    <row r="319" spans="1:17" ht="12.75" hidden="1" customHeight="1">
      <c r="A319" s="161" t="str">
        <f t="shared" si="76"/>
        <v>17Leases and Assessments</v>
      </c>
      <c r="B319" s="161">
        <f t="shared" si="84"/>
        <v>1</v>
      </c>
      <c r="C319" s="163">
        <v>17</v>
      </c>
      <c r="D319" s="163" t="b">
        <v>1</v>
      </c>
      <c r="E319" s="161" t="s">
        <v>30</v>
      </c>
      <c r="F319" s="161" t="str">
        <f t="shared" si="77"/>
        <v>001</v>
      </c>
      <c r="G319" s="385">
        <v>101</v>
      </c>
      <c r="H319" s="161" t="str">
        <f t="shared" si="78"/>
        <v>011</v>
      </c>
      <c r="I319" s="161" t="str">
        <f t="shared" si="79"/>
        <v>001-011</v>
      </c>
      <c r="J319" s="162" t="s">
        <v>491</v>
      </c>
      <c r="K319" s="161" t="s">
        <v>253</v>
      </c>
      <c r="M319" s="418">
        <f>123600-2900</f>
        <v>120700</v>
      </c>
      <c r="N319" s="157">
        <f t="shared" si="80"/>
        <v>101</v>
      </c>
      <c r="O319" s="156">
        <f t="shared" si="82"/>
        <v>120700</v>
      </c>
      <c r="Q319" s="156"/>
    </row>
    <row r="320" spans="1:17" ht="12.75" hidden="1" customHeight="1">
      <c r="A320" s="161" t="str">
        <f t="shared" si="76"/>
        <v>20Leases and Assessments</v>
      </c>
      <c r="B320" s="161">
        <f t="shared" si="84"/>
        <v>1</v>
      </c>
      <c r="C320" s="163">
        <v>20</v>
      </c>
      <c r="D320" s="163" t="b">
        <v>1</v>
      </c>
      <c r="E320" s="161" t="s">
        <v>33</v>
      </c>
      <c r="F320" s="161" t="str">
        <f t="shared" si="77"/>
        <v>001</v>
      </c>
      <c r="G320" s="385">
        <v>101</v>
      </c>
      <c r="H320" s="161" t="str">
        <f t="shared" si="78"/>
        <v>011</v>
      </c>
      <c r="I320" s="161" t="str">
        <f t="shared" si="79"/>
        <v>001-011</v>
      </c>
      <c r="J320" s="162" t="s">
        <v>491</v>
      </c>
      <c r="K320" s="161" t="s">
        <v>253</v>
      </c>
      <c r="M320" s="418">
        <v>14000</v>
      </c>
      <c r="N320" s="157">
        <f t="shared" si="80"/>
        <v>101</v>
      </c>
      <c r="O320" s="156">
        <f t="shared" si="82"/>
        <v>14000</v>
      </c>
      <c r="Q320" s="156"/>
    </row>
    <row r="321" spans="1:17" ht="12.75" hidden="1" customHeight="1">
      <c r="A321" s="161" t="str">
        <f t="shared" si="76"/>
        <v>6Maritime Industries</v>
      </c>
      <c r="B321" s="161">
        <f t="shared" si="84"/>
        <v>1</v>
      </c>
      <c r="C321" s="163">
        <v>6</v>
      </c>
      <c r="D321" s="163" t="b">
        <v>1</v>
      </c>
      <c r="E321" s="161" t="s">
        <v>19</v>
      </c>
      <c r="F321" s="161" t="str">
        <f t="shared" si="77"/>
        <v>001</v>
      </c>
      <c r="G321" s="385">
        <v>101</v>
      </c>
      <c r="H321" s="161" t="str">
        <f t="shared" si="78"/>
        <v>011</v>
      </c>
      <c r="I321" s="161" t="str">
        <f t="shared" si="79"/>
        <v>001-011</v>
      </c>
      <c r="J321" s="162" t="s">
        <v>491</v>
      </c>
      <c r="K321" s="161" t="s">
        <v>255</v>
      </c>
      <c r="L321" s="418">
        <v>255000</v>
      </c>
      <c r="M321" s="420"/>
      <c r="N321" s="157">
        <f t="shared" si="80"/>
        <v>101</v>
      </c>
      <c r="O321" s="156">
        <f t="shared" si="82"/>
        <v>255000</v>
      </c>
      <c r="Q321" s="156"/>
    </row>
    <row r="322" spans="1:17" ht="12.75" hidden="1" customHeight="1">
      <c r="A322" s="161" t="str">
        <f t="shared" ref="A322:A385" si="85">C322&amp;K322</f>
        <v>19MESA Community College Programs - MCCP</v>
      </c>
      <c r="B322" s="161">
        <f t="shared" si="84"/>
        <v>1</v>
      </c>
      <c r="C322" s="163">
        <v>19</v>
      </c>
      <c r="D322" s="163" t="b">
        <v>1</v>
      </c>
      <c r="E322" s="161" t="s">
        <v>32</v>
      </c>
      <c r="F322" s="161" t="str">
        <f t="shared" ref="F322:F385" si="86">LEFT(J322,3)</f>
        <v>001</v>
      </c>
      <c r="G322" s="161" t="str">
        <f t="shared" ref="G322:G328" si="87">IF(RIGHT(J322,3)="012","201",IF(RIGHT(J322,3)="232","123",IF(RIGHT(J322,3)="1E2","215",RIGHT(J322,3))))</f>
        <v>BK1</v>
      </c>
      <c r="H322" s="161" t="str">
        <f t="shared" ref="H322:H385" si="88">RIGHT(J322,3)</f>
        <v>BK1</v>
      </c>
      <c r="I322" s="161" t="str">
        <f t="shared" ref="I322:I385" si="89">F322&amp;"-"&amp;H322</f>
        <v>001-BK1</v>
      </c>
      <c r="J322" s="162" t="s">
        <v>488</v>
      </c>
      <c r="K322" s="161" t="s">
        <v>397</v>
      </c>
      <c r="L322" s="418">
        <v>58570</v>
      </c>
      <c r="M322" s="420"/>
      <c r="N322" s="157" t="str">
        <f t="shared" ref="N322:N385" si="90">VLOOKUP(H322,Approp,2,FALSE)</f>
        <v>BK1</v>
      </c>
      <c r="O322" s="156">
        <f t="shared" si="82"/>
        <v>58570</v>
      </c>
      <c r="Q322" s="156"/>
    </row>
    <row r="323" spans="1:17" ht="12.75" hidden="1" customHeight="1">
      <c r="A323" s="161" t="str">
        <f t="shared" si="85"/>
        <v>23MESA Community College Programs - MCCP</v>
      </c>
      <c r="B323" s="161">
        <f t="shared" si="84"/>
        <v>1</v>
      </c>
      <c r="C323" s="163">
        <v>23</v>
      </c>
      <c r="D323" s="163" t="b">
        <v>1</v>
      </c>
      <c r="E323" s="161" t="s">
        <v>36</v>
      </c>
      <c r="F323" s="161" t="str">
        <f t="shared" si="86"/>
        <v>001</v>
      </c>
      <c r="G323" s="161" t="str">
        <f t="shared" si="87"/>
        <v>BK1</v>
      </c>
      <c r="H323" s="161" t="str">
        <f t="shared" si="88"/>
        <v>BK1</v>
      </c>
      <c r="I323" s="161" t="str">
        <f t="shared" si="89"/>
        <v>001-BK1</v>
      </c>
      <c r="J323" s="162" t="s">
        <v>488</v>
      </c>
      <c r="K323" s="161" t="s">
        <v>397</v>
      </c>
      <c r="L323" s="418">
        <v>58570</v>
      </c>
      <c r="M323" s="420"/>
      <c r="N323" s="157" t="str">
        <f t="shared" si="90"/>
        <v>BK1</v>
      </c>
      <c r="O323" s="156">
        <f t="shared" si="82"/>
        <v>58570</v>
      </c>
      <c r="Q323" s="156"/>
    </row>
    <row r="324" spans="1:17" ht="12.75" hidden="1" customHeight="1">
      <c r="A324" s="161" t="str">
        <f t="shared" si="85"/>
        <v>9MESA Community College Programs - MCCP</v>
      </c>
      <c r="B324" s="161">
        <f t="shared" si="84"/>
        <v>1</v>
      </c>
      <c r="C324" s="163">
        <v>9</v>
      </c>
      <c r="D324" s="163" t="b">
        <v>1</v>
      </c>
      <c r="E324" s="161" t="s">
        <v>22</v>
      </c>
      <c r="F324" s="161" t="str">
        <f t="shared" si="86"/>
        <v>001</v>
      </c>
      <c r="G324" s="161" t="str">
        <f t="shared" si="87"/>
        <v>BK1</v>
      </c>
      <c r="H324" s="161" t="str">
        <f t="shared" si="88"/>
        <v>BK1</v>
      </c>
      <c r="I324" s="161" t="str">
        <f t="shared" si="89"/>
        <v>001-BK1</v>
      </c>
      <c r="J324" s="162" t="s">
        <v>488</v>
      </c>
      <c r="K324" s="161" t="s">
        <v>397</v>
      </c>
      <c r="L324" s="418">
        <v>58570</v>
      </c>
      <c r="M324" s="420"/>
      <c r="N324" s="157" t="str">
        <f t="shared" si="90"/>
        <v>BK1</v>
      </c>
      <c r="O324" s="156">
        <f t="shared" si="82"/>
        <v>58570</v>
      </c>
      <c r="Q324" s="156"/>
    </row>
    <row r="325" spans="1:17" ht="12.75" hidden="1" customHeight="1">
      <c r="A325" s="161" t="str">
        <f t="shared" si="85"/>
        <v>3MESA Community College Programs - MCCP</v>
      </c>
      <c r="B325" s="161">
        <f t="shared" si="84"/>
        <v>1</v>
      </c>
      <c r="C325" s="163">
        <v>3</v>
      </c>
      <c r="D325" s="163" t="b">
        <v>1</v>
      </c>
      <c r="E325" s="161" t="s">
        <v>16</v>
      </c>
      <c r="F325" s="161" t="str">
        <f t="shared" si="86"/>
        <v>001</v>
      </c>
      <c r="G325" s="161" t="str">
        <f t="shared" si="87"/>
        <v>BK1</v>
      </c>
      <c r="H325" s="161" t="str">
        <f t="shared" si="88"/>
        <v>BK1</v>
      </c>
      <c r="I325" s="161" t="str">
        <f t="shared" si="89"/>
        <v>001-BK1</v>
      </c>
      <c r="J325" s="162" t="s">
        <v>488</v>
      </c>
      <c r="K325" s="161" t="s">
        <v>397</v>
      </c>
      <c r="L325" s="418">
        <v>58570</v>
      </c>
      <c r="M325" s="420"/>
      <c r="N325" s="157" t="str">
        <f t="shared" si="90"/>
        <v>BK1</v>
      </c>
      <c r="O325" s="156">
        <f t="shared" si="82"/>
        <v>58570</v>
      </c>
      <c r="Q325" s="156"/>
    </row>
    <row r="326" spans="1:17" ht="12.75" hidden="1" customHeight="1">
      <c r="A326" s="161" t="str">
        <f t="shared" si="85"/>
        <v>90MESA Community College Programs - MCCP</v>
      </c>
      <c r="B326" s="161">
        <f t="shared" si="84"/>
        <v>1</v>
      </c>
      <c r="C326" s="160">
        <v>90</v>
      </c>
      <c r="D326" s="163" t="b">
        <v>1</v>
      </c>
      <c r="E326" s="161" t="s">
        <v>205</v>
      </c>
      <c r="F326" s="161" t="str">
        <f t="shared" si="86"/>
        <v>001</v>
      </c>
      <c r="G326" s="161" t="str">
        <f t="shared" si="87"/>
        <v>BK1</v>
      </c>
      <c r="H326" s="161" t="str">
        <f t="shared" si="88"/>
        <v>BK1</v>
      </c>
      <c r="I326" s="161" t="str">
        <f t="shared" si="89"/>
        <v>001-BK1</v>
      </c>
      <c r="J326" s="162" t="s">
        <v>488</v>
      </c>
      <c r="K326" s="161" t="s">
        <v>397</v>
      </c>
      <c r="L326" s="418">
        <v>58580</v>
      </c>
      <c r="M326" s="420"/>
      <c r="N326" s="157" t="str">
        <f t="shared" si="90"/>
        <v>BK1</v>
      </c>
      <c r="O326" s="156">
        <f t="shared" si="82"/>
        <v>58580</v>
      </c>
      <c r="Q326" s="156"/>
    </row>
    <row r="327" spans="1:17" ht="12.75" hidden="1" customHeight="1">
      <c r="A327" s="161" t="str">
        <f t="shared" si="85"/>
        <v>6MESA Community College Programs - MCCP</v>
      </c>
      <c r="B327" s="161">
        <f t="shared" si="84"/>
        <v>1</v>
      </c>
      <c r="C327" s="163">
        <v>6</v>
      </c>
      <c r="D327" s="163" t="b">
        <v>1</v>
      </c>
      <c r="E327" s="161" t="s">
        <v>19</v>
      </c>
      <c r="F327" s="161" t="str">
        <f t="shared" si="86"/>
        <v>001</v>
      </c>
      <c r="G327" s="161" t="str">
        <f t="shared" si="87"/>
        <v>BK1</v>
      </c>
      <c r="H327" s="161" t="str">
        <f t="shared" si="88"/>
        <v>BK1</v>
      </c>
      <c r="I327" s="161" t="str">
        <f t="shared" si="89"/>
        <v>001-BK1</v>
      </c>
      <c r="J327" s="162" t="s">
        <v>488</v>
      </c>
      <c r="K327" s="161" t="s">
        <v>397</v>
      </c>
      <c r="L327" s="418">
        <v>58570</v>
      </c>
      <c r="M327" s="420"/>
      <c r="N327" s="157" t="str">
        <f t="shared" si="90"/>
        <v>BK1</v>
      </c>
      <c r="O327" s="156">
        <f t="shared" si="82"/>
        <v>58570</v>
      </c>
      <c r="Q327" s="156"/>
    </row>
    <row r="328" spans="1:17" ht="12.75" hidden="1" customHeight="1">
      <c r="A328" s="161" t="str">
        <f t="shared" si="85"/>
        <v>16MESA Community College Programs - MCCP</v>
      </c>
      <c r="B328" s="161">
        <f t="shared" si="84"/>
        <v>1</v>
      </c>
      <c r="C328" s="163">
        <v>16</v>
      </c>
      <c r="D328" s="163" t="b">
        <v>1</v>
      </c>
      <c r="E328" s="161" t="s">
        <v>29</v>
      </c>
      <c r="F328" s="161" t="str">
        <f t="shared" si="86"/>
        <v>001</v>
      </c>
      <c r="G328" s="161" t="str">
        <f t="shared" si="87"/>
        <v>BK1</v>
      </c>
      <c r="H328" s="161" t="str">
        <f t="shared" si="88"/>
        <v>BK1</v>
      </c>
      <c r="I328" s="161" t="str">
        <f t="shared" si="89"/>
        <v>001-BK1</v>
      </c>
      <c r="J328" s="162" t="s">
        <v>488</v>
      </c>
      <c r="K328" s="161" t="s">
        <v>397</v>
      </c>
      <c r="L328" s="418">
        <v>58570</v>
      </c>
      <c r="M328" s="420"/>
      <c r="N328" s="157" t="str">
        <f t="shared" si="90"/>
        <v>BK1</v>
      </c>
      <c r="O328" s="156">
        <f t="shared" si="82"/>
        <v>58570</v>
      </c>
      <c r="Q328" s="156"/>
    </row>
    <row r="329" spans="1:17" ht="12.75" hidden="1" customHeight="1">
      <c r="A329" s="161" t="str">
        <f t="shared" si="85"/>
        <v>18Nonrep Job Class Specific Increases</v>
      </c>
      <c r="B329" s="161">
        <f t="shared" si="84"/>
        <v>1</v>
      </c>
      <c r="C329" s="163">
        <v>18</v>
      </c>
      <c r="D329" s="163" t="b">
        <v>1</v>
      </c>
      <c r="E329" s="161" t="s">
        <v>31</v>
      </c>
      <c r="F329" s="161" t="str">
        <f t="shared" si="86"/>
        <v>001</v>
      </c>
      <c r="G329" s="385">
        <v>101</v>
      </c>
      <c r="H329" s="161" t="str">
        <f t="shared" si="88"/>
        <v>011</v>
      </c>
      <c r="I329" s="161" t="str">
        <f t="shared" si="89"/>
        <v>001-011</v>
      </c>
      <c r="J329" s="162" t="s">
        <v>491</v>
      </c>
      <c r="K329" s="161" t="s">
        <v>455</v>
      </c>
      <c r="M329" s="420">
        <v>2327</v>
      </c>
      <c r="N329" s="157">
        <f t="shared" si="90"/>
        <v>101</v>
      </c>
      <c r="O329" s="156">
        <f t="shared" si="82"/>
        <v>2327</v>
      </c>
      <c r="Q329" s="156"/>
    </row>
    <row r="330" spans="1:17" ht="12.75" hidden="1" customHeight="1">
      <c r="A330" s="161" t="str">
        <f t="shared" si="85"/>
        <v>89Nonrep Job Class Specific Increases</v>
      </c>
      <c r="B330" s="161">
        <f t="shared" si="84"/>
        <v>1</v>
      </c>
      <c r="C330" s="160" t="s">
        <v>144</v>
      </c>
      <c r="D330" s="163" t="b">
        <v>1</v>
      </c>
      <c r="E330" s="161" t="s">
        <v>204</v>
      </c>
      <c r="F330" s="161" t="str">
        <f t="shared" si="86"/>
        <v>001</v>
      </c>
      <c r="G330" s="161" t="str">
        <f t="shared" ref="G330:G362" si="91">IF(RIGHT(J330,3)="012","201",IF(RIGHT(J330,3)="232","123",IF(RIGHT(J330,3)="1E2","215",RIGHT(J330,3))))</f>
        <v>011</v>
      </c>
      <c r="H330" s="161" t="str">
        <f t="shared" si="88"/>
        <v>011</v>
      </c>
      <c r="I330" s="161" t="str">
        <f t="shared" si="89"/>
        <v>001-011</v>
      </c>
      <c r="J330" s="162" t="s">
        <v>491</v>
      </c>
      <c r="K330" s="161" t="s">
        <v>455</v>
      </c>
      <c r="M330" s="420">
        <v>2673</v>
      </c>
      <c r="N330" s="157">
        <f t="shared" si="90"/>
        <v>101</v>
      </c>
      <c r="O330" s="156">
        <f t="shared" si="82"/>
        <v>2673</v>
      </c>
      <c r="Q330" s="156"/>
    </row>
    <row r="331" spans="1:17" ht="12.75" hidden="1" customHeight="1">
      <c r="A331" s="161" t="str">
        <f t="shared" si="85"/>
        <v>00Ongoing Reserves</v>
      </c>
      <c r="B331" s="161">
        <f t="shared" si="84"/>
        <v>1</v>
      </c>
      <c r="C331" s="160" t="s">
        <v>180</v>
      </c>
      <c r="D331" s="163" t="b">
        <v>1</v>
      </c>
      <c r="E331" s="161" t="s">
        <v>181</v>
      </c>
      <c r="F331" s="161" t="str">
        <f t="shared" si="86"/>
        <v>001</v>
      </c>
      <c r="G331" s="385">
        <v>101</v>
      </c>
      <c r="H331" s="161" t="str">
        <f t="shared" si="88"/>
        <v>011</v>
      </c>
      <c r="I331" s="161" t="str">
        <f t="shared" si="89"/>
        <v>001-011</v>
      </c>
      <c r="J331" s="162" t="s">
        <v>491</v>
      </c>
      <c r="K331" s="161" t="s">
        <v>183</v>
      </c>
      <c r="L331" s="418">
        <f>1504738-42000</f>
        <v>1462738</v>
      </c>
      <c r="M331" s="420">
        <f>6787-41541+24616</f>
        <v>-10138</v>
      </c>
      <c r="N331" s="157">
        <f t="shared" si="90"/>
        <v>101</v>
      </c>
      <c r="O331" s="156">
        <f t="shared" si="82"/>
        <v>1452600</v>
      </c>
      <c r="Q331" s="156"/>
    </row>
    <row r="332" spans="1:17" ht="12.75" hidden="1" customHeight="1">
      <c r="A332" s="161" t="str">
        <f t="shared" si="85"/>
        <v>28Opportunity Grants (ELTA)</v>
      </c>
      <c r="B332" s="161">
        <f t="shared" ref="B332:B337" si="92">B331</f>
        <v>1</v>
      </c>
      <c r="C332" s="163">
        <v>28</v>
      </c>
      <c r="D332" s="163" t="b">
        <v>1</v>
      </c>
      <c r="E332" s="161" t="s">
        <v>41</v>
      </c>
      <c r="F332" s="161" t="str">
        <f t="shared" si="86"/>
        <v>08A</v>
      </c>
      <c r="G332" s="161" t="str">
        <f t="shared" si="91"/>
        <v>3E0</v>
      </c>
      <c r="H332" s="161" t="str">
        <f t="shared" si="88"/>
        <v>3E0</v>
      </c>
      <c r="I332" s="161" t="str">
        <f t="shared" si="89"/>
        <v>08A-3E0</v>
      </c>
      <c r="J332" s="162" t="s">
        <v>149</v>
      </c>
      <c r="K332" s="161" t="s">
        <v>151</v>
      </c>
      <c r="L332" s="418">
        <v>263800</v>
      </c>
      <c r="M332" s="420">
        <v>-13800</v>
      </c>
      <c r="N332" s="157" t="str">
        <f t="shared" si="90"/>
        <v>3E0</v>
      </c>
      <c r="O332" s="156">
        <f t="shared" si="82"/>
        <v>250000</v>
      </c>
      <c r="Q332" s="156"/>
    </row>
    <row r="333" spans="1:17" ht="12.75" hidden="1" customHeight="1">
      <c r="A333" s="161" t="str">
        <f t="shared" si="85"/>
        <v>8Opportunity Grants (ELTA)</v>
      </c>
      <c r="B333" s="161">
        <f t="shared" si="92"/>
        <v>1</v>
      </c>
      <c r="C333" s="163">
        <v>8</v>
      </c>
      <c r="D333" s="163" t="b">
        <v>1</v>
      </c>
      <c r="E333" s="161" t="s">
        <v>21</v>
      </c>
      <c r="F333" s="161" t="str">
        <f t="shared" si="86"/>
        <v>08A</v>
      </c>
      <c r="G333" s="161" t="str">
        <f t="shared" si="91"/>
        <v>3E0</v>
      </c>
      <c r="H333" s="161" t="str">
        <f t="shared" si="88"/>
        <v>3E0</v>
      </c>
      <c r="I333" s="161" t="str">
        <f t="shared" si="89"/>
        <v>08A-3E0</v>
      </c>
      <c r="J333" s="162" t="s">
        <v>149</v>
      </c>
      <c r="K333" s="161" t="s">
        <v>151</v>
      </c>
      <c r="L333" s="418">
        <v>350000</v>
      </c>
      <c r="M333" s="420">
        <v>0</v>
      </c>
      <c r="N333" s="157" t="str">
        <f t="shared" si="90"/>
        <v>3E0</v>
      </c>
      <c r="O333" s="156">
        <f t="shared" si="82"/>
        <v>350000</v>
      </c>
      <c r="Q333" s="156"/>
    </row>
    <row r="334" spans="1:17" ht="12.75" hidden="1" customHeight="1">
      <c r="A334" s="161" t="str">
        <f t="shared" si="85"/>
        <v>25Opportunity Grants (ELTA)</v>
      </c>
      <c r="B334" s="161">
        <f t="shared" si="92"/>
        <v>1</v>
      </c>
      <c r="C334" s="163">
        <v>25</v>
      </c>
      <c r="D334" s="163" t="b">
        <v>1</v>
      </c>
      <c r="E334" s="161" t="s">
        <v>38</v>
      </c>
      <c r="F334" s="161" t="str">
        <f t="shared" si="86"/>
        <v>08A</v>
      </c>
      <c r="G334" s="161" t="str">
        <f t="shared" si="91"/>
        <v>3E0</v>
      </c>
      <c r="H334" s="161" t="str">
        <f t="shared" si="88"/>
        <v>3E0</v>
      </c>
      <c r="I334" s="161" t="str">
        <f t="shared" si="89"/>
        <v>08A-3E0</v>
      </c>
      <c r="J334" s="162" t="s">
        <v>149</v>
      </c>
      <c r="K334" s="161" t="s">
        <v>151</v>
      </c>
      <c r="L334" s="418">
        <v>56000</v>
      </c>
      <c r="M334" s="420">
        <v>0</v>
      </c>
      <c r="N334" s="157" t="str">
        <f t="shared" si="90"/>
        <v>3E0</v>
      </c>
      <c r="O334" s="156">
        <f t="shared" si="82"/>
        <v>56000</v>
      </c>
      <c r="Q334" s="156"/>
    </row>
    <row r="335" spans="1:17" ht="12.75" hidden="1" customHeight="1">
      <c r="A335" s="161" t="str">
        <f t="shared" si="85"/>
        <v>30Opportunity Grants (ELTA)</v>
      </c>
      <c r="B335" s="161">
        <f t="shared" si="92"/>
        <v>1</v>
      </c>
      <c r="C335" s="163">
        <v>30</v>
      </c>
      <c r="D335" s="163" t="b">
        <v>1</v>
      </c>
      <c r="E335" s="161" t="s">
        <v>43</v>
      </c>
      <c r="F335" s="161" t="str">
        <f t="shared" si="86"/>
        <v>08A</v>
      </c>
      <c r="G335" s="161" t="str">
        <f t="shared" si="91"/>
        <v>3E0</v>
      </c>
      <c r="H335" s="161" t="str">
        <f t="shared" si="88"/>
        <v>3E0</v>
      </c>
      <c r="I335" s="161" t="str">
        <f t="shared" si="89"/>
        <v>08A-3E0</v>
      </c>
      <c r="J335" s="162" t="s">
        <v>149</v>
      </c>
      <c r="K335" s="161" t="s">
        <v>151</v>
      </c>
      <c r="L335" s="418">
        <v>110000</v>
      </c>
      <c r="M335" s="420">
        <v>90000</v>
      </c>
      <c r="N335" s="157" t="str">
        <f t="shared" si="90"/>
        <v>3E0</v>
      </c>
      <c r="O335" s="156">
        <f t="shared" si="82"/>
        <v>200000</v>
      </c>
      <c r="Q335" s="156"/>
    </row>
    <row r="336" spans="1:17" ht="12.75" hidden="1" customHeight="1">
      <c r="A336" s="161" t="str">
        <f t="shared" si="85"/>
        <v>12Opportunity Grants (ELTA)</v>
      </c>
      <c r="B336" s="161">
        <f t="shared" si="92"/>
        <v>1</v>
      </c>
      <c r="C336" s="163">
        <v>12</v>
      </c>
      <c r="D336" s="163" t="b">
        <v>1</v>
      </c>
      <c r="E336" s="161" t="s">
        <v>25</v>
      </c>
      <c r="F336" s="161" t="str">
        <f t="shared" si="86"/>
        <v>08A</v>
      </c>
      <c r="G336" s="161" t="str">
        <f t="shared" si="91"/>
        <v>3E0</v>
      </c>
      <c r="H336" s="161" t="str">
        <f t="shared" si="88"/>
        <v>3E0</v>
      </c>
      <c r="I336" s="161" t="str">
        <f t="shared" si="89"/>
        <v>08A-3E0</v>
      </c>
      <c r="J336" s="162" t="s">
        <v>149</v>
      </c>
      <c r="K336" s="161" t="s">
        <v>151</v>
      </c>
      <c r="L336" s="418">
        <v>340000</v>
      </c>
      <c r="M336" s="420">
        <v>0</v>
      </c>
      <c r="N336" s="157" t="str">
        <f t="shared" si="90"/>
        <v>3E0</v>
      </c>
      <c r="O336" s="156">
        <f t="shared" si="82"/>
        <v>340000</v>
      </c>
      <c r="Q336" s="156"/>
    </row>
    <row r="337" spans="1:17" ht="12.75" hidden="1" customHeight="1">
      <c r="A337" s="161" t="str">
        <f t="shared" si="85"/>
        <v>14Opportunity Grants (ELTA)</v>
      </c>
      <c r="B337" s="161">
        <f t="shared" si="92"/>
        <v>1</v>
      </c>
      <c r="C337" s="163">
        <v>14</v>
      </c>
      <c r="D337" s="163" t="b">
        <v>1</v>
      </c>
      <c r="E337" s="161" t="s">
        <v>27</v>
      </c>
      <c r="F337" s="161" t="str">
        <f t="shared" si="86"/>
        <v>08A</v>
      </c>
      <c r="G337" s="161" t="str">
        <f t="shared" si="91"/>
        <v>3E0</v>
      </c>
      <c r="H337" s="161" t="str">
        <f t="shared" si="88"/>
        <v>3E0</v>
      </c>
      <c r="I337" s="161" t="str">
        <f t="shared" si="89"/>
        <v>08A-3E0</v>
      </c>
      <c r="J337" s="162" t="s">
        <v>149</v>
      </c>
      <c r="K337" s="161" t="s">
        <v>151</v>
      </c>
      <c r="L337" s="418">
        <v>250000</v>
      </c>
      <c r="M337" s="420">
        <v>0</v>
      </c>
      <c r="N337" s="157" t="str">
        <f t="shared" si="90"/>
        <v>3E0</v>
      </c>
      <c r="O337" s="156">
        <f t="shared" si="82"/>
        <v>250000</v>
      </c>
      <c r="Q337" s="156"/>
    </row>
    <row r="338" spans="1:17" ht="12.75" hidden="1" customHeight="1">
      <c r="A338" s="161" t="str">
        <f t="shared" si="85"/>
        <v>29Opportunity Grants (ELTA)</v>
      </c>
      <c r="B338" s="161">
        <f t="shared" ref="B338:B369" si="93">B337</f>
        <v>1</v>
      </c>
      <c r="C338" s="163">
        <v>29</v>
      </c>
      <c r="D338" s="163" t="b">
        <v>1</v>
      </c>
      <c r="E338" s="161" t="s">
        <v>42</v>
      </c>
      <c r="F338" s="161" t="str">
        <f t="shared" si="86"/>
        <v>08A</v>
      </c>
      <c r="G338" s="161" t="str">
        <f t="shared" si="91"/>
        <v>3E0</v>
      </c>
      <c r="H338" s="161" t="str">
        <f t="shared" si="88"/>
        <v>3E0</v>
      </c>
      <c r="I338" s="161" t="str">
        <f t="shared" si="89"/>
        <v>08A-3E0</v>
      </c>
      <c r="J338" s="162" t="s">
        <v>149</v>
      </c>
      <c r="K338" s="161" t="s">
        <v>151</v>
      </c>
      <c r="L338" s="418">
        <v>34500</v>
      </c>
      <c r="M338" s="420">
        <v>-34500</v>
      </c>
      <c r="N338" s="157" t="str">
        <f t="shared" si="90"/>
        <v>3E0</v>
      </c>
      <c r="O338" s="156">
        <f t="shared" si="82"/>
        <v>0</v>
      </c>
      <c r="Q338" s="156"/>
    </row>
    <row r="339" spans="1:17" ht="12.75" hidden="1" customHeight="1">
      <c r="A339" s="161" t="str">
        <f t="shared" si="85"/>
        <v>19Opportunity Grants (ELTA)</v>
      </c>
      <c r="B339" s="161">
        <f t="shared" si="93"/>
        <v>1</v>
      </c>
      <c r="C339" s="163">
        <v>19</v>
      </c>
      <c r="D339" s="163" t="b">
        <v>1</v>
      </c>
      <c r="E339" s="161" t="s">
        <v>32</v>
      </c>
      <c r="F339" s="161" t="str">
        <f t="shared" si="86"/>
        <v>08A</v>
      </c>
      <c r="G339" s="161" t="str">
        <f t="shared" si="91"/>
        <v>3E0</v>
      </c>
      <c r="H339" s="161" t="str">
        <f t="shared" si="88"/>
        <v>3E0</v>
      </c>
      <c r="I339" s="161" t="str">
        <f t="shared" si="89"/>
        <v>08A-3E0</v>
      </c>
      <c r="J339" s="162" t="s">
        <v>149</v>
      </c>
      <c r="K339" s="161" t="s">
        <v>151</v>
      </c>
      <c r="L339" s="418">
        <v>250000</v>
      </c>
      <c r="M339" s="420">
        <v>0</v>
      </c>
      <c r="N339" s="157" t="str">
        <f t="shared" si="90"/>
        <v>3E0</v>
      </c>
      <c r="O339" s="156">
        <f t="shared" si="82"/>
        <v>250000</v>
      </c>
      <c r="Q339" s="156"/>
    </row>
    <row r="340" spans="1:17" ht="12.75" hidden="1" customHeight="1">
      <c r="A340" s="161" t="str">
        <f t="shared" si="85"/>
        <v>23Opportunity Grants (ELTA)</v>
      </c>
      <c r="B340" s="161">
        <f t="shared" si="93"/>
        <v>1</v>
      </c>
      <c r="C340" s="163">
        <v>23</v>
      </c>
      <c r="D340" s="163" t="b">
        <v>1</v>
      </c>
      <c r="E340" s="161" t="s">
        <v>36</v>
      </c>
      <c r="F340" s="161" t="str">
        <f t="shared" si="86"/>
        <v>08A</v>
      </c>
      <c r="G340" s="161" t="str">
        <f t="shared" si="91"/>
        <v>3E0</v>
      </c>
      <c r="H340" s="161" t="str">
        <f t="shared" si="88"/>
        <v>3E0</v>
      </c>
      <c r="I340" s="161" t="str">
        <f t="shared" si="89"/>
        <v>08A-3E0</v>
      </c>
      <c r="J340" s="162" t="s">
        <v>149</v>
      </c>
      <c r="K340" s="161" t="s">
        <v>151</v>
      </c>
      <c r="L340" s="418">
        <v>0</v>
      </c>
      <c r="M340" s="420">
        <v>0</v>
      </c>
      <c r="N340" s="157" t="str">
        <f t="shared" si="90"/>
        <v>3E0</v>
      </c>
      <c r="O340" s="156">
        <f t="shared" si="82"/>
        <v>0</v>
      </c>
      <c r="Q340" s="156"/>
    </row>
    <row r="341" spans="1:17" ht="12.75" hidden="1" customHeight="1">
      <c r="A341" s="161" t="str">
        <f t="shared" si="85"/>
        <v>5Opportunity Grants (ELTA)</v>
      </c>
      <c r="B341" s="161">
        <f t="shared" si="93"/>
        <v>1</v>
      </c>
      <c r="C341" s="163">
        <v>5</v>
      </c>
      <c r="D341" s="163" t="b">
        <v>1</v>
      </c>
      <c r="E341" s="161" t="s">
        <v>18</v>
      </c>
      <c r="F341" s="161" t="str">
        <f t="shared" si="86"/>
        <v>08A</v>
      </c>
      <c r="G341" s="161" t="str">
        <f t="shared" si="91"/>
        <v>3E0</v>
      </c>
      <c r="H341" s="161" t="str">
        <f t="shared" si="88"/>
        <v>3E0</v>
      </c>
      <c r="I341" s="161" t="str">
        <f t="shared" si="89"/>
        <v>08A-3E0</v>
      </c>
      <c r="J341" s="162" t="s">
        <v>149</v>
      </c>
      <c r="K341" s="161" t="s">
        <v>151</v>
      </c>
      <c r="L341" s="418">
        <v>290000</v>
      </c>
      <c r="M341" s="420">
        <v>0</v>
      </c>
      <c r="N341" s="157" t="str">
        <f t="shared" si="90"/>
        <v>3E0</v>
      </c>
      <c r="O341" s="156">
        <f t="shared" si="82"/>
        <v>290000</v>
      </c>
      <c r="Q341" s="156"/>
    </row>
    <row r="342" spans="1:17" ht="12.75" hidden="1" customHeight="1">
      <c r="A342" s="161" t="str">
        <f t="shared" si="85"/>
        <v>00Opportunity Grants (ELTA)</v>
      </c>
      <c r="B342" s="161">
        <f t="shared" si="93"/>
        <v>1</v>
      </c>
      <c r="C342" s="163" t="s">
        <v>180</v>
      </c>
      <c r="D342" s="163" t="b">
        <v>1</v>
      </c>
      <c r="E342" s="161" t="s">
        <v>181</v>
      </c>
      <c r="F342" s="161" t="str">
        <f t="shared" si="86"/>
        <v>08A</v>
      </c>
      <c r="G342" s="161" t="str">
        <f t="shared" si="91"/>
        <v>3E0</v>
      </c>
      <c r="H342" s="161" t="str">
        <f t="shared" si="88"/>
        <v>3E0</v>
      </c>
      <c r="I342" s="161" t="str">
        <f t="shared" si="89"/>
        <v>08A-3E0</v>
      </c>
      <c r="J342" s="162" t="s">
        <v>149</v>
      </c>
      <c r="K342" s="161" t="s">
        <v>151</v>
      </c>
      <c r="L342" s="418">
        <v>0</v>
      </c>
      <c r="M342" s="420">
        <v>107700</v>
      </c>
      <c r="N342" s="157" t="str">
        <f t="shared" si="90"/>
        <v>3E0</v>
      </c>
      <c r="O342" s="156">
        <f t="shared" si="82"/>
        <v>107700</v>
      </c>
      <c r="Q342" s="156"/>
    </row>
    <row r="343" spans="1:17" ht="12.75" hidden="1" customHeight="1">
      <c r="A343" s="161" t="str">
        <f t="shared" si="85"/>
        <v>2Opportunity Grants (ELTA)</v>
      </c>
      <c r="B343" s="161">
        <f t="shared" si="93"/>
        <v>1</v>
      </c>
      <c r="C343" s="163">
        <v>2</v>
      </c>
      <c r="D343" s="163" t="b">
        <v>1</v>
      </c>
      <c r="E343" s="161" t="s">
        <v>15</v>
      </c>
      <c r="F343" s="161" t="str">
        <f t="shared" si="86"/>
        <v>08A</v>
      </c>
      <c r="G343" s="161" t="str">
        <f t="shared" si="91"/>
        <v>3E0</v>
      </c>
      <c r="H343" s="161" t="str">
        <f t="shared" si="88"/>
        <v>3E0</v>
      </c>
      <c r="I343" s="161" t="str">
        <f t="shared" si="89"/>
        <v>08A-3E0</v>
      </c>
      <c r="J343" s="162" t="s">
        <v>149</v>
      </c>
      <c r="K343" s="161" t="s">
        <v>151</v>
      </c>
      <c r="L343" s="418">
        <v>290700</v>
      </c>
      <c r="M343" s="420">
        <v>-20700</v>
      </c>
      <c r="N343" s="157" t="str">
        <f t="shared" si="90"/>
        <v>3E0</v>
      </c>
      <c r="O343" s="156">
        <f t="shared" si="82"/>
        <v>270000</v>
      </c>
      <c r="Q343" s="156"/>
    </row>
    <row r="344" spans="1:17" ht="12.75" hidden="1" customHeight="1">
      <c r="A344" s="161" t="str">
        <f t="shared" si="85"/>
        <v>10Opportunity Grants (ELTA)</v>
      </c>
      <c r="B344" s="161">
        <f t="shared" si="93"/>
        <v>1</v>
      </c>
      <c r="C344" s="163">
        <v>10</v>
      </c>
      <c r="D344" s="163" t="b">
        <v>1</v>
      </c>
      <c r="E344" s="161" t="s">
        <v>23</v>
      </c>
      <c r="F344" s="161" t="str">
        <f t="shared" si="86"/>
        <v>08A</v>
      </c>
      <c r="G344" s="161" t="str">
        <f t="shared" si="91"/>
        <v>3E0</v>
      </c>
      <c r="H344" s="161" t="str">
        <f t="shared" si="88"/>
        <v>3E0</v>
      </c>
      <c r="I344" s="161" t="str">
        <f t="shared" si="89"/>
        <v>08A-3E0</v>
      </c>
      <c r="J344" s="162" t="s">
        <v>149</v>
      </c>
      <c r="K344" s="161" t="s">
        <v>151</v>
      </c>
      <c r="L344" s="418">
        <v>325000</v>
      </c>
      <c r="M344" s="420">
        <v>0</v>
      </c>
      <c r="N344" s="157" t="str">
        <f t="shared" si="90"/>
        <v>3E0</v>
      </c>
      <c r="O344" s="156">
        <f t="shared" si="82"/>
        <v>325000</v>
      </c>
      <c r="Q344" s="156"/>
    </row>
    <row r="345" spans="1:17" ht="12.75" hidden="1" customHeight="1">
      <c r="A345" s="161" t="str">
        <f t="shared" si="85"/>
        <v>9Opportunity Grants (ELTA)</v>
      </c>
      <c r="B345" s="161">
        <f t="shared" si="93"/>
        <v>1</v>
      </c>
      <c r="C345" s="163">
        <v>9</v>
      </c>
      <c r="D345" s="163" t="b">
        <v>1</v>
      </c>
      <c r="E345" s="161" t="s">
        <v>22</v>
      </c>
      <c r="F345" s="161" t="str">
        <f t="shared" si="86"/>
        <v>08A</v>
      </c>
      <c r="G345" s="161" t="str">
        <f t="shared" si="91"/>
        <v>3E0</v>
      </c>
      <c r="H345" s="161" t="str">
        <f t="shared" si="88"/>
        <v>3E0</v>
      </c>
      <c r="I345" s="161" t="str">
        <f t="shared" si="89"/>
        <v>08A-3E0</v>
      </c>
      <c r="J345" s="162" t="s">
        <v>149</v>
      </c>
      <c r="K345" s="161" t="s">
        <v>151</v>
      </c>
      <c r="L345" s="418">
        <v>0</v>
      </c>
      <c r="M345" s="420">
        <v>0</v>
      </c>
      <c r="N345" s="157" t="str">
        <f t="shared" si="90"/>
        <v>3E0</v>
      </c>
      <c r="O345" s="156">
        <f t="shared" si="82"/>
        <v>0</v>
      </c>
      <c r="Q345" s="156"/>
    </row>
    <row r="346" spans="1:17" ht="12.75" hidden="1" customHeight="1">
      <c r="A346" s="161" t="str">
        <f t="shared" si="85"/>
        <v>26Opportunity Grants (ELTA)</v>
      </c>
      <c r="B346" s="161">
        <f t="shared" si="93"/>
        <v>1</v>
      </c>
      <c r="C346" s="163">
        <v>26</v>
      </c>
      <c r="D346" s="163" t="b">
        <v>1</v>
      </c>
      <c r="E346" s="161" t="s">
        <v>39</v>
      </c>
      <c r="F346" s="161" t="str">
        <f t="shared" si="86"/>
        <v>08A</v>
      </c>
      <c r="G346" s="161" t="str">
        <f t="shared" si="91"/>
        <v>3E0</v>
      </c>
      <c r="H346" s="161" t="str">
        <f t="shared" si="88"/>
        <v>3E0</v>
      </c>
      <c r="I346" s="161" t="str">
        <f t="shared" si="89"/>
        <v>08A-3E0</v>
      </c>
      <c r="J346" s="162" t="s">
        <v>149</v>
      </c>
      <c r="K346" s="161" t="s">
        <v>151</v>
      </c>
      <c r="L346" s="418">
        <v>250000</v>
      </c>
      <c r="M346" s="420">
        <v>0</v>
      </c>
      <c r="N346" s="157" t="str">
        <f t="shared" si="90"/>
        <v>3E0</v>
      </c>
      <c r="O346" s="156">
        <f t="shared" si="82"/>
        <v>250000</v>
      </c>
      <c r="Q346" s="156"/>
    </row>
    <row r="347" spans="1:17" ht="12.75" hidden="1" customHeight="1">
      <c r="A347" s="161" t="str">
        <f t="shared" si="85"/>
        <v>13Opportunity Grants (ELTA)</v>
      </c>
      <c r="B347" s="161">
        <f t="shared" si="93"/>
        <v>1</v>
      </c>
      <c r="C347" s="163">
        <v>13</v>
      </c>
      <c r="D347" s="163" t="b">
        <v>1</v>
      </c>
      <c r="E347" s="161" t="s">
        <v>26</v>
      </c>
      <c r="F347" s="161" t="str">
        <f t="shared" si="86"/>
        <v>08A</v>
      </c>
      <c r="G347" s="161" t="str">
        <f t="shared" si="91"/>
        <v>3E0</v>
      </c>
      <c r="H347" s="161" t="str">
        <f t="shared" si="88"/>
        <v>3E0</v>
      </c>
      <c r="I347" s="161" t="str">
        <f t="shared" si="89"/>
        <v>08A-3E0</v>
      </c>
      <c r="J347" s="162" t="s">
        <v>149</v>
      </c>
      <c r="K347" s="161" t="s">
        <v>151</v>
      </c>
      <c r="L347" s="418">
        <v>277000</v>
      </c>
      <c r="M347" s="420">
        <v>0</v>
      </c>
      <c r="N347" s="157" t="str">
        <f t="shared" si="90"/>
        <v>3E0</v>
      </c>
      <c r="O347" s="156">
        <f t="shared" si="82"/>
        <v>277000</v>
      </c>
      <c r="Q347" s="156"/>
    </row>
    <row r="348" spans="1:17" ht="12.75" hidden="1" customHeight="1">
      <c r="A348" s="161" t="str">
        <f t="shared" si="85"/>
        <v>3Opportunity Grants (ELTA)</v>
      </c>
      <c r="B348" s="161">
        <f t="shared" si="93"/>
        <v>1</v>
      </c>
      <c r="C348" s="163">
        <v>3</v>
      </c>
      <c r="D348" s="163" t="b">
        <v>1</v>
      </c>
      <c r="E348" s="161" t="s">
        <v>16</v>
      </c>
      <c r="F348" s="161" t="str">
        <f t="shared" si="86"/>
        <v>08A</v>
      </c>
      <c r="G348" s="161" t="str">
        <f t="shared" si="91"/>
        <v>3E0</v>
      </c>
      <c r="H348" s="161" t="str">
        <f t="shared" si="88"/>
        <v>3E0</v>
      </c>
      <c r="I348" s="161" t="str">
        <f t="shared" si="89"/>
        <v>08A-3E0</v>
      </c>
      <c r="J348" s="162" t="s">
        <v>149</v>
      </c>
      <c r="K348" s="161" t="s">
        <v>151</v>
      </c>
      <c r="L348" s="418">
        <v>0</v>
      </c>
      <c r="M348" s="420">
        <v>0</v>
      </c>
      <c r="N348" s="157" t="str">
        <f t="shared" si="90"/>
        <v>3E0</v>
      </c>
      <c r="O348" s="156">
        <f t="shared" si="82"/>
        <v>0</v>
      </c>
      <c r="Q348" s="156"/>
    </row>
    <row r="349" spans="1:17" ht="12.75" hidden="1" customHeight="1">
      <c r="A349" s="161" t="str">
        <f t="shared" si="85"/>
        <v>1Opportunity Grants (ELTA)</v>
      </c>
      <c r="B349" s="161">
        <f t="shared" si="93"/>
        <v>1</v>
      </c>
      <c r="C349" s="163">
        <v>1</v>
      </c>
      <c r="D349" s="163" t="b">
        <v>1</v>
      </c>
      <c r="E349" s="161" t="s">
        <v>14</v>
      </c>
      <c r="F349" s="161" t="str">
        <f t="shared" si="86"/>
        <v>08A</v>
      </c>
      <c r="G349" s="161" t="str">
        <f t="shared" si="91"/>
        <v>3E0</v>
      </c>
      <c r="H349" s="161" t="str">
        <f t="shared" si="88"/>
        <v>3E0</v>
      </c>
      <c r="I349" s="161" t="str">
        <f t="shared" si="89"/>
        <v>08A-3E0</v>
      </c>
      <c r="J349" s="162" t="s">
        <v>149</v>
      </c>
      <c r="K349" s="161" t="s">
        <v>151</v>
      </c>
      <c r="L349" s="418">
        <v>0</v>
      </c>
      <c r="M349" s="420">
        <v>0</v>
      </c>
      <c r="N349" s="157" t="str">
        <f t="shared" si="90"/>
        <v>3E0</v>
      </c>
      <c r="O349" s="156">
        <f t="shared" si="82"/>
        <v>0</v>
      </c>
      <c r="Q349" s="156"/>
    </row>
    <row r="350" spans="1:17" ht="12.75" hidden="1" customHeight="1">
      <c r="A350" s="161" t="str">
        <f t="shared" si="85"/>
        <v>11Opportunity Grants (ELTA)</v>
      </c>
      <c r="B350" s="161">
        <f t="shared" si="93"/>
        <v>1</v>
      </c>
      <c r="C350" s="163">
        <v>11</v>
      </c>
      <c r="D350" s="163" t="b">
        <v>1</v>
      </c>
      <c r="E350" s="161" t="s">
        <v>24</v>
      </c>
      <c r="F350" s="161" t="str">
        <f t="shared" si="86"/>
        <v>08A</v>
      </c>
      <c r="G350" s="161" t="str">
        <f t="shared" si="91"/>
        <v>3E0</v>
      </c>
      <c r="H350" s="161" t="str">
        <f t="shared" si="88"/>
        <v>3E0</v>
      </c>
      <c r="I350" s="161" t="str">
        <f t="shared" si="89"/>
        <v>08A-3E0</v>
      </c>
      <c r="J350" s="162" t="s">
        <v>149</v>
      </c>
      <c r="K350" s="161" t="s">
        <v>151</v>
      </c>
      <c r="L350" s="418">
        <v>630000</v>
      </c>
      <c r="M350" s="420">
        <v>0</v>
      </c>
      <c r="N350" s="157" t="str">
        <f t="shared" si="90"/>
        <v>3E0</v>
      </c>
      <c r="O350" s="156">
        <f t="shared" si="82"/>
        <v>630000</v>
      </c>
      <c r="Q350" s="156"/>
    </row>
    <row r="351" spans="1:17" ht="12.75" hidden="1" customHeight="1">
      <c r="A351" s="161" t="str">
        <f t="shared" si="85"/>
        <v>27Opportunity Grants (ELTA)</v>
      </c>
      <c r="B351" s="161">
        <f t="shared" si="93"/>
        <v>1</v>
      </c>
      <c r="C351" s="163">
        <v>27</v>
      </c>
      <c r="D351" s="163" t="b">
        <v>1</v>
      </c>
      <c r="E351" s="161" t="s">
        <v>40</v>
      </c>
      <c r="F351" s="161" t="str">
        <f t="shared" si="86"/>
        <v>08A</v>
      </c>
      <c r="G351" s="161" t="str">
        <f t="shared" si="91"/>
        <v>3E0</v>
      </c>
      <c r="H351" s="161" t="str">
        <f t="shared" si="88"/>
        <v>3E0</v>
      </c>
      <c r="I351" s="161" t="str">
        <f t="shared" si="89"/>
        <v>08A-3E0</v>
      </c>
      <c r="J351" s="162" t="s">
        <v>149</v>
      </c>
      <c r="K351" s="161" t="s">
        <v>151</v>
      </c>
      <c r="L351" s="418">
        <v>250000</v>
      </c>
      <c r="M351" s="420">
        <v>0</v>
      </c>
      <c r="N351" s="157" t="str">
        <f t="shared" si="90"/>
        <v>3E0</v>
      </c>
      <c r="O351" s="156">
        <f t="shared" si="82"/>
        <v>250000</v>
      </c>
      <c r="Q351" s="156"/>
    </row>
    <row r="352" spans="1:17" ht="12.75" hidden="1" customHeight="1">
      <c r="A352" s="161" t="str">
        <f t="shared" si="85"/>
        <v>89Opportunity Grants (ELTA)</v>
      </c>
      <c r="B352" s="161">
        <f t="shared" si="93"/>
        <v>1</v>
      </c>
      <c r="C352" s="160" t="s">
        <v>144</v>
      </c>
      <c r="D352" s="163" t="b">
        <v>1</v>
      </c>
      <c r="E352" s="161" t="s">
        <v>204</v>
      </c>
      <c r="F352" s="161" t="str">
        <f t="shared" si="86"/>
        <v>08A</v>
      </c>
      <c r="G352" s="161" t="str">
        <f t="shared" si="91"/>
        <v>3E0</v>
      </c>
      <c r="H352" s="161" t="str">
        <f t="shared" si="88"/>
        <v>3E0</v>
      </c>
      <c r="I352" s="161" t="str">
        <f t="shared" si="89"/>
        <v>08A-3E0</v>
      </c>
      <c r="J352" s="162" t="s">
        <v>149</v>
      </c>
      <c r="K352" s="161" t="s">
        <v>151</v>
      </c>
      <c r="L352" s="418">
        <v>118300</v>
      </c>
      <c r="M352" s="420"/>
      <c r="N352" s="157" t="str">
        <f t="shared" si="90"/>
        <v>3E0</v>
      </c>
      <c r="O352" s="156">
        <f t="shared" si="82"/>
        <v>118300</v>
      </c>
      <c r="Q352" s="156"/>
    </row>
    <row r="353" spans="1:17" ht="12.75" hidden="1" customHeight="1">
      <c r="A353" s="161" t="str">
        <f t="shared" si="85"/>
        <v>90Opportunity Grants (ELTA)</v>
      </c>
      <c r="B353" s="161">
        <f t="shared" si="93"/>
        <v>1</v>
      </c>
      <c r="C353" s="160">
        <v>90</v>
      </c>
      <c r="D353" s="163" t="b">
        <v>1</v>
      </c>
      <c r="E353" s="161" t="s">
        <v>205</v>
      </c>
      <c r="F353" s="161" t="str">
        <f t="shared" si="86"/>
        <v>08A</v>
      </c>
      <c r="G353" s="161" t="str">
        <f t="shared" si="91"/>
        <v>3E0</v>
      </c>
      <c r="H353" s="161" t="str">
        <f t="shared" si="88"/>
        <v>3E0</v>
      </c>
      <c r="I353" s="161" t="str">
        <f t="shared" si="89"/>
        <v>08A-3E0</v>
      </c>
      <c r="J353" s="162" t="s">
        <v>149</v>
      </c>
      <c r="K353" s="161" t="s">
        <v>151</v>
      </c>
      <c r="L353" s="418">
        <v>700000</v>
      </c>
      <c r="M353" s="420"/>
      <c r="N353" s="157" t="str">
        <f t="shared" si="90"/>
        <v>3E0</v>
      </c>
      <c r="O353" s="156">
        <f t="shared" si="82"/>
        <v>700000</v>
      </c>
      <c r="Q353" s="156"/>
    </row>
    <row r="354" spans="1:17" ht="12.75" hidden="1" customHeight="1">
      <c r="A354" s="161" t="str">
        <f t="shared" si="85"/>
        <v>6Opportunity Grants (ELTA)</v>
      </c>
      <c r="B354" s="161">
        <f t="shared" si="93"/>
        <v>1</v>
      </c>
      <c r="C354" s="163">
        <v>6</v>
      </c>
      <c r="D354" s="163" t="b">
        <v>1</v>
      </c>
      <c r="E354" s="161" t="s">
        <v>19</v>
      </c>
      <c r="F354" s="161" t="str">
        <f t="shared" si="86"/>
        <v>08A</v>
      </c>
      <c r="G354" s="161" t="str">
        <f t="shared" si="91"/>
        <v>3E0</v>
      </c>
      <c r="H354" s="161" t="str">
        <f t="shared" si="88"/>
        <v>3E0</v>
      </c>
      <c r="I354" s="161" t="str">
        <f t="shared" si="89"/>
        <v>08A-3E0</v>
      </c>
      <c r="J354" s="162" t="s">
        <v>149</v>
      </c>
      <c r="K354" s="161" t="s">
        <v>151</v>
      </c>
      <c r="L354" s="418">
        <v>972500</v>
      </c>
      <c r="M354" s="420">
        <v>-32500</v>
      </c>
      <c r="N354" s="157" t="str">
        <f t="shared" si="90"/>
        <v>3E0</v>
      </c>
      <c r="O354" s="156">
        <f t="shared" ref="O354:O417" si="94">SUM(L354:M354)</f>
        <v>940000</v>
      </c>
      <c r="Q354" s="156"/>
    </row>
    <row r="355" spans="1:17" ht="12.75" hidden="1" customHeight="1">
      <c r="A355" s="161" t="str">
        <f t="shared" si="85"/>
        <v>7Opportunity Grants (ELTA)</v>
      </c>
      <c r="B355" s="161">
        <f t="shared" si="93"/>
        <v>1</v>
      </c>
      <c r="C355" s="163">
        <v>7</v>
      </c>
      <c r="D355" s="163" t="b">
        <v>1</v>
      </c>
      <c r="E355" s="161" t="s">
        <v>20</v>
      </c>
      <c r="F355" s="161" t="str">
        <f t="shared" si="86"/>
        <v>08A</v>
      </c>
      <c r="G355" s="161" t="str">
        <f t="shared" si="91"/>
        <v>3E0</v>
      </c>
      <c r="H355" s="161" t="str">
        <f t="shared" si="88"/>
        <v>3E0</v>
      </c>
      <c r="I355" s="161" t="str">
        <f t="shared" si="89"/>
        <v>08A-3E0</v>
      </c>
      <c r="J355" s="162" t="s">
        <v>149</v>
      </c>
      <c r="K355" s="161" t="s">
        <v>151</v>
      </c>
      <c r="L355" s="418">
        <v>0</v>
      </c>
      <c r="M355" s="420">
        <v>0</v>
      </c>
      <c r="N355" s="157" t="str">
        <f t="shared" si="90"/>
        <v>3E0</v>
      </c>
      <c r="O355" s="156">
        <f t="shared" si="94"/>
        <v>0</v>
      </c>
      <c r="Q355" s="156"/>
    </row>
    <row r="356" spans="1:17" ht="12.75" hidden="1" customHeight="1">
      <c r="A356" s="161" t="str">
        <f t="shared" si="85"/>
        <v>4Opportunity Grants (ELTA)</v>
      </c>
      <c r="B356" s="161">
        <f t="shared" si="93"/>
        <v>1</v>
      </c>
      <c r="C356" s="163">
        <v>4</v>
      </c>
      <c r="D356" s="163" t="b">
        <v>1</v>
      </c>
      <c r="E356" s="161" t="s">
        <v>17</v>
      </c>
      <c r="F356" s="161" t="str">
        <f t="shared" si="86"/>
        <v>08A</v>
      </c>
      <c r="G356" s="161" t="str">
        <f t="shared" si="91"/>
        <v>3E0</v>
      </c>
      <c r="H356" s="161" t="str">
        <f t="shared" si="88"/>
        <v>3E0</v>
      </c>
      <c r="I356" s="161" t="str">
        <f t="shared" si="89"/>
        <v>08A-3E0</v>
      </c>
      <c r="J356" s="162" t="s">
        <v>149</v>
      </c>
      <c r="K356" s="161" t="s">
        <v>151</v>
      </c>
      <c r="L356" s="418">
        <v>277500</v>
      </c>
      <c r="M356" s="420">
        <v>-27500</v>
      </c>
      <c r="N356" s="157" t="str">
        <f t="shared" si="90"/>
        <v>3E0</v>
      </c>
      <c r="O356" s="156">
        <f t="shared" si="94"/>
        <v>250000</v>
      </c>
      <c r="Q356" s="156"/>
    </row>
    <row r="357" spans="1:17" ht="12.75" hidden="1" customHeight="1">
      <c r="A357" s="161" t="str">
        <f t="shared" si="85"/>
        <v>24Opportunity Grants (ELTA)</v>
      </c>
      <c r="B357" s="161">
        <f t="shared" si="93"/>
        <v>1</v>
      </c>
      <c r="C357" s="163">
        <v>24</v>
      </c>
      <c r="D357" s="163" t="b">
        <v>1</v>
      </c>
      <c r="E357" s="161" t="s">
        <v>37</v>
      </c>
      <c r="F357" s="161" t="str">
        <f t="shared" si="86"/>
        <v>08A</v>
      </c>
      <c r="G357" s="161" t="str">
        <f t="shared" si="91"/>
        <v>3E0</v>
      </c>
      <c r="H357" s="161" t="str">
        <f t="shared" si="88"/>
        <v>3E0</v>
      </c>
      <c r="I357" s="161" t="str">
        <f t="shared" si="89"/>
        <v>08A-3E0</v>
      </c>
      <c r="J357" s="162" t="s">
        <v>149</v>
      </c>
      <c r="K357" s="161" t="s">
        <v>151</v>
      </c>
      <c r="L357" s="418">
        <v>250000</v>
      </c>
      <c r="M357" s="420">
        <v>0</v>
      </c>
      <c r="N357" s="157" t="str">
        <f t="shared" si="90"/>
        <v>3E0</v>
      </c>
      <c r="O357" s="156">
        <f t="shared" si="94"/>
        <v>250000</v>
      </c>
      <c r="Q357" s="156"/>
    </row>
    <row r="358" spans="1:17" ht="12.75" hidden="1" customHeight="1">
      <c r="A358" s="161" t="str">
        <f t="shared" si="85"/>
        <v>17Opportunity Grants (ELTA)</v>
      </c>
      <c r="B358" s="161">
        <f t="shared" si="93"/>
        <v>1</v>
      </c>
      <c r="C358" s="163">
        <v>17</v>
      </c>
      <c r="D358" s="163" t="b">
        <v>1</v>
      </c>
      <c r="E358" s="161" t="s">
        <v>30</v>
      </c>
      <c r="F358" s="161" t="str">
        <f t="shared" si="86"/>
        <v>08A</v>
      </c>
      <c r="G358" s="161" t="str">
        <f t="shared" si="91"/>
        <v>3E0</v>
      </c>
      <c r="H358" s="161" t="str">
        <f t="shared" si="88"/>
        <v>3E0</v>
      </c>
      <c r="I358" s="161" t="str">
        <f t="shared" si="89"/>
        <v>08A-3E0</v>
      </c>
      <c r="J358" s="162" t="s">
        <v>149</v>
      </c>
      <c r="K358" s="161" t="s">
        <v>151</v>
      </c>
      <c r="L358" s="418">
        <v>567500</v>
      </c>
      <c r="M358" s="420">
        <v>-27500</v>
      </c>
      <c r="N358" s="157" t="str">
        <f t="shared" si="90"/>
        <v>3E0</v>
      </c>
      <c r="O358" s="156">
        <f t="shared" si="94"/>
        <v>540000</v>
      </c>
      <c r="Q358" s="156"/>
    </row>
    <row r="359" spans="1:17" ht="12.75" hidden="1" customHeight="1">
      <c r="A359" s="161" t="str">
        <f t="shared" si="85"/>
        <v>22Opportunity Grants (ELTA)</v>
      </c>
      <c r="B359" s="161">
        <f t="shared" si="93"/>
        <v>1</v>
      </c>
      <c r="C359" s="163">
        <v>22</v>
      </c>
      <c r="D359" s="163" t="b">
        <v>1</v>
      </c>
      <c r="E359" s="161" t="s">
        <v>35</v>
      </c>
      <c r="F359" s="161" t="str">
        <f t="shared" si="86"/>
        <v>08A</v>
      </c>
      <c r="G359" s="161" t="str">
        <f t="shared" si="91"/>
        <v>3E0</v>
      </c>
      <c r="H359" s="161" t="str">
        <f t="shared" si="88"/>
        <v>3E0</v>
      </c>
      <c r="I359" s="161" t="str">
        <f t="shared" si="89"/>
        <v>08A-3E0</v>
      </c>
      <c r="J359" s="162" t="s">
        <v>149</v>
      </c>
      <c r="K359" s="161" t="s">
        <v>151</v>
      </c>
      <c r="L359" s="418">
        <v>277500</v>
      </c>
      <c r="M359" s="420">
        <v>-27500</v>
      </c>
      <c r="N359" s="157" t="str">
        <f t="shared" si="90"/>
        <v>3E0</v>
      </c>
      <c r="O359" s="156">
        <f t="shared" si="94"/>
        <v>250000</v>
      </c>
      <c r="Q359" s="156"/>
    </row>
    <row r="360" spans="1:17" ht="12.75" hidden="1" customHeight="1">
      <c r="A360" s="161" t="str">
        <f t="shared" si="85"/>
        <v>20Opportunity Grants (ELTA)</v>
      </c>
      <c r="B360" s="161">
        <f t="shared" si="93"/>
        <v>1</v>
      </c>
      <c r="C360" s="163">
        <v>20</v>
      </c>
      <c r="D360" s="163" t="b">
        <v>1</v>
      </c>
      <c r="E360" s="161" t="s">
        <v>33</v>
      </c>
      <c r="F360" s="161" t="str">
        <f t="shared" si="86"/>
        <v>08A</v>
      </c>
      <c r="G360" s="161" t="str">
        <f t="shared" si="91"/>
        <v>3E0</v>
      </c>
      <c r="H360" s="161" t="str">
        <f t="shared" si="88"/>
        <v>3E0</v>
      </c>
      <c r="I360" s="161" t="str">
        <f t="shared" si="89"/>
        <v>08A-3E0</v>
      </c>
      <c r="J360" s="162" t="s">
        <v>149</v>
      </c>
      <c r="K360" s="161" t="s">
        <v>151</v>
      </c>
      <c r="L360" s="418">
        <v>0</v>
      </c>
      <c r="M360" s="420">
        <v>0</v>
      </c>
      <c r="N360" s="157" t="str">
        <f t="shared" si="90"/>
        <v>3E0</v>
      </c>
      <c r="O360" s="156">
        <f t="shared" si="94"/>
        <v>0</v>
      </c>
      <c r="Q360" s="156"/>
    </row>
    <row r="361" spans="1:17" ht="12.75" hidden="1" customHeight="1">
      <c r="A361" s="161" t="str">
        <f t="shared" si="85"/>
        <v>15Opportunity Grants (ELTA)</v>
      </c>
      <c r="B361" s="161">
        <f t="shared" si="93"/>
        <v>1</v>
      </c>
      <c r="C361" s="163">
        <v>15</v>
      </c>
      <c r="D361" s="163" t="b">
        <v>1</v>
      </c>
      <c r="E361" s="161" t="s">
        <v>28</v>
      </c>
      <c r="F361" s="161" t="str">
        <f t="shared" si="86"/>
        <v>08A</v>
      </c>
      <c r="G361" s="161" t="str">
        <f t="shared" si="91"/>
        <v>3E0</v>
      </c>
      <c r="H361" s="161" t="str">
        <f t="shared" si="88"/>
        <v>3E0</v>
      </c>
      <c r="I361" s="161" t="str">
        <f t="shared" si="89"/>
        <v>08A-3E0</v>
      </c>
      <c r="J361" s="162" t="s">
        <v>149</v>
      </c>
      <c r="K361" s="161" t="s">
        <v>151</v>
      </c>
      <c r="L361" s="418">
        <v>263700</v>
      </c>
      <c r="M361" s="420">
        <v>-13700</v>
      </c>
      <c r="N361" s="157" t="str">
        <f t="shared" si="90"/>
        <v>3E0</v>
      </c>
      <c r="O361" s="156">
        <f t="shared" si="94"/>
        <v>250000</v>
      </c>
      <c r="Q361" s="156"/>
    </row>
    <row r="362" spans="1:17" ht="12.75" hidden="1" customHeight="1">
      <c r="A362" s="161" t="str">
        <f t="shared" si="85"/>
        <v>21Opportunity Grants (ELTA)</v>
      </c>
      <c r="B362" s="161">
        <f t="shared" si="93"/>
        <v>1</v>
      </c>
      <c r="C362" s="163">
        <v>21</v>
      </c>
      <c r="D362" s="163" t="b">
        <v>1</v>
      </c>
      <c r="E362" s="161" t="s">
        <v>34</v>
      </c>
      <c r="F362" s="161" t="str">
        <f t="shared" si="86"/>
        <v>08A</v>
      </c>
      <c r="G362" s="161" t="str">
        <f t="shared" si="91"/>
        <v>3E0</v>
      </c>
      <c r="H362" s="161" t="str">
        <f t="shared" si="88"/>
        <v>3E0</v>
      </c>
      <c r="I362" s="161" t="str">
        <f t="shared" si="89"/>
        <v>08A-3E0</v>
      </c>
      <c r="J362" s="162" t="s">
        <v>149</v>
      </c>
      <c r="K362" s="161" t="s">
        <v>151</v>
      </c>
      <c r="L362" s="418">
        <v>106000</v>
      </c>
      <c r="M362" s="420"/>
      <c r="N362" s="157" t="str">
        <f t="shared" si="90"/>
        <v>3E0</v>
      </c>
      <c r="O362" s="156">
        <f t="shared" si="94"/>
        <v>106000</v>
      </c>
      <c r="Q362" s="156"/>
    </row>
    <row r="363" spans="1:17" ht="12.75" hidden="1" customHeight="1">
      <c r="A363" s="161" t="str">
        <f t="shared" si="85"/>
        <v>28Opportunity Grants (GFS)</v>
      </c>
      <c r="B363" s="161">
        <f t="shared" si="93"/>
        <v>1</v>
      </c>
      <c r="C363" s="163">
        <v>28</v>
      </c>
      <c r="D363" s="163" t="b">
        <v>1</v>
      </c>
      <c r="E363" s="161" t="s">
        <v>41</v>
      </c>
      <c r="F363" s="161" t="str">
        <f t="shared" si="86"/>
        <v>001</v>
      </c>
      <c r="G363" s="385">
        <v>101</v>
      </c>
      <c r="H363" s="161" t="str">
        <f t="shared" si="88"/>
        <v>011</v>
      </c>
      <c r="I363" s="161" t="str">
        <f t="shared" si="89"/>
        <v>001-011</v>
      </c>
      <c r="J363" s="162" t="s">
        <v>491</v>
      </c>
      <c r="K363" s="161" t="s">
        <v>150</v>
      </c>
      <c r="L363" s="418">
        <v>29412</v>
      </c>
      <c r="M363" s="420"/>
      <c r="N363" s="157">
        <f t="shared" si="90"/>
        <v>101</v>
      </c>
      <c r="O363" s="156">
        <f t="shared" si="94"/>
        <v>29412</v>
      </c>
      <c r="Q363" s="156"/>
    </row>
    <row r="364" spans="1:17" ht="12.75" hidden="1" customHeight="1">
      <c r="A364" s="161" t="str">
        <f t="shared" si="85"/>
        <v>8Opportunity Grants (GFS)</v>
      </c>
      <c r="B364" s="161">
        <f t="shared" si="93"/>
        <v>1</v>
      </c>
      <c r="C364" s="163">
        <v>8</v>
      </c>
      <c r="D364" s="163" t="b">
        <v>1</v>
      </c>
      <c r="E364" s="161" t="s">
        <v>21</v>
      </c>
      <c r="F364" s="161" t="str">
        <f t="shared" si="86"/>
        <v>001</v>
      </c>
      <c r="G364" s="385">
        <v>101</v>
      </c>
      <c r="H364" s="161" t="str">
        <f t="shared" si="88"/>
        <v>011</v>
      </c>
      <c r="I364" s="161" t="str">
        <f t="shared" si="89"/>
        <v>001-011</v>
      </c>
      <c r="J364" s="162" t="s">
        <v>491</v>
      </c>
      <c r="K364" s="161" t="s">
        <v>150</v>
      </c>
      <c r="L364" s="418">
        <v>29412</v>
      </c>
      <c r="M364" s="420"/>
      <c r="N364" s="157">
        <f t="shared" si="90"/>
        <v>101</v>
      </c>
      <c r="O364" s="156">
        <f t="shared" si="94"/>
        <v>29412</v>
      </c>
      <c r="Q364" s="156"/>
    </row>
    <row r="365" spans="1:17" ht="12.75" hidden="1" customHeight="1">
      <c r="A365" s="161" t="str">
        <f t="shared" si="85"/>
        <v>25Opportunity Grants (GFS)</v>
      </c>
      <c r="B365" s="161">
        <f t="shared" si="93"/>
        <v>1</v>
      </c>
      <c r="C365" s="163">
        <v>25</v>
      </c>
      <c r="D365" s="163" t="b">
        <v>1</v>
      </c>
      <c r="E365" s="161" t="s">
        <v>38</v>
      </c>
      <c r="F365" s="161" t="str">
        <f t="shared" si="86"/>
        <v>001</v>
      </c>
      <c r="G365" s="385">
        <v>101</v>
      </c>
      <c r="H365" s="161" t="str">
        <f t="shared" si="88"/>
        <v>011</v>
      </c>
      <c r="I365" s="161" t="str">
        <f t="shared" si="89"/>
        <v>001-011</v>
      </c>
      <c r="J365" s="162" t="s">
        <v>491</v>
      </c>
      <c r="K365" s="161" t="s">
        <v>150</v>
      </c>
      <c r="L365" s="418">
        <v>317412</v>
      </c>
      <c r="M365" s="420"/>
      <c r="N365" s="157">
        <f t="shared" si="90"/>
        <v>101</v>
      </c>
      <c r="O365" s="156">
        <f t="shared" si="94"/>
        <v>317412</v>
      </c>
      <c r="Q365" s="156"/>
    </row>
    <row r="366" spans="1:17" ht="12.75" hidden="1" customHeight="1">
      <c r="A366" s="161" t="str">
        <f t="shared" si="85"/>
        <v>18Opportunity Grants (GFS)</v>
      </c>
      <c r="B366" s="161">
        <f t="shared" si="93"/>
        <v>1</v>
      </c>
      <c r="C366" s="163">
        <v>18</v>
      </c>
      <c r="D366" s="163" t="b">
        <v>1</v>
      </c>
      <c r="E366" s="161" t="s">
        <v>31</v>
      </c>
      <c r="F366" s="161" t="str">
        <f t="shared" si="86"/>
        <v>001</v>
      </c>
      <c r="G366" s="385">
        <v>101</v>
      </c>
      <c r="H366" s="161" t="str">
        <f t="shared" si="88"/>
        <v>011</v>
      </c>
      <c r="I366" s="161" t="str">
        <f t="shared" si="89"/>
        <v>001-011</v>
      </c>
      <c r="J366" s="162" t="s">
        <v>491</v>
      </c>
      <c r="K366" s="161" t="s">
        <v>150</v>
      </c>
      <c r="L366" s="418">
        <v>428412</v>
      </c>
      <c r="M366" s="420"/>
      <c r="N366" s="157">
        <f t="shared" si="90"/>
        <v>101</v>
      </c>
      <c r="O366" s="156">
        <f t="shared" si="94"/>
        <v>428412</v>
      </c>
      <c r="Q366" s="156"/>
    </row>
    <row r="367" spans="1:17" ht="12.75" hidden="1" customHeight="1">
      <c r="A367" s="161" t="str">
        <f t="shared" si="85"/>
        <v>30Opportunity Grants (GFS)</v>
      </c>
      <c r="B367" s="161">
        <f t="shared" si="93"/>
        <v>1</v>
      </c>
      <c r="C367" s="163">
        <v>30</v>
      </c>
      <c r="D367" s="163" t="b">
        <v>1</v>
      </c>
      <c r="E367" s="161" t="s">
        <v>43</v>
      </c>
      <c r="F367" s="161" t="str">
        <f t="shared" si="86"/>
        <v>001</v>
      </c>
      <c r="G367" s="385">
        <v>101</v>
      </c>
      <c r="H367" s="161" t="str">
        <f t="shared" si="88"/>
        <v>011</v>
      </c>
      <c r="I367" s="161" t="str">
        <f t="shared" si="89"/>
        <v>001-011</v>
      </c>
      <c r="J367" s="162" t="s">
        <v>491</v>
      </c>
      <c r="K367" s="161" t="s">
        <v>150</v>
      </c>
      <c r="L367" s="418">
        <v>29412</v>
      </c>
      <c r="M367" s="420"/>
      <c r="N367" s="157">
        <f t="shared" si="90"/>
        <v>101</v>
      </c>
      <c r="O367" s="156">
        <f t="shared" si="94"/>
        <v>29412</v>
      </c>
      <c r="Q367" s="156"/>
    </row>
    <row r="368" spans="1:17" ht="12.75" hidden="1" customHeight="1">
      <c r="A368" s="161" t="str">
        <f t="shared" si="85"/>
        <v>12Opportunity Grants (GFS)</v>
      </c>
      <c r="B368" s="161">
        <f t="shared" si="93"/>
        <v>1</v>
      </c>
      <c r="C368" s="163">
        <v>12</v>
      </c>
      <c r="D368" s="163" t="b">
        <v>1</v>
      </c>
      <c r="E368" s="161" t="s">
        <v>25</v>
      </c>
      <c r="F368" s="161" t="str">
        <f t="shared" si="86"/>
        <v>001</v>
      </c>
      <c r="G368" s="385">
        <v>101</v>
      </c>
      <c r="H368" s="161" t="str">
        <f t="shared" si="88"/>
        <v>011</v>
      </c>
      <c r="I368" s="161" t="str">
        <f t="shared" si="89"/>
        <v>001-011</v>
      </c>
      <c r="J368" s="162" t="s">
        <v>491</v>
      </c>
      <c r="K368" s="161" t="s">
        <v>150</v>
      </c>
      <c r="L368" s="418">
        <v>29412</v>
      </c>
      <c r="M368" s="420"/>
      <c r="N368" s="157">
        <f t="shared" si="90"/>
        <v>101</v>
      </c>
      <c r="O368" s="156">
        <f t="shared" si="94"/>
        <v>29412</v>
      </c>
      <c r="Q368" s="156"/>
    </row>
    <row r="369" spans="1:17" ht="12.75" hidden="1" customHeight="1">
      <c r="A369" s="161" t="str">
        <f t="shared" si="85"/>
        <v>14Opportunity Grants (GFS)</v>
      </c>
      <c r="B369" s="161">
        <f t="shared" si="93"/>
        <v>1</v>
      </c>
      <c r="C369" s="163">
        <v>14</v>
      </c>
      <c r="D369" s="163" t="b">
        <v>1</v>
      </c>
      <c r="E369" s="161" t="s">
        <v>27</v>
      </c>
      <c r="F369" s="161" t="str">
        <f t="shared" si="86"/>
        <v>001</v>
      </c>
      <c r="G369" s="385">
        <v>101</v>
      </c>
      <c r="H369" s="161" t="str">
        <f t="shared" si="88"/>
        <v>011</v>
      </c>
      <c r="I369" s="161" t="str">
        <f t="shared" si="89"/>
        <v>001-011</v>
      </c>
      <c r="J369" s="162" t="s">
        <v>491</v>
      </c>
      <c r="K369" s="161" t="s">
        <v>150</v>
      </c>
      <c r="L369" s="418">
        <v>29412</v>
      </c>
      <c r="M369" s="420"/>
      <c r="N369" s="157">
        <f t="shared" si="90"/>
        <v>101</v>
      </c>
      <c r="O369" s="156">
        <f t="shared" si="94"/>
        <v>29412</v>
      </c>
      <c r="Q369" s="156"/>
    </row>
    <row r="370" spans="1:17" ht="12.75" hidden="1" customHeight="1">
      <c r="A370" s="161" t="str">
        <f t="shared" si="85"/>
        <v>29Opportunity Grants (GFS)</v>
      </c>
      <c r="B370" s="161">
        <f t="shared" ref="B370:B401" si="95">B369</f>
        <v>1</v>
      </c>
      <c r="C370" s="163">
        <v>29</v>
      </c>
      <c r="D370" s="163" t="b">
        <v>1</v>
      </c>
      <c r="E370" s="161" t="s">
        <v>42</v>
      </c>
      <c r="F370" s="161" t="str">
        <f t="shared" si="86"/>
        <v>001</v>
      </c>
      <c r="G370" s="385">
        <v>101</v>
      </c>
      <c r="H370" s="161" t="str">
        <f t="shared" si="88"/>
        <v>011</v>
      </c>
      <c r="I370" s="161" t="str">
        <f t="shared" si="89"/>
        <v>001-011</v>
      </c>
      <c r="J370" s="162" t="s">
        <v>491</v>
      </c>
      <c r="K370" s="161" t="s">
        <v>150</v>
      </c>
      <c r="L370" s="418">
        <v>448412</v>
      </c>
      <c r="M370" s="420"/>
      <c r="N370" s="157">
        <f t="shared" si="90"/>
        <v>101</v>
      </c>
      <c r="O370" s="156">
        <f t="shared" si="94"/>
        <v>448412</v>
      </c>
      <c r="Q370" s="156"/>
    </row>
    <row r="371" spans="1:17" ht="12.75" hidden="1" customHeight="1">
      <c r="A371" s="161" t="str">
        <f t="shared" si="85"/>
        <v>19Opportunity Grants (GFS)</v>
      </c>
      <c r="B371" s="161">
        <f t="shared" si="95"/>
        <v>1</v>
      </c>
      <c r="C371" s="163">
        <v>19</v>
      </c>
      <c r="D371" s="163" t="b">
        <v>1</v>
      </c>
      <c r="E371" s="161" t="s">
        <v>32</v>
      </c>
      <c r="F371" s="161" t="str">
        <f t="shared" si="86"/>
        <v>001</v>
      </c>
      <c r="G371" s="385">
        <v>101</v>
      </c>
      <c r="H371" s="161" t="str">
        <f t="shared" si="88"/>
        <v>011</v>
      </c>
      <c r="I371" s="161" t="str">
        <f t="shared" si="89"/>
        <v>001-011</v>
      </c>
      <c r="J371" s="162" t="s">
        <v>491</v>
      </c>
      <c r="K371" s="161" t="s">
        <v>150</v>
      </c>
      <c r="L371" s="418">
        <v>29412</v>
      </c>
      <c r="M371" s="420"/>
      <c r="N371" s="157">
        <f t="shared" si="90"/>
        <v>101</v>
      </c>
      <c r="O371" s="156">
        <f t="shared" si="94"/>
        <v>29412</v>
      </c>
      <c r="Q371" s="156"/>
    </row>
    <row r="372" spans="1:17" ht="12.75" hidden="1" customHeight="1">
      <c r="A372" s="161" t="str">
        <f t="shared" si="85"/>
        <v>23Opportunity Grants (GFS)</v>
      </c>
      <c r="B372" s="161">
        <f t="shared" si="95"/>
        <v>1</v>
      </c>
      <c r="C372" s="163">
        <v>23</v>
      </c>
      <c r="D372" s="163" t="b">
        <v>1</v>
      </c>
      <c r="E372" s="161" t="s">
        <v>36</v>
      </c>
      <c r="F372" s="161" t="str">
        <f t="shared" si="86"/>
        <v>001</v>
      </c>
      <c r="G372" s="385">
        <v>101</v>
      </c>
      <c r="H372" s="161" t="str">
        <f t="shared" si="88"/>
        <v>011</v>
      </c>
      <c r="I372" s="161" t="str">
        <f t="shared" si="89"/>
        <v>001-011</v>
      </c>
      <c r="J372" s="162" t="s">
        <v>491</v>
      </c>
      <c r="K372" s="161" t="s">
        <v>150</v>
      </c>
      <c r="L372" s="418">
        <v>461412</v>
      </c>
      <c r="M372" s="420"/>
      <c r="N372" s="157">
        <f t="shared" si="90"/>
        <v>101</v>
      </c>
      <c r="O372" s="156">
        <f t="shared" si="94"/>
        <v>461412</v>
      </c>
      <c r="Q372" s="156"/>
    </row>
    <row r="373" spans="1:17" ht="12.75" hidden="1" customHeight="1">
      <c r="A373" s="161" t="str">
        <f t="shared" si="85"/>
        <v>5Opportunity Grants (GFS)</v>
      </c>
      <c r="B373" s="161">
        <f t="shared" si="95"/>
        <v>1</v>
      </c>
      <c r="C373" s="163">
        <v>5</v>
      </c>
      <c r="D373" s="163" t="b">
        <v>1</v>
      </c>
      <c r="E373" s="161" t="s">
        <v>18</v>
      </c>
      <c r="F373" s="161" t="str">
        <f t="shared" si="86"/>
        <v>001</v>
      </c>
      <c r="G373" s="385">
        <v>101</v>
      </c>
      <c r="H373" s="161" t="str">
        <f t="shared" si="88"/>
        <v>011</v>
      </c>
      <c r="I373" s="161" t="str">
        <f t="shared" si="89"/>
        <v>001-011</v>
      </c>
      <c r="J373" s="162" t="s">
        <v>491</v>
      </c>
      <c r="K373" s="161" t="s">
        <v>150</v>
      </c>
      <c r="L373" s="418">
        <v>29412</v>
      </c>
      <c r="M373" s="420"/>
      <c r="N373" s="157">
        <f t="shared" si="90"/>
        <v>101</v>
      </c>
      <c r="O373" s="156">
        <f t="shared" si="94"/>
        <v>29412</v>
      </c>
      <c r="Q373" s="156"/>
    </row>
    <row r="374" spans="1:17" ht="12.75" hidden="1" customHeight="1">
      <c r="A374" s="161" t="str">
        <f t="shared" si="85"/>
        <v>2Opportunity Grants (GFS)</v>
      </c>
      <c r="B374" s="161">
        <f t="shared" si="95"/>
        <v>1</v>
      </c>
      <c r="C374" s="163">
        <v>2</v>
      </c>
      <c r="D374" s="163" t="b">
        <v>1</v>
      </c>
      <c r="E374" s="161" t="s">
        <v>15</v>
      </c>
      <c r="F374" s="161" t="str">
        <f t="shared" si="86"/>
        <v>001</v>
      </c>
      <c r="G374" s="385">
        <v>101</v>
      </c>
      <c r="H374" s="161" t="str">
        <f t="shared" si="88"/>
        <v>011</v>
      </c>
      <c r="I374" s="161" t="str">
        <f t="shared" si="89"/>
        <v>001-011</v>
      </c>
      <c r="J374" s="162" t="s">
        <v>491</v>
      </c>
      <c r="K374" s="161" t="s">
        <v>150</v>
      </c>
      <c r="L374" s="418">
        <v>29412</v>
      </c>
      <c r="M374" s="420"/>
      <c r="N374" s="157">
        <f t="shared" si="90"/>
        <v>101</v>
      </c>
      <c r="O374" s="156">
        <f t="shared" si="94"/>
        <v>29412</v>
      </c>
      <c r="Q374" s="156"/>
    </row>
    <row r="375" spans="1:17" ht="12.75" hidden="1" customHeight="1">
      <c r="A375" s="161" t="str">
        <f t="shared" si="85"/>
        <v>10Opportunity Grants (GFS)</v>
      </c>
      <c r="B375" s="161">
        <f t="shared" si="95"/>
        <v>1</v>
      </c>
      <c r="C375" s="163">
        <v>10</v>
      </c>
      <c r="D375" s="163" t="b">
        <v>1</v>
      </c>
      <c r="E375" s="161" t="s">
        <v>23</v>
      </c>
      <c r="F375" s="161" t="str">
        <f t="shared" si="86"/>
        <v>001</v>
      </c>
      <c r="G375" s="385">
        <v>101</v>
      </c>
      <c r="H375" s="161" t="str">
        <f t="shared" si="88"/>
        <v>011</v>
      </c>
      <c r="I375" s="161" t="str">
        <f t="shared" si="89"/>
        <v>001-011</v>
      </c>
      <c r="J375" s="162" t="s">
        <v>491</v>
      </c>
      <c r="K375" s="161" t="s">
        <v>150</v>
      </c>
      <c r="L375" s="418">
        <v>29412</v>
      </c>
      <c r="M375" s="420"/>
      <c r="N375" s="157">
        <f t="shared" si="90"/>
        <v>101</v>
      </c>
      <c r="O375" s="156">
        <f t="shared" si="94"/>
        <v>29412</v>
      </c>
      <c r="Q375" s="156"/>
    </row>
    <row r="376" spans="1:17" ht="12.75" hidden="1" customHeight="1">
      <c r="A376" s="161" t="str">
        <f t="shared" si="85"/>
        <v>9Opportunity Grants (GFS)</v>
      </c>
      <c r="B376" s="161">
        <f t="shared" si="95"/>
        <v>1</v>
      </c>
      <c r="C376" s="163">
        <v>9</v>
      </c>
      <c r="D376" s="163" t="b">
        <v>1</v>
      </c>
      <c r="E376" s="161" t="s">
        <v>22</v>
      </c>
      <c r="F376" s="161" t="str">
        <f t="shared" si="86"/>
        <v>001</v>
      </c>
      <c r="G376" s="385">
        <v>101</v>
      </c>
      <c r="H376" s="161" t="str">
        <f t="shared" si="88"/>
        <v>011</v>
      </c>
      <c r="I376" s="161" t="str">
        <f t="shared" si="89"/>
        <v>001-011</v>
      </c>
      <c r="J376" s="162" t="s">
        <v>491</v>
      </c>
      <c r="K376" s="161" t="s">
        <v>150</v>
      </c>
      <c r="L376" s="418">
        <v>461412</v>
      </c>
      <c r="M376" s="420"/>
      <c r="N376" s="157">
        <f t="shared" si="90"/>
        <v>101</v>
      </c>
      <c r="O376" s="156">
        <f t="shared" si="94"/>
        <v>461412</v>
      </c>
      <c r="Q376" s="156"/>
    </row>
    <row r="377" spans="1:17" ht="12.75" hidden="1" customHeight="1">
      <c r="A377" s="161" t="str">
        <f t="shared" si="85"/>
        <v>26Opportunity Grants (GFS)</v>
      </c>
      <c r="B377" s="161">
        <f t="shared" si="95"/>
        <v>1</v>
      </c>
      <c r="C377" s="163">
        <v>26</v>
      </c>
      <c r="D377" s="163" t="b">
        <v>1</v>
      </c>
      <c r="E377" s="161" t="s">
        <v>39</v>
      </c>
      <c r="F377" s="161" t="str">
        <f t="shared" si="86"/>
        <v>001</v>
      </c>
      <c r="G377" s="385">
        <v>101</v>
      </c>
      <c r="H377" s="161" t="str">
        <f t="shared" si="88"/>
        <v>011</v>
      </c>
      <c r="I377" s="161" t="str">
        <f t="shared" si="89"/>
        <v>001-011</v>
      </c>
      <c r="J377" s="162" t="s">
        <v>491</v>
      </c>
      <c r="K377" s="161" t="s">
        <v>150</v>
      </c>
      <c r="L377" s="418">
        <v>29412</v>
      </c>
      <c r="M377" s="420"/>
      <c r="N377" s="157">
        <f t="shared" si="90"/>
        <v>101</v>
      </c>
      <c r="O377" s="156">
        <f t="shared" si="94"/>
        <v>29412</v>
      </c>
      <c r="Q377" s="156"/>
    </row>
    <row r="378" spans="1:17" ht="12.75" hidden="1" customHeight="1">
      <c r="A378" s="161" t="str">
        <f t="shared" si="85"/>
        <v>13Opportunity Grants (GFS)</v>
      </c>
      <c r="B378" s="161">
        <f t="shared" si="95"/>
        <v>1</v>
      </c>
      <c r="C378" s="163">
        <v>13</v>
      </c>
      <c r="D378" s="163" t="b">
        <v>1</v>
      </c>
      <c r="E378" s="161" t="s">
        <v>26</v>
      </c>
      <c r="F378" s="161" t="str">
        <f t="shared" si="86"/>
        <v>001</v>
      </c>
      <c r="G378" s="385">
        <v>101</v>
      </c>
      <c r="H378" s="161" t="str">
        <f t="shared" si="88"/>
        <v>011</v>
      </c>
      <c r="I378" s="161" t="str">
        <f t="shared" si="89"/>
        <v>001-011</v>
      </c>
      <c r="J378" s="162" t="s">
        <v>491</v>
      </c>
      <c r="K378" s="161" t="s">
        <v>150</v>
      </c>
      <c r="L378" s="418">
        <v>29412</v>
      </c>
      <c r="M378" s="420"/>
      <c r="N378" s="157">
        <f t="shared" si="90"/>
        <v>101</v>
      </c>
      <c r="O378" s="156">
        <f t="shared" si="94"/>
        <v>29412</v>
      </c>
      <c r="Q378" s="156"/>
    </row>
    <row r="379" spans="1:17" ht="12.75" hidden="1" customHeight="1">
      <c r="A379" s="161" t="str">
        <f t="shared" si="85"/>
        <v>3Opportunity Grants (GFS)</v>
      </c>
      <c r="B379" s="161">
        <f t="shared" si="95"/>
        <v>1</v>
      </c>
      <c r="C379" s="163">
        <v>3</v>
      </c>
      <c r="D379" s="163" t="b">
        <v>1</v>
      </c>
      <c r="E379" s="161" t="s">
        <v>16</v>
      </c>
      <c r="F379" s="161" t="str">
        <f t="shared" si="86"/>
        <v>001</v>
      </c>
      <c r="G379" s="385">
        <v>101</v>
      </c>
      <c r="H379" s="161" t="str">
        <f t="shared" si="88"/>
        <v>011</v>
      </c>
      <c r="I379" s="161" t="str">
        <f t="shared" si="89"/>
        <v>001-011</v>
      </c>
      <c r="J379" s="162" t="s">
        <v>491</v>
      </c>
      <c r="K379" s="161" t="s">
        <v>150</v>
      </c>
      <c r="L379" s="418">
        <v>334412</v>
      </c>
      <c r="M379" s="420"/>
      <c r="N379" s="157">
        <f t="shared" si="90"/>
        <v>101</v>
      </c>
      <c r="O379" s="156">
        <f t="shared" si="94"/>
        <v>334412</v>
      </c>
      <c r="Q379" s="156"/>
    </row>
    <row r="380" spans="1:17" ht="12.75" hidden="1" customHeight="1">
      <c r="A380" s="161" t="str">
        <f t="shared" si="85"/>
        <v>1Opportunity Grants (GFS)</v>
      </c>
      <c r="B380" s="161">
        <f t="shared" si="95"/>
        <v>1</v>
      </c>
      <c r="C380" s="163">
        <v>1</v>
      </c>
      <c r="D380" s="163" t="b">
        <v>1</v>
      </c>
      <c r="E380" s="161" t="s">
        <v>14</v>
      </c>
      <c r="F380" s="161" t="str">
        <f t="shared" si="86"/>
        <v>001</v>
      </c>
      <c r="G380" s="385">
        <v>101</v>
      </c>
      <c r="H380" s="161" t="str">
        <f t="shared" si="88"/>
        <v>011</v>
      </c>
      <c r="I380" s="161" t="str">
        <f t="shared" si="89"/>
        <v>001-011</v>
      </c>
      <c r="J380" s="162" t="s">
        <v>491</v>
      </c>
      <c r="K380" s="161" t="s">
        <v>150</v>
      </c>
      <c r="L380" s="418">
        <v>399412</v>
      </c>
      <c r="M380" s="420"/>
      <c r="N380" s="157">
        <f t="shared" si="90"/>
        <v>101</v>
      </c>
      <c r="O380" s="156">
        <f t="shared" si="94"/>
        <v>399412</v>
      </c>
      <c r="Q380" s="156"/>
    </row>
    <row r="381" spans="1:17" ht="12.75" hidden="1" customHeight="1">
      <c r="A381" s="161" t="str">
        <f t="shared" si="85"/>
        <v>11Opportunity Grants (GFS)</v>
      </c>
      <c r="B381" s="161">
        <f t="shared" si="95"/>
        <v>1</v>
      </c>
      <c r="C381" s="163">
        <v>11</v>
      </c>
      <c r="D381" s="163" t="b">
        <v>1</v>
      </c>
      <c r="E381" s="161" t="s">
        <v>24</v>
      </c>
      <c r="F381" s="161" t="str">
        <f t="shared" si="86"/>
        <v>001</v>
      </c>
      <c r="G381" s="385">
        <v>101</v>
      </c>
      <c r="H381" s="161" t="str">
        <f t="shared" si="88"/>
        <v>011</v>
      </c>
      <c r="I381" s="161" t="str">
        <f t="shared" si="89"/>
        <v>001-011</v>
      </c>
      <c r="J381" s="162" t="s">
        <v>491</v>
      </c>
      <c r="K381" s="161" t="s">
        <v>150</v>
      </c>
      <c r="L381" s="418">
        <v>58822</v>
      </c>
      <c r="M381" s="420"/>
      <c r="N381" s="157">
        <f t="shared" si="90"/>
        <v>101</v>
      </c>
      <c r="O381" s="156">
        <f t="shared" si="94"/>
        <v>58822</v>
      </c>
      <c r="Q381" s="156"/>
    </row>
    <row r="382" spans="1:17" ht="12.75" hidden="1" customHeight="1">
      <c r="A382" s="161" t="str">
        <f t="shared" si="85"/>
        <v>27Opportunity Grants (GFS)</v>
      </c>
      <c r="B382" s="161">
        <f t="shared" si="95"/>
        <v>1</v>
      </c>
      <c r="C382" s="163">
        <v>27</v>
      </c>
      <c r="D382" s="163" t="b">
        <v>1</v>
      </c>
      <c r="E382" s="161" t="s">
        <v>40</v>
      </c>
      <c r="F382" s="161" t="str">
        <f t="shared" si="86"/>
        <v>001</v>
      </c>
      <c r="G382" s="385">
        <v>101</v>
      </c>
      <c r="H382" s="161" t="str">
        <f t="shared" si="88"/>
        <v>011</v>
      </c>
      <c r="I382" s="161" t="str">
        <f t="shared" si="89"/>
        <v>001-011</v>
      </c>
      <c r="J382" s="162" t="s">
        <v>491</v>
      </c>
      <c r="K382" s="161" t="s">
        <v>150</v>
      </c>
      <c r="L382" s="418">
        <v>29412</v>
      </c>
      <c r="M382" s="420"/>
      <c r="N382" s="157">
        <f t="shared" si="90"/>
        <v>101</v>
      </c>
      <c r="O382" s="156">
        <f t="shared" si="94"/>
        <v>29412</v>
      </c>
      <c r="Q382" s="156"/>
    </row>
    <row r="383" spans="1:17" ht="12.75" hidden="1" customHeight="1">
      <c r="A383" s="161" t="str">
        <f t="shared" si="85"/>
        <v>6Opportunity Grants (GFS)</v>
      </c>
      <c r="B383" s="161">
        <f t="shared" si="95"/>
        <v>1</v>
      </c>
      <c r="C383" s="163">
        <v>6</v>
      </c>
      <c r="D383" s="163" t="b">
        <v>1</v>
      </c>
      <c r="E383" s="161" t="s">
        <v>19</v>
      </c>
      <c r="F383" s="161" t="str">
        <f t="shared" si="86"/>
        <v>001</v>
      </c>
      <c r="G383" s="385">
        <v>101</v>
      </c>
      <c r="H383" s="161" t="str">
        <f t="shared" si="88"/>
        <v>011</v>
      </c>
      <c r="I383" s="161" t="str">
        <f t="shared" si="89"/>
        <v>001-011</v>
      </c>
      <c r="J383" s="162" t="s">
        <v>491</v>
      </c>
      <c r="K383" s="161" t="s">
        <v>150</v>
      </c>
      <c r="L383" s="418">
        <v>88232</v>
      </c>
      <c r="M383" s="420"/>
      <c r="N383" s="157">
        <f t="shared" si="90"/>
        <v>101</v>
      </c>
      <c r="O383" s="156">
        <f t="shared" si="94"/>
        <v>88232</v>
      </c>
      <c r="Q383" s="156"/>
    </row>
    <row r="384" spans="1:17" ht="12.75" hidden="1" customHeight="1">
      <c r="A384" s="161" t="str">
        <f t="shared" si="85"/>
        <v>7Opportunity Grants (GFS)</v>
      </c>
      <c r="B384" s="161">
        <f t="shared" si="95"/>
        <v>1</v>
      </c>
      <c r="C384" s="163">
        <v>7</v>
      </c>
      <c r="D384" s="163" t="b">
        <v>1</v>
      </c>
      <c r="E384" s="161" t="s">
        <v>20</v>
      </c>
      <c r="F384" s="161" t="str">
        <f t="shared" si="86"/>
        <v>001</v>
      </c>
      <c r="G384" s="385">
        <v>101</v>
      </c>
      <c r="H384" s="161" t="str">
        <f t="shared" si="88"/>
        <v>011</v>
      </c>
      <c r="I384" s="161" t="str">
        <f t="shared" si="89"/>
        <v>001-011</v>
      </c>
      <c r="J384" s="162" t="s">
        <v>491</v>
      </c>
      <c r="K384" s="161" t="s">
        <v>150</v>
      </c>
      <c r="L384" s="418">
        <v>445412</v>
      </c>
      <c r="M384" s="420"/>
      <c r="N384" s="157">
        <f t="shared" si="90"/>
        <v>101</v>
      </c>
      <c r="O384" s="156">
        <f t="shared" si="94"/>
        <v>445412</v>
      </c>
      <c r="Q384" s="156"/>
    </row>
    <row r="385" spans="1:17" ht="12.75" hidden="1" customHeight="1">
      <c r="A385" s="161" t="str">
        <f t="shared" si="85"/>
        <v>4Opportunity Grants (GFS)</v>
      </c>
      <c r="B385" s="161">
        <f t="shared" si="95"/>
        <v>1</v>
      </c>
      <c r="C385" s="163">
        <v>4</v>
      </c>
      <c r="D385" s="163" t="b">
        <v>1</v>
      </c>
      <c r="E385" s="161" t="s">
        <v>17</v>
      </c>
      <c r="F385" s="161" t="str">
        <f t="shared" si="86"/>
        <v>001</v>
      </c>
      <c r="G385" s="385">
        <v>101</v>
      </c>
      <c r="H385" s="161" t="str">
        <f t="shared" si="88"/>
        <v>011</v>
      </c>
      <c r="I385" s="161" t="str">
        <f t="shared" si="89"/>
        <v>001-011</v>
      </c>
      <c r="J385" s="162" t="s">
        <v>491</v>
      </c>
      <c r="K385" s="161" t="s">
        <v>150</v>
      </c>
      <c r="L385" s="418">
        <v>29412</v>
      </c>
      <c r="M385" s="420"/>
      <c r="N385" s="157">
        <f t="shared" si="90"/>
        <v>101</v>
      </c>
      <c r="O385" s="156">
        <f t="shared" si="94"/>
        <v>29412</v>
      </c>
      <c r="Q385" s="156"/>
    </row>
    <row r="386" spans="1:17" ht="12.75" hidden="1" customHeight="1">
      <c r="A386" s="161" t="str">
        <f t="shared" ref="A386:A427" si="96">C386&amp;K386</f>
        <v>24Opportunity Grants (GFS)</v>
      </c>
      <c r="B386" s="161">
        <f t="shared" si="95"/>
        <v>1</v>
      </c>
      <c r="C386" s="163">
        <v>24</v>
      </c>
      <c r="D386" s="163" t="b">
        <v>1</v>
      </c>
      <c r="E386" s="161" t="s">
        <v>37</v>
      </c>
      <c r="F386" s="161" t="str">
        <f t="shared" ref="F386:F449" si="97">LEFT(J386,3)</f>
        <v>001</v>
      </c>
      <c r="G386" s="385">
        <v>101</v>
      </c>
      <c r="H386" s="161" t="str">
        <f t="shared" ref="H386:H449" si="98">RIGHT(J386,3)</f>
        <v>011</v>
      </c>
      <c r="I386" s="161" t="str">
        <f t="shared" ref="I386:I449" si="99">F386&amp;"-"&amp;H386</f>
        <v>001-011</v>
      </c>
      <c r="J386" s="162" t="s">
        <v>491</v>
      </c>
      <c r="K386" s="161" t="s">
        <v>150</v>
      </c>
      <c r="L386" s="418">
        <v>29412</v>
      </c>
      <c r="M386" s="420"/>
      <c r="N386" s="157">
        <f t="shared" ref="N386:N449" si="100">VLOOKUP(H386,Approp,2,FALSE)</f>
        <v>101</v>
      </c>
      <c r="O386" s="156">
        <f t="shared" si="94"/>
        <v>29412</v>
      </c>
      <c r="Q386" s="156"/>
    </row>
    <row r="387" spans="1:17" ht="12.75" hidden="1" customHeight="1">
      <c r="A387" s="161" t="str">
        <f t="shared" si="96"/>
        <v>17Opportunity Grants (GFS)</v>
      </c>
      <c r="B387" s="161">
        <f t="shared" si="95"/>
        <v>1</v>
      </c>
      <c r="C387" s="163">
        <v>17</v>
      </c>
      <c r="D387" s="163" t="b">
        <v>1</v>
      </c>
      <c r="E387" s="161" t="s">
        <v>30</v>
      </c>
      <c r="F387" s="161" t="str">
        <f t="shared" si="97"/>
        <v>001</v>
      </c>
      <c r="G387" s="385">
        <v>101</v>
      </c>
      <c r="H387" s="161" t="str">
        <f t="shared" si="98"/>
        <v>011</v>
      </c>
      <c r="I387" s="161" t="str">
        <f t="shared" si="99"/>
        <v>001-011</v>
      </c>
      <c r="J387" s="162" t="s">
        <v>491</v>
      </c>
      <c r="K387" s="161" t="s">
        <v>150</v>
      </c>
      <c r="L387" s="418">
        <v>58822</v>
      </c>
      <c r="M387" s="420"/>
      <c r="N387" s="157">
        <f t="shared" si="100"/>
        <v>101</v>
      </c>
      <c r="O387" s="156">
        <f t="shared" si="94"/>
        <v>58822</v>
      </c>
      <c r="Q387" s="156"/>
    </row>
    <row r="388" spans="1:17" ht="12.75" hidden="1" customHeight="1">
      <c r="A388" s="161" t="str">
        <f t="shared" si="96"/>
        <v>22Opportunity Grants (GFS)</v>
      </c>
      <c r="B388" s="161">
        <f t="shared" si="95"/>
        <v>1</v>
      </c>
      <c r="C388" s="163">
        <v>22</v>
      </c>
      <c r="D388" s="163" t="b">
        <v>1</v>
      </c>
      <c r="E388" s="161" t="s">
        <v>35</v>
      </c>
      <c r="F388" s="161" t="str">
        <f t="shared" si="97"/>
        <v>001</v>
      </c>
      <c r="G388" s="385">
        <v>101</v>
      </c>
      <c r="H388" s="161" t="str">
        <f t="shared" si="98"/>
        <v>011</v>
      </c>
      <c r="I388" s="161" t="str">
        <f t="shared" si="99"/>
        <v>001-011</v>
      </c>
      <c r="J388" s="162" t="s">
        <v>491</v>
      </c>
      <c r="K388" s="161" t="s">
        <v>150</v>
      </c>
      <c r="L388" s="418">
        <v>29412</v>
      </c>
      <c r="M388" s="420"/>
      <c r="N388" s="157">
        <f t="shared" si="100"/>
        <v>101</v>
      </c>
      <c r="O388" s="156">
        <f t="shared" si="94"/>
        <v>29412</v>
      </c>
      <c r="Q388" s="156"/>
    </row>
    <row r="389" spans="1:17" ht="12.75" hidden="1" customHeight="1">
      <c r="A389" s="161" t="str">
        <f t="shared" si="96"/>
        <v>20Opportunity Grants (GFS)</v>
      </c>
      <c r="B389" s="161">
        <f t="shared" si="95"/>
        <v>1</v>
      </c>
      <c r="C389" s="163">
        <v>20</v>
      </c>
      <c r="D389" s="163" t="b">
        <v>1</v>
      </c>
      <c r="E389" s="161" t="s">
        <v>33</v>
      </c>
      <c r="F389" s="161" t="str">
        <f t="shared" si="97"/>
        <v>001</v>
      </c>
      <c r="G389" s="385">
        <v>101</v>
      </c>
      <c r="H389" s="161" t="str">
        <f t="shared" si="98"/>
        <v>011</v>
      </c>
      <c r="I389" s="161" t="str">
        <f t="shared" si="99"/>
        <v>001-011</v>
      </c>
      <c r="J389" s="162" t="s">
        <v>491</v>
      </c>
      <c r="K389" s="161" t="s">
        <v>150</v>
      </c>
      <c r="L389" s="418">
        <v>461412</v>
      </c>
      <c r="M389" s="420"/>
      <c r="N389" s="157">
        <f t="shared" si="100"/>
        <v>101</v>
      </c>
      <c r="O389" s="156">
        <f t="shared" si="94"/>
        <v>461412</v>
      </c>
      <c r="Q389" s="156"/>
    </row>
    <row r="390" spans="1:17" ht="12.75" hidden="1" customHeight="1">
      <c r="A390" s="161" t="str">
        <f t="shared" si="96"/>
        <v>15Opportunity Grants (GFS)</v>
      </c>
      <c r="B390" s="161">
        <f t="shared" si="95"/>
        <v>1</v>
      </c>
      <c r="C390" s="163">
        <v>15</v>
      </c>
      <c r="D390" s="163" t="b">
        <v>1</v>
      </c>
      <c r="E390" s="161" t="s">
        <v>28</v>
      </c>
      <c r="F390" s="161" t="str">
        <f t="shared" si="97"/>
        <v>001</v>
      </c>
      <c r="G390" s="385">
        <v>101</v>
      </c>
      <c r="H390" s="161" t="str">
        <f t="shared" si="98"/>
        <v>011</v>
      </c>
      <c r="I390" s="161" t="str">
        <f t="shared" si="99"/>
        <v>001-011</v>
      </c>
      <c r="J390" s="162" t="s">
        <v>491</v>
      </c>
      <c r="K390" s="161" t="s">
        <v>150</v>
      </c>
      <c r="L390" s="418">
        <v>29412</v>
      </c>
      <c r="M390" s="420"/>
      <c r="N390" s="157">
        <f t="shared" si="100"/>
        <v>101</v>
      </c>
      <c r="O390" s="156">
        <f t="shared" si="94"/>
        <v>29412</v>
      </c>
      <c r="Q390" s="156"/>
    </row>
    <row r="391" spans="1:17" ht="12.75" hidden="1" customHeight="1">
      <c r="A391" s="161" t="str">
        <f t="shared" si="96"/>
        <v>21Opportunity Grants (GFS)</v>
      </c>
      <c r="B391" s="161">
        <f t="shared" si="95"/>
        <v>1</v>
      </c>
      <c r="C391" s="163">
        <v>21</v>
      </c>
      <c r="D391" s="163" t="b">
        <v>1</v>
      </c>
      <c r="E391" s="161" t="s">
        <v>34</v>
      </c>
      <c r="F391" s="161" t="str">
        <f t="shared" si="97"/>
        <v>001</v>
      </c>
      <c r="G391" s="385">
        <v>101</v>
      </c>
      <c r="H391" s="161" t="str">
        <f t="shared" si="98"/>
        <v>011</v>
      </c>
      <c r="I391" s="161" t="str">
        <f t="shared" si="99"/>
        <v>001-011</v>
      </c>
      <c r="J391" s="162" t="s">
        <v>491</v>
      </c>
      <c r="K391" s="161" t="s">
        <v>150</v>
      </c>
      <c r="L391" s="418">
        <v>173412</v>
      </c>
      <c r="M391" s="420"/>
      <c r="N391" s="157">
        <f t="shared" si="100"/>
        <v>101</v>
      </c>
      <c r="O391" s="156">
        <f t="shared" si="94"/>
        <v>173412</v>
      </c>
      <c r="Q391" s="156"/>
    </row>
    <row r="392" spans="1:17" ht="12.75" hidden="1" customHeight="1">
      <c r="A392" s="161" t="str">
        <f t="shared" si="96"/>
        <v>16Opportunity Grants (GFS)</v>
      </c>
      <c r="B392" s="161">
        <f t="shared" si="95"/>
        <v>1</v>
      </c>
      <c r="C392" s="163">
        <v>16</v>
      </c>
      <c r="D392" s="163" t="b">
        <v>1</v>
      </c>
      <c r="E392" s="161" t="s">
        <v>29</v>
      </c>
      <c r="F392" s="161" t="str">
        <f t="shared" si="97"/>
        <v>001</v>
      </c>
      <c r="G392" s="385">
        <v>101</v>
      </c>
      <c r="H392" s="161" t="str">
        <f t="shared" si="98"/>
        <v>011</v>
      </c>
      <c r="I392" s="161" t="str">
        <f t="shared" si="99"/>
        <v>001-011</v>
      </c>
      <c r="J392" s="162" t="s">
        <v>491</v>
      </c>
      <c r="K392" s="161" t="s">
        <v>150</v>
      </c>
      <c r="L392" s="418">
        <v>392412</v>
      </c>
      <c r="M392" s="420"/>
      <c r="N392" s="157">
        <f t="shared" si="100"/>
        <v>101</v>
      </c>
      <c r="O392" s="156">
        <f t="shared" si="94"/>
        <v>392412</v>
      </c>
      <c r="Q392" s="156"/>
    </row>
    <row r="393" spans="1:17" ht="12.75" hidden="1" customHeight="1">
      <c r="A393" s="161" t="str">
        <f t="shared" si="96"/>
        <v>28PERS/TRS Pension Rate Changes</v>
      </c>
      <c r="B393" s="161">
        <f t="shared" si="95"/>
        <v>1</v>
      </c>
      <c r="C393" s="163">
        <v>28</v>
      </c>
      <c r="D393" s="163" t="b">
        <v>1</v>
      </c>
      <c r="E393" s="161" t="s">
        <v>41</v>
      </c>
      <c r="F393" s="161" t="str">
        <f t="shared" si="97"/>
        <v>001</v>
      </c>
      <c r="G393" s="385">
        <v>101</v>
      </c>
      <c r="H393" s="161" t="str">
        <f t="shared" si="98"/>
        <v>011</v>
      </c>
      <c r="I393" s="161" t="str">
        <f t="shared" si="99"/>
        <v>001-011</v>
      </c>
      <c r="J393" s="162" t="s">
        <v>491</v>
      </c>
      <c r="K393" s="161" t="s">
        <v>207</v>
      </c>
      <c r="M393" s="418">
        <v>64517</v>
      </c>
      <c r="N393" s="157">
        <f t="shared" si="100"/>
        <v>101</v>
      </c>
      <c r="O393" s="156">
        <f t="shared" si="94"/>
        <v>64517</v>
      </c>
      <c r="Q393" s="156"/>
    </row>
    <row r="394" spans="1:17" ht="12.75" hidden="1" customHeight="1">
      <c r="A394" s="161" t="str">
        <f t="shared" si="96"/>
        <v>8PERS/TRS Pension Rate Changes</v>
      </c>
      <c r="B394" s="161">
        <f t="shared" si="95"/>
        <v>1</v>
      </c>
      <c r="C394" s="163">
        <v>8</v>
      </c>
      <c r="D394" s="163" t="b">
        <v>1</v>
      </c>
      <c r="E394" s="161" t="s">
        <v>21</v>
      </c>
      <c r="F394" s="161" t="str">
        <f t="shared" si="97"/>
        <v>001</v>
      </c>
      <c r="G394" s="385">
        <v>101</v>
      </c>
      <c r="H394" s="161" t="str">
        <f t="shared" si="98"/>
        <v>011</v>
      </c>
      <c r="I394" s="161" t="str">
        <f t="shared" si="99"/>
        <v>001-011</v>
      </c>
      <c r="J394" s="162" t="s">
        <v>491</v>
      </c>
      <c r="K394" s="161" t="s">
        <v>207</v>
      </c>
      <c r="M394" s="418">
        <v>114529</v>
      </c>
      <c r="N394" s="157">
        <f t="shared" si="100"/>
        <v>101</v>
      </c>
      <c r="O394" s="156">
        <f t="shared" si="94"/>
        <v>114529</v>
      </c>
      <c r="Q394" s="156"/>
    </row>
    <row r="395" spans="1:17" ht="12.75" hidden="1" customHeight="1">
      <c r="A395" s="161" t="str">
        <f t="shared" si="96"/>
        <v>25PERS/TRS Pension Rate Changes</v>
      </c>
      <c r="B395" s="161">
        <f t="shared" si="95"/>
        <v>1</v>
      </c>
      <c r="C395" s="163">
        <v>25</v>
      </c>
      <c r="D395" s="163" t="b">
        <v>1</v>
      </c>
      <c r="E395" s="161" t="s">
        <v>38</v>
      </c>
      <c r="F395" s="161" t="str">
        <f t="shared" si="97"/>
        <v>001</v>
      </c>
      <c r="G395" s="385">
        <v>101</v>
      </c>
      <c r="H395" s="161" t="str">
        <f t="shared" si="98"/>
        <v>011</v>
      </c>
      <c r="I395" s="161" t="str">
        <f t="shared" si="99"/>
        <v>001-011</v>
      </c>
      <c r="J395" s="162" t="s">
        <v>491</v>
      </c>
      <c r="K395" s="161" t="s">
        <v>207</v>
      </c>
      <c r="M395" s="418">
        <v>44857</v>
      </c>
      <c r="N395" s="157">
        <f t="shared" si="100"/>
        <v>101</v>
      </c>
      <c r="O395" s="156">
        <f t="shared" si="94"/>
        <v>44857</v>
      </c>
      <c r="Q395" s="156"/>
    </row>
    <row r="396" spans="1:17" ht="12.75" hidden="1" customHeight="1">
      <c r="A396" s="161" t="str">
        <f t="shared" si="96"/>
        <v>18PERS/TRS Pension Rate Changes</v>
      </c>
      <c r="B396" s="161">
        <f t="shared" si="95"/>
        <v>1</v>
      </c>
      <c r="C396" s="163">
        <v>18</v>
      </c>
      <c r="D396" s="163" t="b">
        <v>1</v>
      </c>
      <c r="E396" s="161" t="s">
        <v>31</v>
      </c>
      <c r="F396" s="161" t="str">
        <f t="shared" si="97"/>
        <v>001</v>
      </c>
      <c r="G396" s="385">
        <v>101</v>
      </c>
      <c r="H396" s="161" t="str">
        <f t="shared" si="98"/>
        <v>011</v>
      </c>
      <c r="I396" s="161" t="str">
        <f t="shared" si="99"/>
        <v>001-011</v>
      </c>
      <c r="J396" s="162" t="s">
        <v>491</v>
      </c>
      <c r="K396" s="161" t="s">
        <v>207</v>
      </c>
      <c r="M396" s="418">
        <v>35776</v>
      </c>
      <c r="N396" s="157">
        <f t="shared" si="100"/>
        <v>101</v>
      </c>
      <c r="O396" s="156">
        <f t="shared" si="94"/>
        <v>35776</v>
      </c>
      <c r="Q396" s="156"/>
    </row>
    <row r="397" spans="1:17" ht="12.75" hidden="1" customHeight="1">
      <c r="A397" s="161" t="str">
        <f t="shared" si="96"/>
        <v>30PERS/TRS Pension Rate Changes</v>
      </c>
      <c r="B397" s="161">
        <f t="shared" si="95"/>
        <v>1</v>
      </c>
      <c r="C397" s="163">
        <v>30</v>
      </c>
      <c r="D397" s="163" t="b">
        <v>1</v>
      </c>
      <c r="E397" s="161" t="s">
        <v>43</v>
      </c>
      <c r="F397" s="161" t="str">
        <f t="shared" si="97"/>
        <v>001</v>
      </c>
      <c r="G397" s="385">
        <v>101</v>
      </c>
      <c r="H397" s="161" t="str">
        <f t="shared" si="98"/>
        <v>011</v>
      </c>
      <c r="I397" s="161" t="str">
        <f t="shared" si="99"/>
        <v>001-011</v>
      </c>
      <c r="J397" s="162" t="s">
        <v>491</v>
      </c>
      <c r="K397" s="161" t="s">
        <v>207</v>
      </c>
      <c r="M397" s="418">
        <v>19363</v>
      </c>
      <c r="N397" s="157">
        <f t="shared" si="100"/>
        <v>101</v>
      </c>
      <c r="O397" s="156">
        <f t="shared" si="94"/>
        <v>19363</v>
      </c>
      <c r="Q397" s="156"/>
    </row>
    <row r="398" spans="1:17" ht="12.75" hidden="1" customHeight="1">
      <c r="A398" s="161" t="str">
        <f t="shared" si="96"/>
        <v>12PERS/TRS Pension Rate Changes</v>
      </c>
      <c r="B398" s="161">
        <f t="shared" si="95"/>
        <v>1</v>
      </c>
      <c r="C398" s="163">
        <v>12</v>
      </c>
      <c r="D398" s="163" t="b">
        <v>1</v>
      </c>
      <c r="E398" s="161" t="s">
        <v>25</v>
      </c>
      <c r="F398" s="161" t="str">
        <f t="shared" si="97"/>
        <v>001</v>
      </c>
      <c r="G398" s="385">
        <v>101</v>
      </c>
      <c r="H398" s="161" t="str">
        <f t="shared" si="98"/>
        <v>011</v>
      </c>
      <c r="I398" s="161" t="str">
        <f t="shared" si="99"/>
        <v>001-011</v>
      </c>
      <c r="J398" s="162" t="s">
        <v>491</v>
      </c>
      <c r="K398" s="161" t="s">
        <v>207</v>
      </c>
      <c r="M398" s="418">
        <v>41991</v>
      </c>
      <c r="N398" s="157">
        <f t="shared" si="100"/>
        <v>101</v>
      </c>
      <c r="O398" s="156">
        <f t="shared" si="94"/>
        <v>41991</v>
      </c>
      <c r="Q398" s="156"/>
    </row>
    <row r="399" spans="1:17" ht="12.75" hidden="1" customHeight="1">
      <c r="A399" s="161" t="str">
        <f t="shared" si="96"/>
        <v>14PERS/TRS Pension Rate Changes</v>
      </c>
      <c r="B399" s="161">
        <f t="shared" si="95"/>
        <v>1</v>
      </c>
      <c r="C399" s="163">
        <v>14</v>
      </c>
      <c r="D399" s="163" t="b">
        <v>1</v>
      </c>
      <c r="E399" s="161" t="s">
        <v>27</v>
      </c>
      <c r="F399" s="161" t="str">
        <f t="shared" si="97"/>
        <v>001</v>
      </c>
      <c r="G399" s="385">
        <v>101</v>
      </c>
      <c r="H399" s="161" t="str">
        <f t="shared" si="98"/>
        <v>011</v>
      </c>
      <c r="I399" s="161" t="str">
        <f t="shared" si="99"/>
        <v>001-011</v>
      </c>
      <c r="J399" s="162" t="s">
        <v>491</v>
      </c>
      <c r="K399" s="161" t="s">
        <v>207</v>
      </c>
      <c r="M399" s="418">
        <v>161564</v>
      </c>
      <c r="N399" s="157">
        <f t="shared" si="100"/>
        <v>101</v>
      </c>
      <c r="O399" s="156">
        <f t="shared" si="94"/>
        <v>161564</v>
      </c>
      <c r="Q399" s="156"/>
    </row>
    <row r="400" spans="1:17" ht="12.75" hidden="1" customHeight="1">
      <c r="A400" s="161" t="str">
        <f t="shared" si="96"/>
        <v>29PERS/TRS Pension Rate Changes</v>
      </c>
      <c r="B400" s="161">
        <f t="shared" si="95"/>
        <v>1</v>
      </c>
      <c r="C400" s="163">
        <v>29</v>
      </c>
      <c r="D400" s="163" t="b">
        <v>1</v>
      </c>
      <c r="E400" s="161" t="s">
        <v>42</v>
      </c>
      <c r="F400" s="161" t="str">
        <f t="shared" si="97"/>
        <v>001</v>
      </c>
      <c r="G400" s="385">
        <v>101</v>
      </c>
      <c r="H400" s="161" t="str">
        <f t="shared" si="98"/>
        <v>011</v>
      </c>
      <c r="I400" s="161" t="str">
        <f t="shared" si="99"/>
        <v>001-011</v>
      </c>
      <c r="J400" s="162" t="s">
        <v>491</v>
      </c>
      <c r="K400" s="161" t="s">
        <v>207</v>
      </c>
      <c r="M400" s="418">
        <v>64574</v>
      </c>
      <c r="N400" s="157">
        <f t="shared" si="100"/>
        <v>101</v>
      </c>
      <c r="O400" s="156">
        <f t="shared" si="94"/>
        <v>64574</v>
      </c>
      <c r="Q400" s="156"/>
    </row>
    <row r="401" spans="1:17" ht="12.75" hidden="1" customHeight="1">
      <c r="A401" s="161" t="str">
        <f t="shared" si="96"/>
        <v>19PERS/TRS Pension Rate Changes</v>
      </c>
      <c r="B401" s="161">
        <f t="shared" si="95"/>
        <v>1</v>
      </c>
      <c r="C401" s="163">
        <v>19</v>
      </c>
      <c r="D401" s="163" t="b">
        <v>1</v>
      </c>
      <c r="E401" s="161" t="s">
        <v>32</v>
      </c>
      <c r="F401" s="161" t="str">
        <f t="shared" si="97"/>
        <v>001</v>
      </c>
      <c r="G401" s="385">
        <v>101</v>
      </c>
      <c r="H401" s="161" t="str">
        <f t="shared" si="98"/>
        <v>011</v>
      </c>
      <c r="I401" s="161" t="str">
        <f t="shared" si="99"/>
        <v>001-011</v>
      </c>
      <c r="J401" s="162" t="s">
        <v>491</v>
      </c>
      <c r="K401" s="161" t="s">
        <v>207</v>
      </c>
      <c r="M401" s="418">
        <v>57009</v>
      </c>
      <c r="N401" s="157">
        <f t="shared" si="100"/>
        <v>101</v>
      </c>
      <c r="O401" s="156">
        <f t="shared" si="94"/>
        <v>57009</v>
      </c>
      <c r="Q401" s="156"/>
    </row>
    <row r="402" spans="1:17" ht="12.75" hidden="1" customHeight="1">
      <c r="A402" s="161" t="str">
        <f t="shared" si="96"/>
        <v>23PERS/TRS Pension Rate Changes</v>
      </c>
      <c r="B402" s="161">
        <f t="shared" ref="B402:B426" si="101">B401</f>
        <v>1</v>
      </c>
      <c r="C402" s="163">
        <v>23</v>
      </c>
      <c r="D402" s="163" t="b">
        <v>1</v>
      </c>
      <c r="E402" s="161" t="s">
        <v>36</v>
      </c>
      <c r="F402" s="161" t="str">
        <f t="shared" si="97"/>
        <v>001</v>
      </c>
      <c r="G402" s="385">
        <v>101</v>
      </c>
      <c r="H402" s="161" t="str">
        <f t="shared" si="98"/>
        <v>011</v>
      </c>
      <c r="I402" s="161" t="str">
        <f t="shared" si="99"/>
        <v>001-011</v>
      </c>
      <c r="J402" s="162" t="s">
        <v>491</v>
      </c>
      <c r="K402" s="161" t="s">
        <v>207</v>
      </c>
      <c r="M402" s="418">
        <v>121581</v>
      </c>
      <c r="N402" s="157">
        <f t="shared" si="100"/>
        <v>101</v>
      </c>
      <c r="O402" s="156">
        <f t="shared" si="94"/>
        <v>121581</v>
      </c>
      <c r="Q402" s="156"/>
    </row>
    <row r="403" spans="1:17" ht="12.75" hidden="1" customHeight="1">
      <c r="A403" s="161" t="str">
        <f t="shared" si="96"/>
        <v>5PERS/TRS Pension Rate Changes</v>
      </c>
      <c r="B403" s="161">
        <f t="shared" si="101"/>
        <v>1</v>
      </c>
      <c r="C403" s="163">
        <v>5</v>
      </c>
      <c r="D403" s="163" t="b">
        <v>1</v>
      </c>
      <c r="E403" s="161" t="s">
        <v>18</v>
      </c>
      <c r="F403" s="161" t="str">
        <f t="shared" si="97"/>
        <v>001</v>
      </c>
      <c r="G403" s="385">
        <v>101</v>
      </c>
      <c r="H403" s="161" t="str">
        <f t="shared" si="98"/>
        <v>011</v>
      </c>
      <c r="I403" s="161" t="str">
        <f t="shared" si="99"/>
        <v>001-011</v>
      </c>
      <c r="J403" s="162" t="s">
        <v>491</v>
      </c>
      <c r="K403" s="161" t="s">
        <v>207</v>
      </c>
      <c r="M403" s="418">
        <v>115839</v>
      </c>
      <c r="N403" s="157">
        <f t="shared" si="100"/>
        <v>101</v>
      </c>
      <c r="O403" s="156">
        <f t="shared" si="94"/>
        <v>115839</v>
      </c>
      <c r="Q403" s="156"/>
    </row>
    <row r="404" spans="1:17" ht="12.75" hidden="1" customHeight="1">
      <c r="A404" s="161" t="str">
        <f t="shared" si="96"/>
        <v>2PERS/TRS Pension Rate Changes</v>
      </c>
      <c r="B404" s="161">
        <f t="shared" si="101"/>
        <v>1</v>
      </c>
      <c r="C404" s="163">
        <v>2</v>
      </c>
      <c r="D404" s="163" t="b">
        <v>1</v>
      </c>
      <c r="E404" s="161" t="s">
        <v>15</v>
      </c>
      <c r="F404" s="161" t="str">
        <f t="shared" si="97"/>
        <v>001</v>
      </c>
      <c r="G404" s="385">
        <v>101</v>
      </c>
      <c r="H404" s="161" t="str">
        <f t="shared" si="98"/>
        <v>011</v>
      </c>
      <c r="I404" s="161" t="str">
        <f t="shared" si="99"/>
        <v>001-011</v>
      </c>
      <c r="J404" s="162" t="s">
        <v>491</v>
      </c>
      <c r="K404" s="161" t="s">
        <v>207</v>
      </c>
      <c r="M404" s="418">
        <v>43100</v>
      </c>
      <c r="N404" s="157">
        <f t="shared" si="100"/>
        <v>101</v>
      </c>
      <c r="O404" s="156">
        <f t="shared" si="94"/>
        <v>43100</v>
      </c>
      <c r="Q404" s="156"/>
    </row>
    <row r="405" spans="1:17" ht="12.75" hidden="1" customHeight="1">
      <c r="A405" s="161" t="str">
        <f t="shared" si="96"/>
        <v>10PERS/TRS Pension Rate Changes</v>
      </c>
      <c r="B405" s="161">
        <f t="shared" si="101"/>
        <v>1</v>
      </c>
      <c r="C405" s="163">
        <v>10</v>
      </c>
      <c r="D405" s="163" t="b">
        <v>1</v>
      </c>
      <c r="E405" s="161" t="s">
        <v>23</v>
      </c>
      <c r="F405" s="161" t="str">
        <f t="shared" si="97"/>
        <v>001</v>
      </c>
      <c r="G405" s="385">
        <v>101</v>
      </c>
      <c r="H405" s="161" t="str">
        <f t="shared" si="98"/>
        <v>011</v>
      </c>
      <c r="I405" s="161" t="str">
        <f t="shared" si="99"/>
        <v>001-011</v>
      </c>
      <c r="J405" s="162" t="s">
        <v>491</v>
      </c>
      <c r="K405" s="161" t="s">
        <v>207</v>
      </c>
      <c r="M405" s="418">
        <v>106866</v>
      </c>
      <c r="N405" s="157">
        <f t="shared" si="100"/>
        <v>101</v>
      </c>
      <c r="O405" s="156">
        <f t="shared" si="94"/>
        <v>106866</v>
      </c>
      <c r="Q405" s="156"/>
    </row>
    <row r="406" spans="1:17" ht="12.75" hidden="1" customHeight="1">
      <c r="A406" s="161" t="str">
        <f t="shared" si="96"/>
        <v>9PERS/TRS Pension Rate Changes</v>
      </c>
      <c r="B406" s="161">
        <f t="shared" si="101"/>
        <v>1</v>
      </c>
      <c r="C406" s="163">
        <v>9</v>
      </c>
      <c r="D406" s="163" t="b">
        <v>1</v>
      </c>
      <c r="E406" s="161" t="s">
        <v>22</v>
      </c>
      <c r="F406" s="161" t="str">
        <f t="shared" si="97"/>
        <v>001</v>
      </c>
      <c r="G406" s="385">
        <v>101</v>
      </c>
      <c r="H406" s="161" t="str">
        <f t="shared" si="98"/>
        <v>011</v>
      </c>
      <c r="I406" s="161" t="str">
        <f t="shared" si="99"/>
        <v>001-011</v>
      </c>
      <c r="J406" s="162" t="s">
        <v>491</v>
      </c>
      <c r="K406" s="161" t="s">
        <v>207</v>
      </c>
      <c r="M406" s="418">
        <v>71265</v>
      </c>
      <c r="N406" s="157">
        <f t="shared" si="100"/>
        <v>101</v>
      </c>
      <c r="O406" s="156">
        <f t="shared" si="94"/>
        <v>71265</v>
      </c>
      <c r="Q406" s="156"/>
    </row>
    <row r="407" spans="1:17" ht="12.75" hidden="1" customHeight="1">
      <c r="A407" s="161" t="str">
        <f t="shared" si="96"/>
        <v>26PERS/TRS Pension Rate Changes</v>
      </c>
      <c r="B407" s="161">
        <f t="shared" si="101"/>
        <v>1</v>
      </c>
      <c r="C407" s="163">
        <v>26</v>
      </c>
      <c r="D407" s="163" t="b">
        <v>1</v>
      </c>
      <c r="E407" s="161" t="s">
        <v>39</v>
      </c>
      <c r="F407" s="161" t="str">
        <f t="shared" si="97"/>
        <v>001</v>
      </c>
      <c r="G407" s="385">
        <v>101</v>
      </c>
      <c r="H407" s="161" t="str">
        <f t="shared" si="98"/>
        <v>011</v>
      </c>
      <c r="I407" s="161" t="str">
        <f t="shared" si="99"/>
        <v>001-011</v>
      </c>
      <c r="J407" s="162" t="s">
        <v>491</v>
      </c>
      <c r="K407" s="161" t="s">
        <v>207</v>
      </c>
      <c r="M407" s="418">
        <v>42372</v>
      </c>
      <c r="N407" s="157">
        <f t="shared" si="100"/>
        <v>101</v>
      </c>
      <c r="O407" s="156">
        <f t="shared" si="94"/>
        <v>42372</v>
      </c>
      <c r="Q407" s="156"/>
    </row>
    <row r="408" spans="1:17" ht="12.75" hidden="1" customHeight="1">
      <c r="A408" s="161" t="str">
        <f t="shared" si="96"/>
        <v>13PERS/TRS Pension Rate Changes</v>
      </c>
      <c r="B408" s="161">
        <f t="shared" si="101"/>
        <v>1</v>
      </c>
      <c r="C408" s="163">
        <v>13</v>
      </c>
      <c r="D408" s="163" t="b">
        <v>1</v>
      </c>
      <c r="E408" s="161" t="s">
        <v>26</v>
      </c>
      <c r="F408" s="161" t="str">
        <f t="shared" si="97"/>
        <v>001</v>
      </c>
      <c r="G408" s="385">
        <v>101</v>
      </c>
      <c r="H408" s="161" t="str">
        <f t="shared" si="98"/>
        <v>011</v>
      </c>
      <c r="I408" s="161" t="str">
        <f t="shared" si="99"/>
        <v>001-011</v>
      </c>
      <c r="J408" s="162" t="s">
        <v>491</v>
      </c>
      <c r="K408" s="161" t="s">
        <v>207</v>
      </c>
      <c r="M408" s="418">
        <v>43157</v>
      </c>
      <c r="N408" s="157">
        <f t="shared" si="100"/>
        <v>101</v>
      </c>
      <c r="O408" s="156">
        <f t="shared" si="94"/>
        <v>43157</v>
      </c>
      <c r="Q408" s="156"/>
    </row>
    <row r="409" spans="1:17" ht="12.75" hidden="1" customHeight="1">
      <c r="A409" s="161" t="str">
        <f t="shared" si="96"/>
        <v>3PERS/TRS Pension Rate Changes</v>
      </c>
      <c r="B409" s="161">
        <f t="shared" si="101"/>
        <v>1</v>
      </c>
      <c r="C409" s="163">
        <v>3</v>
      </c>
      <c r="D409" s="163" t="b">
        <v>1</v>
      </c>
      <c r="E409" s="161" t="s">
        <v>16</v>
      </c>
      <c r="F409" s="161" t="str">
        <f t="shared" si="97"/>
        <v>001</v>
      </c>
      <c r="G409" s="385">
        <v>101</v>
      </c>
      <c r="H409" s="161" t="str">
        <f t="shared" si="98"/>
        <v>011</v>
      </c>
      <c r="I409" s="161" t="str">
        <f t="shared" si="99"/>
        <v>001-011</v>
      </c>
      <c r="J409" s="162" t="s">
        <v>491</v>
      </c>
      <c r="K409" s="161" t="s">
        <v>207</v>
      </c>
      <c r="M409" s="418">
        <v>75505</v>
      </c>
      <c r="N409" s="157">
        <f t="shared" si="100"/>
        <v>101</v>
      </c>
      <c r="O409" s="156">
        <f t="shared" si="94"/>
        <v>75505</v>
      </c>
      <c r="Q409" s="156"/>
    </row>
    <row r="410" spans="1:17" ht="12.75" hidden="1" customHeight="1">
      <c r="A410" s="161" t="str">
        <f t="shared" si="96"/>
        <v>1PERS/TRS Pension Rate Changes</v>
      </c>
      <c r="B410" s="161">
        <f t="shared" si="101"/>
        <v>1</v>
      </c>
      <c r="C410" s="163">
        <v>1</v>
      </c>
      <c r="D410" s="163" t="b">
        <v>1</v>
      </c>
      <c r="E410" s="161" t="s">
        <v>14</v>
      </c>
      <c r="F410" s="161" t="str">
        <f t="shared" si="97"/>
        <v>001</v>
      </c>
      <c r="G410" s="385">
        <v>101</v>
      </c>
      <c r="H410" s="161" t="str">
        <f t="shared" si="98"/>
        <v>011</v>
      </c>
      <c r="I410" s="161" t="str">
        <f t="shared" si="99"/>
        <v>001-011</v>
      </c>
      <c r="J410" s="162" t="s">
        <v>491</v>
      </c>
      <c r="K410" s="161" t="s">
        <v>207</v>
      </c>
      <c r="M410" s="418">
        <v>30090</v>
      </c>
      <c r="N410" s="157">
        <f t="shared" si="100"/>
        <v>101</v>
      </c>
      <c r="O410" s="156">
        <f t="shared" si="94"/>
        <v>30090</v>
      </c>
      <c r="Q410" s="156"/>
    </row>
    <row r="411" spans="1:17" ht="12.75" hidden="1" customHeight="1">
      <c r="A411" s="161" t="str">
        <f t="shared" si="96"/>
        <v>11PERS/TRS Pension Rate Changes</v>
      </c>
      <c r="B411" s="161">
        <f t="shared" si="101"/>
        <v>1</v>
      </c>
      <c r="C411" s="163">
        <v>11</v>
      </c>
      <c r="D411" s="163" t="b">
        <v>1</v>
      </c>
      <c r="E411" s="161" t="s">
        <v>24</v>
      </c>
      <c r="F411" s="161" t="str">
        <f t="shared" si="97"/>
        <v>001</v>
      </c>
      <c r="G411" s="385">
        <v>101</v>
      </c>
      <c r="H411" s="161" t="str">
        <f t="shared" si="98"/>
        <v>011</v>
      </c>
      <c r="I411" s="161" t="str">
        <f t="shared" si="99"/>
        <v>001-011</v>
      </c>
      <c r="J411" s="162" t="s">
        <v>491</v>
      </c>
      <c r="K411" s="161" t="s">
        <v>207</v>
      </c>
      <c r="M411" s="418">
        <v>145510</v>
      </c>
      <c r="N411" s="157">
        <f t="shared" si="100"/>
        <v>101</v>
      </c>
      <c r="O411" s="156">
        <f t="shared" si="94"/>
        <v>145510</v>
      </c>
      <c r="Q411" s="156"/>
    </row>
    <row r="412" spans="1:17" ht="12.75" hidden="1" customHeight="1">
      <c r="A412" s="161" t="str">
        <f t="shared" si="96"/>
        <v>27PERS/TRS Pension Rate Changes</v>
      </c>
      <c r="B412" s="161">
        <f t="shared" si="101"/>
        <v>1</v>
      </c>
      <c r="C412" s="163">
        <v>27</v>
      </c>
      <c r="D412" s="163" t="b">
        <v>1</v>
      </c>
      <c r="E412" s="161" t="s">
        <v>40</v>
      </c>
      <c r="F412" s="161" t="str">
        <f t="shared" si="97"/>
        <v>001</v>
      </c>
      <c r="G412" s="385">
        <v>101</v>
      </c>
      <c r="H412" s="161" t="str">
        <f t="shared" si="98"/>
        <v>011</v>
      </c>
      <c r="I412" s="161" t="str">
        <f t="shared" si="99"/>
        <v>001-011</v>
      </c>
      <c r="J412" s="162" t="s">
        <v>491</v>
      </c>
      <c r="K412" s="161" t="s">
        <v>207</v>
      </c>
      <c r="M412" s="418">
        <v>54467</v>
      </c>
      <c r="N412" s="157">
        <f t="shared" si="100"/>
        <v>101</v>
      </c>
      <c r="O412" s="156">
        <f t="shared" si="94"/>
        <v>54467</v>
      </c>
      <c r="Q412" s="156"/>
    </row>
    <row r="413" spans="1:17" ht="12.75" hidden="1" customHeight="1">
      <c r="A413" s="161" t="str">
        <f t="shared" si="96"/>
        <v>89PERS/TRS Pension Rate Changes</v>
      </c>
      <c r="B413" s="161">
        <f t="shared" si="101"/>
        <v>1</v>
      </c>
      <c r="C413" s="160" t="s">
        <v>144</v>
      </c>
      <c r="D413" s="163" t="b">
        <v>1</v>
      </c>
      <c r="E413" s="161" t="s">
        <v>204</v>
      </c>
      <c r="F413" s="161" t="str">
        <f t="shared" si="97"/>
        <v>001</v>
      </c>
      <c r="G413" s="161" t="str">
        <f t="shared" ref="G413" si="102">IF(RIGHT(J413,3)="012","201",IF(RIGHT(J413,3)="232","123",IF(RIGHT(J413,3)="1E2","215",RIGHT(J413,3))))</f>
        <v>011</v>
      </c>
      <c r="H413" s="161" t="str">
        <f t="shared" si="98"/>
        <v>011</v>
      </c>
      <c r="I413" s="161" t="str">
        <f t="shared" si="99"/>
        <v>001-011</v>
      </c>
      <c r="J413" s="162" t="s">
        <v>491</v>
      </c>
      <c r="K413" s="161" t="s">
        <v>207</v>
      </c>
      <c r="M413" s="418">
        <v>54899</v>
      </c>
      <c r="N413" s="157">
        <f t="shared" si="100"/>
        <v>101</v>
      </c>
      <c r="O413" s="156">
        <f t="shared" si="94"/>
        <v>54899</v>
      </c>
      <c r="Q413" s="156"/>
    </row>
    <row r="414" spans="1:17" ht="12.75" hidden="1" customHeight="1">
      <c r="A414" s="161" t="str">
        <f t="shared" si="96"/>
        <v>6PERS/TRS Pension Rate Changes</v>
      </c>
      <c r="B414" s="161">
        <f t="shared" si="101"/>
        <v>1</v>
      </c>
      <c r="C414" s="163">
        <v>6</v>
      </c>
      <c r="D414" s="163" t="b">
        <v>1</v>
      </c>
      <c r="E414" s="161" t="s">
        <v>19</v>
      </c>
      <c r="F414" s="161" t="str">
        <f t="shared" si="97"/>
        <v>001</v>
      </c>
      <c r="G414" s="385">
        <v>101</v>
      </c>
      <c r="H414" s="161" t="str">
        <f t="shared" si="98"/>
        <v>011</v>
      </c>
      <c r="I414" s="161" t="str">
        <f t="shared" si="99"/>
        <v>001-011</v>
      </c>
      <c r="J414" s="162" t="s">
        <v>491</v>
      </c>
      <c r="K414" s="161" t="s">
        <v>207</v>
      </c>
      <c r="M414" s="418">
        <v>270563</v>
      </c>
      <c r="N414" s="157">
        <f t="shared" si="100"/>
        <v>101</v>
      </c>
      <c r="O414" s="156">
        <f t="shared" si="94"/>
        <v>270563</v>
      </c>
      <c r="Q414" s="156"/>
    </row>
    <row r="415" spans="1:17" ht="12.75" hidden="1" customHeight="1">
      <c r="A415" s="161" t="str">
        <f t="shared" si="96"/>
        <v>7PERS/TRS Pension Rate Changes</v>
      </c>
      <c r="B415" s="161">
        <f t="shared" si="101"/>
        <v>1</v>
      </c>
      <c r="C415" s="163">
        <v>7</v>
      </c>
      <c r="D415" s="163" t="b">
        <v>1</v>
      </c>
      <c r="E415" s="161" t="s">
        <v>20</v>
      </c>
      <c r="F415" s="161" t="str">
        <f t="shared" si="97"/>
        <v>001</v>
      </c>
      <c r="G415" s="385">
        <v>101</v>
      </c>
      <c r="H415" s="161" t="str">
        <f t="shared" si="98"/>
        <v>011</v>
      </c>
      <c r="I415" s="161" t="str">
        <f t="shared" si="99"/>
        <v>001-011</v>
      </c>
      <c r="J415" s="162" t="s">
        <v>491</v>
      </c>
      <c r="K415" s="161" t="s">
        <v>207</v>
      </c>
      <c r="M415" s="418">
        <v>74449</v>
      </c>
      <c r="N415" s="157">
        <f t="shared" si="100"/>
        <v>101</v>
      </c>
      <c r="O415" s="156">
        <f t="shared" si="94"/>
        <v>74449</v>
      </c>
      <c r="Q415" s="156"/>
    </row>
    <row r="416" spans="1:17" ht="12.75" hidden="1" customHeight="1">
      <c r="A416" s="161" t="str">
        <f t="shared" si="96"/>
        <v>4PERS/TRS Pension Rate Changes</v>
      </c>
      <c r="B416" s="161">
        <f t="shared" si="101"/>
        <v>1</v>
      </c>
      <c r="C416" s="163">
        <v>4</v>
      </c>
      <c r="D416" s="163" t="b">
        <v>1</v>
      </c>
      <c r="E416" s="161" t="s">
        <v>17</v>
      </c>
      <c r="F416" s="161" t="str">
        <f t="shared" si="97"/>
        <v>001</v>
      </c>
      <c r="G416" s="385">
        <v>101</v>
      </c>
      <c r="H416" s="161" t="str">
        <f t="shared" si="98"/>
        <v>011</v>
      </c>
      <c r="I416" s="161" t="str">
        <f t="shared" si="99"/>
        <v>001-011</v>
      </c>
      <c r="J416" s="162" t="s">
        <v>491</v>
      </c>
      <c r="K416" s="161" t="s">
        <v>207</v>
      </c>
      <c r="M416" s="418">
        <v>68672</v>
      </c>
      <c r="N416" s="157">
        <f t="shared" si="100"/>
        <v>101</v>
      </c>
      <c r="O416" s="156">
        <f t="shared" si="94"/>
        <v>68672</v>
      </c>
      <c r="Q416" s="156"/>
    </row>
    <row r="417" spans="1:17" ht="12.75" hidden="1" customHeight="1">
      <c r="A417" s="161" t="str">
        <f t="shared" si="96"/>
        <v>24PERS/TRS Pension Rate Changes</v>
      </c>
      <c r="B417" s="161">
        <f t="shared" si="101"/>
        <v>1</v>
      </c>
      <c r="C417" s="163">
        <v>24</v>
      </c>
      <c r="D417" s="163" t="b">
        <v>1</v>
      </c>
      <c r="E417" s="161" t="s">
        <v>37</v>
      </c>
      <c r="F417" s="161" t="str">
        <f t="shared" si="97"/>
        <v>001</v>
      </c>
      <c r="G417" s="385">
        <v>101</v>
      </c>
      <c r="H417" s="161" t="str">
        <f t="shared" si="98"/>
        <v>011</v>
      </c>
      <c r="I417" s="161" t="str">
        <f t="shared" si="99"/>
        <v>001-011</v>
      </c>
      <c r="J417" s="162" t="s">
        <v>491</v>
      </c>
      <c r="K417" s="161" t="s">
        <v>207</v>
      </c>
      <c r="M417" s="418">
        <v>76797</v>
      </c>
      <c r="N417" s="157">
        <f t="shared" si="100"/>
        <v>101</v>
      </c>
      <c r="O417" s="156">
        <f t="shared" si="94"/>
        <v>76797</v>
      </c>
      <c r="Q417" s="156"/>
    </row>
    <row r="418" spans="1:17" ht="12.75" hidden="1" customHeight="1">
      <c r="A418" s="161" t="str">
        <f t="shared" si="96"/>
        <v>17PERS/TRS Pension Rate Changes</v>
      </c>
      <c r="B418" s="161">
        <f t="shared" si="101"/>
        <v>1</v>
      </c>
      <c r="C418" s="163">
        <v>17</v>
      </c>
      <c r="D418" s="163" t="b">
        <v>1</v>
      </c>
      <c r="E418" s="161" t="s">
        <v>30</v>
      </c>
      <c r="F418" s="161" t="str">
        <f t="shared" si="97"/>
        <v>001</v>
      </c>
      <c r="G418" s="385">
        <v>101</v>
      </c>
      <c r="H418" s="161" t="str">
        <f t="shared" si="98"/>
        <v>011</v>
      </c>
      <c r="I418" s="161" t="str">
        <f t="shared" si="99"/>
        <v>001-011</v>
      </c>
      <c r="J418" s="162" t="s">
        <v>491</v>
      </c>
      <c r="K418" s="161" t="s">
        <v>207</v>
      </c>
      <c r="M418" s="418">
        <v>223773</v>
      </c>
      <c r="N418" s="157">
        <f t="shared" si="100"/>
        <v>101</v>
      </c>
      <c r="O418" s="156">
        <f t="shared" ref="O418:O481" si="103">SUM(L418:M418)</f>
        <v>223773</v>
      </c>
      <c r="Q418" s="156"/>
    </row>
    <row r="419" spans="1:17" ht="12.75" hidden="1" customHeight="1">
      <c r="A419" s="161" t="str">
        <f t="shared" si="96"/>
        <v>22PERS/TRS Pension Rate Changes</v>
      </c>
      <c r="B419" s="161">
        <f t="shared" si="101"/>
        <v>1</v>
      </c>
      <c r="C419" s="163">
        <v>22</v>
      </c>
      <c r="D419" s="163" t="b">
        <v>1</v>
      </c>
      <c r="E419" s="161" t="s">
        <v>35</v>
      </c>
      <c r="F419" s="161" t="str">
        <f t="shared" si="97"/>
        <v>001</v>
      </c>
      <c r="G419" s="385">
        <v>101</v>
      </c>
      <c r="H419" s="161" t="str">
        <f t="shared" si="98"/>
        <v>011</v>
      </c>
      <c r="I419" s="161" t="str">
        <f t="shared" si="99"/>
        <v>001-011</v>
      </c>
      <c r="J419" s="162" t="s">
        <v>491</v>
      </c>
      <c r="K419" s="161" t="s">
        <v>207</v>
      </c>
      <c r="M419" s="418">
        <v>93992</v>
      </c>
      <c r="N419" s="157">
        <f t="shared" si="100"/>
        <v>101</v>
      </c>
      <c r="O419" s="156">
        <f t="shared" si="103"/>
        <v>93992</v>
      </c>
      <c r="Q419" s="156"/>
    </row>
    <row r="420" spans="1:17" ht="12.75" hidden="1" customHeight="1">
      <c r="A420" s="161" t="str">
        <f t="shared" si="96"/>
        <v>20PERS/TRS Pension Rate Changes</v>
      </c>
      <c r="B420" s="161">
        <f t="shared" si="101"/>
        <v>1</v>
      </c>
      <c r="C420" s="163">
        <v>20</v>
      </c>
      <c r="D420" s="163" t="b">
        <v>1</v>
      </c>
      <c r="E420" s="161" t="s">
        <v>33</v>
      </c>
      <c r="F420" s="161" t="str">
        <f t="shared" si="97"/>
        <v>001</v>
      </c>
      <c r="G420" s="385">
        <v>101</v>
      </c>
      <c r="H420" s="161" t="str">
        <f t="shared" si="98"/>
        <v>011</v>
      </c>
      <c r="I420" s="161" t="str">
        <f t="shared" si="99"/>
        <v>001-011</v>
      </c>
      <c r="J420" s="162" t="s">
        <v>491</v>
      </c>
      <c r="K420" s="161" t="s">
        <v>207</v>
      </c>
      <c r="M420" s="418">
        <v>58116</v>
      </c>
      <c r="N420" s="157">
        <f t="shared" si="100"/>
        <v>101</v>
      </c>
      <c r="O420" s="156">
        <f t="shared" si="103"/>
        <v>58116</v>
      </c>
      <c r="Q420" s="156"/>
    </row>
    <row r="421" spans="1:17" ht="12.75" hidden="1" customHeight="1">
      <c r="A421" s="161" t="str">
        <f t="shared" si="96"/>
        <v>15PERS/TRS Pension Rate Changes</v>
      </c>
      <c r="B421" s="161">
        <f t="shared" si="101"/>
        <v>1</v>
      </c>
      <c r="C421" s="163">
        <v>15</v>
      </c>
      <c r="D421" s="163" t="b">
        <v>1</v>
      </c>
      <c r="E421" s="161" t="s">
        <v>28</v>
      </c>
      <c r="F421" s="161" t="str">
        <f t="shared" si="97"/>
        <v>001</v>
      </c>
      <c r="G421" s="385">
        <v>101</v>
      </c>
      <c r="H421" s="161" t="str">
        <f t="shared" si="98"/>
        <v>011</v>
      </c>
      <c r="I421" s="161" t="str">
        <f t="shared" si="99"/>
        <v>001-011</v>
      </c>
      <c r="J421" s="162" t="s">
        <v>491</v>
      </c>
      <c r="K421" s="161" t="s">
        <v>207</v>
      </c>
      <c r="M421" s="418">
        <v>44874</v>
      </c>
      <c r="N421" s="157">
        <f t="shared" si="100"/>
        <v>101</v>
      </c>
      <c r="O421" s="156">
        <f t="shared" si="103"/>
        <v>44874</v>
      </c>
      <c r="Q421" s="156"/>
    </row>
    <row r="422" spans="1:17" ht="12.75" hidden="1" customHeight="1">
      <c r="A422" s="161" t="str">
        <f t="shared" si="96"/>
        <v>21PERS/TRS Pension Rate Changes</v>
      </c>
      <c r="B422" s="161">
        <f t="shared" si="101"/>
        <v>1</v>
      </c>
      <c r="C422" s="163">
        <v>21</v>
      </c>
      <c r="D422" s="163" t="b">
        <v>1</v>
      </c>
      <c r="E422" s="161" t="s">
        <v>34</v>
      </c>
      <c r="F422" s="161" t="str">
        <f t="shared" si="97"/>
        <v>001</v>
      </c>
      <c r="G422" s="385">
        <v>101</v>
      </c>
      <c r="H422" s="161" t="str">
        <f t="shared" si="98"/>
        <v>011</v>
      </c>
      <c r="I422" s="161" t="str">
        <f t="shared" si="99"/>
        <v>001-011</v>
      </c>
      <c r="J422" s="162" t="s">
        <v>491</v>
      </c>
      <c r="K422" s="161" t="s">
        <v>207</v>
      </c>
      <c r="M422" s="418">
        <v>41596</v>
      </c>
      <c r="N422" s="157">
        <f t="shared" si="100"/>
        <v>101</v>
      </c>
      <c r="O422" s="156">
        <f t="shared" si="103"/>
        <v>41596</v>
      </c>
      <c r="Q422" s="156"/>
    </row>
    <row r="423" spans="1:17" ht="12.75" hidden="1" customHeight="1">
      <c r="A423" s="161" t="str">
        <f t="shared" si="96"/>
        <v>16PERS/TRS Pension Rate Changes</v>
      </c>
      <c r="B423" s="161">
        <f t="shared" si="101"/>
        <v>1</v>
      </c>
      <c r="C423" s="163">
        <v>16</v>
      </c>
      <c r="D423" s="163" t="b">
        <v>1</v>
      </c>
      <c r="E423" s="161" t="s">
        <v>29</v>
      </c>
      <c r="F423" s="161" t="str">
        <f t="shared" si="97"/>
        <v>001</v>
      </c>
      <c r="G423" s="385">
        <v>101</v>
      </c>
      <c r="H423" s="161" t="str">
        <f t="shared" si="98"/>
        <v>011</v>
      </c>
      <c r="I423" s="161" t="str">
        <f t="shared" si="99"/>
        <v>001-011</v>
      </c>
      <c r="J423" s="162" t="s">
        <v>491</v>
      </c>
      <c r="K423" s="161" t="s">
        <v>207</v>
      </c>
      <c r="M423" s="418">
        <v>62337</v>
      </c>
      <c r="N423" s="157">
        <f t="shared" si="100"/>
        <v>101</v>
      </c>
      <c r="O423" s="156">
        <f t="shared" si="103"/>
        <v>62337</v>
      </c>
      <c r="Q423" s="156"/>
    </row>
    <row r="424" spans="1:17" ht="12.75" hidden="1" customHeight="1">
      <c r="A424" s="161" t="str">
        <f t="shared" si="96"/>
        <v>00Revolving Funds - Central Service Agency Charges</v>
      </c>
      <c r="B424" s="161">
        <f t="shared" si="101"/>
        <v>1</v>
      </c>
      <c r="C424" s="163" t="s">
        <v>180</v>
      </c>
      <c r="D424" s="163" t="b">
        <v>1</v>
      </c>
      <c r="E424" s="161" t="s">
        <v>181</v>
      </c>
      <c r="F424" s="161" t="str">
        <f t="shared" si="97"/>
        <v>001</v>
      </c>
      <c r="G424" s="385">
        <v>101</v>
      </c>
      <c r="H424" s="161" t="str">
        <f t="shared" si="98"/>
        <v>011</v>
      </c>
      <c r="I424" s="161" t="str">
        <f t="shared" si="99"/>
        <v>001-011</v>
      </c>
      <c r="J424" s="162" t="s">
        <v>491</v>
      </c>
      <c r="K424" s="161" t="s">
        <v>239</v>
      </c>
      <c r="L424" s="418">
        <v>4031595</v>
      </c>
      <c r="M424" s="420">
        <v>422000</v>
      </c>
      <c r="N424" s="157">
        <f t="shared" si="100"/>
        <v>101</v>
      </c>
      <c r="O424" s="156">
        <f t="shared" si="103"/>
        <v>4453595</v>
      </c>
      <c r="Q424" s="156"/>
    </row>
    <row r="425" spans="1:17" ht="12.75" hidden="1" customHeight="1">
      <c r="A425" s="161" t="str">
        <f t="shared" si="96"/>
        <v>00Revolving Funds - Self Insurance Premium</v>
      </c>
      <c r="B425" s="161">
        <f t="shared" si="101"/>
        <v>1</v>
      </c>
      <c r="C425" s="163" t="s">
        <v>180</v>
      </c>
      <c r="D425" s="163" t="b">
        <v>1</v>
      </c>
      <c r="E425" s="161" t="s">
        <v>181</v>
      </c>
      <c r="F425" s="161" t="str">
        <f t="shared" si="97"/>
        <v>001</v>
      </c>
      <c r="G425" s="385">
        <v>101</v>
      </c>
      <c r="H425" s="161" t="str">
        <f t="shared" si="98"/>
        <v>011</v>
      </c>
      <c r="I425" s="161" t="str">
        <f t="shared" si="99"/>
        <v>001-011</v>
      </c>
      <c r="J425" s="162" t="s">
        <v>491</v>
      </c>
      <c r="K425" s="161" t="s">
        <v>238</v>
      </c>
      <c r="L425" s="418">
        <v>1894953</v>
      </c>
      <c r="M425" s="420">
        <v>207000</v>
      </c>
      <c r="N425" s="157">
        <f t="shared" si="100"/>
        <v>101</v>
      </c>
      <c r="O425" s="156">
        <f t="shared" si="103"/>
        <v>2101953</v>
      </c>
      <c r="Q425" s="156"/>
    </row>
    <row r="426" spans="1:17" ht="12.75" hidden="1" customHeight="1">
      <c r="A426" s="161" t="str">
        <f t="shared" si="96"/>
        <v>00Student Achievement Initiative</v>
      </c>
      <c r="B426" s="161">
        <f t="shared" si="101"/>
        <v>1</v>
      </c>
      <c r="C426" s="160" t="s">
        <v>180</v>
      </c>
      <c r="D426" s="163" t="b">
        <v>1</v>
      </c>
      <c r="E426" s="161" t="s">
        <v>181</v>
      </c>
      <c r="F426" s="161" t="str">
        <f t="shared" si="97"/>
        <v>08A</v>
      </c>
      <c r="G426" s="161" t="str">
        <f t="shared" ref="G426:G457" si="104">IF(RIGHT(J426,3)="012","201",IF(RIGHT(J426,3)="232","123",IF(RIGHT(J426,3)="1E2","215",RIGHT(J426,3))))</f>
        <v>3E0</v>
      </c>
      <c r="H426" s="161" t="str">
        <f t="shared" si="98"/>
        <v>3E0</v>
      </c>
      <c r="I426" s="161" t="str">
        <f t="shared" si="99"/>
        <v>08A-3E0</v>
      </c>
      <c r="J426" s="162" t="s">
        <v>149</v>
      </c>
      <c r="K426" s="161" t="s">
        <v>182</v>
      </c>
      <c r="L426" s="418">
        <v>1648</v>
      </c>
      <c r="M426" s="420">
        <v>0</v>
      </c>
      <c r="N426" s="157" t="str">
        <f t="shared" si="100"/>
        <v>3E0</v>
      </c>
      <c r="O426" s="156">
        <f t="shared" si="103"/>
        <v>1648</v>
      </c>
      <c r="Q426" s="156"/>
    </row>
    <row r="427" spans="1:17" ht="12.75" hidden="1" customHeight="1">
      <c r="A427" s="161" t="str">
        <f t="shared" si="96"/>
        <v>00Student Achievement Initiative (P)</v>
      </c>
      <c r="B427" s="161">
        <f>B425</f>
        <v>1</v>
      </c>
      <c r="C427" s="160" t="s">
        <v>180</v>
      </c>
      <c r="D427" s="163" t="b">
        <v>1</v>
      </c>
      <c r="E427" s="161" t="s">
        <v>181</v>
      </c>
      <c r="F427" s="161" t="str">
        <f t="shared" si="97"/>
        <v>001</v>
      </c>
      <c r="G427" s="161" t="str">
        <f t="shared" si="104"/>
        <v>BD1</v>
      </c>
      <c r="H427" s="161" t="str">
        <f t="shared" si="98"/>
        <v>BD1</v>
      </c>
      <c r="I427" s="161" t="str">
        <f t="shared" si="99"/>
        <v>001-BD1</v>
      </c>
      <c r="J427" s="162" t="s">
        <v>465</v>
      </c>
      <c r="K427" s="161" t="s">
        <v>263</v>
      </c>
      <c r="L427" s="418">
        <v>0</v>
      </c>
      <c r="M427" s="420">
        <v>4684626</v>
      </c>
      <c r="N427" s="157" t="str">
        <f t="shared" si="100"/>
        <v>BD1</v>
      </c>
      <c r="O427" s="156">
        <f t="shared" si="103"/>
        <v>4684626</v>
      </c>
      <c r="Q427" s="156"/>
    </row>
    <row r="428" spans="1:17" ht="12.75" hidden="1" customHeight="1">
      <c r="A428" s="161" t="str">
        <f t="shared" ref="A428:A490" si="105">C428&amp;K428</f>
        <v>28Student Achievement Initiative (permanent)</v>
      </c>
      <c r="B428" s="161">
        <f t="shared" ref="B428:B491" si="106">B427</f>
        <v>1</v>
      </c>
      <c r="C428" s="163">
        <v>28</v>
      </c>
      <c r="D428" s="163" t="b">
        <v>1</v>
      </c>
      <c r="E428" s="161" t="s">
        <v>41</v>
      </c>
      <c r="F428" s="161" t="str">
        <f t="shared" si="97"/>
        <v>001</v>
      </c>
      <c r="G428" s="161" t="str">
        <f t="shared" si="104"/>
        <v>BD1</v>
      </c>
      <c r="H428" s="161" t="str">
        <f t="shared" si="98"/>
        <v>BD1</v>
      </c>
      <c r="I428" s="161" t="str">
        <f t="shared" si="99"/>
        <v>001-BD1</v>
      </c>
      <c r="J428" s="162" t="s">
        <v>465</v>
      </c>
      <c r="K428" s="161" t="s">
        <v>272</v>
      </c>
      <c r="L428" s="420">
        <v>74340</v>
      </c>
      <c r="M428" s="419"/>
      <c r="N428" s="157" t="str">
        <f t="shared" si="100"/>
        <v>BD1</v>
      </c>
      <c r="O428" s="156">
        <f t="shared" si="103"/>
        <v>74340</v>
      </c>
      <c r="Q428" s="156"/>
    </row>
    <row r="429" spans="1:17" ht="12.75" hidden="1" customHeight="1">
      <c r="A429" s="161" t="str">
        <f t="shared" si="105"/>
        <v>8Student Achievement Initiative (permanent)</v>
      </c>
      <c r="B429" s="161">
        <f t="shared" si="106"/>
        <v>1</v>
      </c>
      <c r="C429" s="163">
        <v>8</v>
      </c>
      <c r="D429" s="163" t="b">
        <v>1</v>
      </c>
      <c r="E429" s="161" t="s">
        <v>21</v>
      </c>
      <c r="F429" s="161" t="str">
        <f t="shared" si="97"/>
        <v>001</v>
      </c>
      <c r="G429" s="161" t="str">
        <f t="shared" si="104"/>
        <v>BD1</v>
      </c>
      <c r="H429" s="161" t="str">
        <f t="shared" si="98"/>
        <v>BD1</v>
      </c>
      <c r="I429" s="161" t="str">
        <f t="shared" si="99"/>
        <v>001-BD1</v>
      </c>
      <c r="J429" s="162" t="s">
        <v>465</v>
      </c>
      <c r="K429" s="161" t="s">
        <v>272</v>
      </c>
      <c r="L429" s="420">
        <v>105857</v>
      </c>
      <c r="M429" s="419"/>
      <c r="N429" s="157" t="str">
        <f t="shared" si="100"/>
        <v>BD1</v>
      </c>
      <c r="O429" s="156">
        <f t="shared" si="103"/>
        <v>105857</v>
      </c>
      <c r="Q429" s="156"/>
    </row>
    <row r="430" spans="1:17" ht="12.75" hidden="1" customHeight="1">
      <c r="A430" s="161" t="str">
        <f t="shared" si="105"/>
        <v>25Student Achievement Initiative (permanent)</v>
      </c>
      <c r="B430" s="161">
        <f t="shared" si="106"/>
        <v>1</v>
      </c>
      <c r="C430" s="163">
        <v>25</v>
      </c>
      <c r="D430" s="163" t="b">
        <v>1</v>
      </c>
      <c r="E430" s="161" t="s">
        <v>38</v>
      </c>
      <c r="F430" s="161" t="str">
        <f t="shared" si="97"/>
        <v>001</v>
      </c>
      <c r="G430" s="161" t="str">
        <f t="shared" si="104"/>
        <v>BD1</v>
      </c>
      <c r="H430" s="161" t="str">
        <f t="shared" si="98"/>
        <v>BD1</v>
      </c>
      <c r="I430" s="161" t="str">
        <f t="shared" si="99"/>
        <v>001-BD1</v>
      </c>
      <c r="J430" s="162" t="s">
        <v>465</v>
      </c>
      <c r="K430" s="161" t="s">
        <v>272</v>
      </c>
      <c r="L430" s="420">
        <v>36082</v>
      </c>
      <c r="M430" s="419"/>
      <c r="N430" s="157" t="str">
        <f t="shared" si="100"/>
        <v>BD1</v>
      </c>
      <c r="O430" s="156">
        <f t="shared" si="103"/>
        <v>36082</v>
      </c>
      <c r="Q430" s="156"/>
    </row>
    <row r="431" spans="1:17" ht="12.75" hidden="1" customHeight="1">
      <c r="A431" s="161" t="str">
        <f t="shared" si="105"/>
        <v>18Student Achievement Initiative (permanent)</v>
      </c>
      <c r="B431" s="161">
        <f t="shared" si="106"/>
        <v>1</v>
      </c>
      <c r="C431" s="163">
        <v>18</v>
      </c>
      <c r="D431" s="163" t="b">
        <v>1</v>
      </c>
      <c r="E431" s="161" t="s">
        <v>31</v>
      </c>
      <c r="F431" s="161" t="str">
        <f t="shared" si="97"/>
        <v>001</v>
      </c>
      <c r="G431" s="161" t="str">
        <f t="shared" si="104"/>
        <v>BD1</v>
      </c>
      <c r="H431" s="161" t="str">
        <f t="shared" si="98"/>
        <v>BD1</v>
      </c>
      <c r="I431" s="161" t="str">
        <f t="shared" si="99"/>
        <v>001-BD1</v>
      </c>
      <c r="J431" s="162" t="s">
        <v>465</v>
      </c>
      <c r="K431" s="161" t="s">
        <v>272</v>
      </c>
      <c r="L431" s="420">
        <v>0</v>
      </c>
      <c r="M431" s="419"/>
      <c r="N431" s="157" t="str">
        <f t="shared" si="100"/>
        <v>BD1</v>
      </c>
      <c r="O431" s="156">
        <f t="shared" si="103"/>
        <v>0</v>
      </c>
      <c r="Q431" s="156"/>
    </row>
    <row r="432" spans="1:17" ht="12.75" hidden="1" customHeight="1">
      <c r="A432" s="161" t="str">
        <f t="shared" si="105"/>
        <v>30Student Achievement Initiative (permanent)</v>
      </c>
      <c r="B432" s="161">
        <f t="shared" si="106"/>
        <v>1</v>
      </c>
      <c r="C432" s="163">
        <v>30</v>
      </c>
      <c r="D432" s="163" t="b">
        <v>1</v>
      </c>
      <c r="E432" s="161" t="s">
        <v>43</v>
      </c>
      <c r="F432" s="161" t="str">
        <f t="shared" si="97"/>
        <v>001</v>
      </c>
      <c r="G432" s="161" t="str">
        <f t="shared" si="104"/>
        <v>BD1</v>
      </c>
      <c r="H432" s="161" t="str">
        <f t="shared" si="98"/>
        <v>BD1</v>
      </c>
      <c r="I432" s="161" t="str">
        <f t="shared" si="99"/>
        <v>001-BD1</v>
      </c>
      <c r="J432" s="162" t="s">
        <v>465</v>
      </c>
      <c r="K432" s="161" t="s">
        <v>272</v>
      </c>
      <c r="L432" s="420">
        <v>4116</v>
      </c>
      <c r="M432" s="419"/>
      <c r="N432" s="157" t="str">
        <f t="shared" si="100"/>
        <v>BD1</v>
      </c>
      <c r="O432" s="156">
        <f t="shared" si="103"/>
        <v>4116</v>
      </c>
      <c r="Q432" s="156"/>
    </row>
    <row r="433" spans="1:17" ht="12.75" hidden="1" customHeight="1">
      <c r="A433" s="161" t="str">
        <f t="shared" si="105"/>
        <v>12Student Achievement Initiative (permanent)</v>
      </c>
      <c r="B433" s="161">
        <f t="shared" si="106"/>
        <v>1</v>
      </c>
      <c r="C433" s="163">
        <v>12</v>
      </c>
      <c r="D433" s="163" t="b">
        <v>1</v>
      </c>
      <c r="E433" s="161" t="s">
        <v>25</v>
      </c>
      <c r="F433" s="161" t="str">
        <f t="shared" si="97"/>
        <v>001</v>
      </c>
      <c r="G433" s="161" t="str">
        <f t="shared" si="104"/>
        <v>BD1</v>
      </c>
      <c r="H433" s="161" t="str">
        <f t="shared" si="98"/>
        <v>BD1</v>
      </c>
      <c r="I433" s="161" t="str">
        <f t="shared" si="99"/>
        <v>001-BD1</v>
      </c>
      <c r="J433" s="162" t="s">
        <v>465</v>
      </c>
      <c r="K433" s="161" t="s">
        <v>272</v>
      </c>
      <c r="L433" s="420">
        <v>45067</v>
      </c>
      <c r="M433" s="419"/>
      <c r="N433" s="157" t="str">
        <f t="shared" si="100"/>
        <v>BD1</v>
      </c>
      <c r="O433" s="156">
        <f t="shared" si="103"/>
        <v>45067</v>
      </c>
      <c r="Q433" s="156"/>
    </row>
    <row r="434" spans="1:17" ht="12.75" hidden="1" customHeight="1">
      <c r="A434" s="161" t="str">
        <f t="shared" si="105"/>
        <v>14Student Achievement Initiative (permanent)</v>
      </c>
      <c r="B434" s="161">
        <f t="shared" si="106"/>
        <v>1</v>
      </c>
      <c r="C434" s="163">
        <v>14</v>
      </c>
      <c r="D434" s="163" t="b">
        <v>1</v>
      </c>
      <c r="E434" s="161" t="s">
        <v>27</v>
      </c>
      <c r="F434" s="161" t="str">
        <f t="shared" si="97"/>
        <v>001</v>
      </c>
      <c r="G434" s="161" t="str">
        <f t="shared" si="104"/>
        <v>BD1</v>
      </c>
      <c r="H434" s="161" t="str">
        <f t="shared" si="98"/>
        <v>BD1</v>
      </c>
      <c r="I434" s="161" t="str">
        <f t="shared" si="99"/>
        <v>001-BD1</v>
      </c>
      <c r="J434" s="162" t="s">
        <v>465</v>
      </c>
      <c r="K434" s="161" t="s">
        <v>272</v>
      </c>
      <c r="L434" s="420">
        <v>12180</v>
      </c>
      <c r="M434" s="419"/>
      <c r="N434" s="157" t="str">
        <f t="shared" si="100"/>
        <v>BD1</v>
      </c>
      <c r="O434" s="156">
        <f t="shared" si="103"/>
        <v>12180</v>
      </c>
      <c r="Q434" s="156"/>
    </row>
    <row r="435" spans="1:17" ht="12.75" hidden="1" customHeight="1">
      <c r="A435" s="161" t="str">
        <f t="shared" si="105"/>
        <v>29Student Achievement Initiative (permanent)</v>
      </c>
      <c r="B435" s="161">
        <f t="shared" si="106"/>
        <v>1</v>
      </c>
      <c r="C435" s="163">
        <v>29</v>
      </c>
      <c r="D435" s="163" t="b">
        <v>1</v>
      </c>
      <c r="E435" s="161" t="s">
        <v>42</v>
      </c>
      <c r="F435" s="161" t="str">
        <f t="shared" si="97"/>
        <v>001</v>
      </c>
      <c r="G435" s="161" t="str">
        <f t="shared" si="104"/>
        <v>BD1</v>
      </c>
      <c r="H435" s="161" t="str">
        <f t="shared" si="98"/>
        <v>BD1</v>
      </c>
      <c r="I435" s="161" t="str">
        <f t="shared" si="99"/>
        <v>001-BD1</v>
      </c>
      <c r="J435" s="162" t="s">
        <v>465</v>
      </c>
      <c r="K435" s="161" t="s">
        <v>272</v>
      </c>
      <c r="L435" s="420">
        <v>33382</v>
      </c>
      <c r="M435" s="419"/>
      <c r="N435" s="157" t="str">
        <f t="shared" si="100"/>
        <v>BD1</v>
      </c>
      <c r="O435" s="156">
        <f t="shared" si="103"/>
        <v>33382</v>
      </c>
      <c r="Q435" s="156"/>
    </row>
    <row r="436" spans="1:17" ht="12.75" hidden="1" customHeight="1">
      <c r="A436" s="161" t="str">
        <f t="shared" si="105"/>
        <v>19Student Achievement Initiative (permanent)</v>
      </c>
      <c r="B436" s="161">
        <f t="shared" si="106"/>
        <v>1</v>
      </c>
      <c r="C436" s="163">
        <v>19</v>
      </c>
      <c r="D436" s="163" t="b">
        <v>1</v>
      </c>
      <c r="E436" s="161" t="s">
        <v>32</v>
      </c>
      <c r="F436" s="161" t="str">
        <f t="shared" si="97"/>
        <v>001</v>
      </c>
      <c r="G436" s="161" t="str">
        <f t="shared" si="104"/>
        <v>BD1</v>
      </c>
      <c r="H436" s="161" t="str">
        <f t="shared" si="98"/>
        <v>BD1</v>
      </c>
      <c r="I436" s="161" t="str">
        <f t="shared" si="99"/>
        <v>001-BD1</v>
      </c>
      <c r="J436" s="162" t="s">
        <v>465</v>
      </c>
      <c r="K436" s="161" t="s">
        <v>272</v>
      </c>
      <c r="L436" s="420">
        <v>0</v>
      </c>
      <c r="M436" s="419"/>
      <c r="N436" s="157" t="str">
        <f t="shared" si="100"/>
        <v>BD1</v>
      </c>
      <c r="O436" s="156">
        <f t="shared" si="103"/>
        <v>0</v>
      </c>
      <c r="Q436" s="156"/>
    </row>
    <row r="437" spans="1:17" ht="12.75" hidden="1" customHeight="1">
      <c r="A437" s="161" t="str">
        <f t="shared" si="105"/>
        <v>23Student Achievement Initiative (permanent)</v>
      </c>
      <c r="B437" s="161">
        <f t="shared" si="106"/>
        <v>1</v>
      </c>
      <c r="C437" s="163">
        <v>23</v>
      </c>
      <c r="D437" s="163" t="b">
        <v>1</v>
      </c>
      <c r="E437" s="161" t="s">
        <v>36</v>
      </c>
      <c r="F437" s="161" t="str">
        <f t="shared" si="97"/>
        <v>001</v>
      </c>
      <c r="G437" s="161" t="str">
        <f t="shared" si="104"/>
        <v>BD1</v>
      </c>
      <c r="H437" s="161" t="str">
        <f t="shared" si="98"/>
        <v>BD1</v>
      </c>
      <c r="I437" s="161" t="str">
        <f t="shared" si="99"/>
        <v>001-BD1</v>
      </c>
      <c r="J437" s="162" t="s">
        <v>465</v>
      </c>
      <c r="K437" s="161" t="s">
        <v>272</v>
      </c>
      <c r="L437" s="420">
        <v>20212</v>
      </c>
      <c r="M437" s="419"/>
      <c r="N437" s="157" t="str">
        <f t="shared" si="100"/>
        <v>BD1</v>
      </c>
      <c r="O437" s="156">
        <f t="shared" si="103"/>
        <v>20212</v>
      </c>
      <c r="Q437" s="156"/>
    </row>
    <row r="438" spans="1:17" ht="12.75" hidden="1" customHeight="1">
      <c r="A438" s="161" t="str">
        <f t="shared" si="105"/>
        <v>5Student Achievement Initiative (permanent)</v>
      </c>
      <c r="B438" s="161">
        <f t="shared" si="106"/>
        <v>1</v>
      </c>
      <c r="C438" s="163">
        <v>5</v>
      </c>
      <c r="D438" s="163" t="b">
        <v>1</v>
      </c>
      <c r="E438" s="161" t="s">
        <v>18</v>
      </c>
      <c r="F438" s="161" t="str">
        <f t="shared" si="97"/>
        <v>001</v>
      </c>
      <c r="G438" s="161" t="str">
        <f t="shared" si="104"/>
        <v>BD1</v>
      </c>
      <c r="H438" s="161" t="str">
        <f t="shared" si="98"/>
        <v>BD1</v>
      </c>
      <c r="I438" s="161" t="str">
        <f t="shared" si="99"/>
        <v>001-BD1</v>
      </c>
      <c r="J438" s="162" t="s">
        <v>465</v>
      </c>
      <c r="K438" s="161" t="s">
        <v>272</v>
      </c>
      <c r="L438" s="420">
        <v>0</v>
      </c>
      <c r="M438" s="419"/>
      <c r="N438" s="157" t="str">
        <f t="shared" si="100"/>
        <v>BD1</v>
      </c>
      <c r="O438" s="156">
        <f t="shared" si="103"/>
        <v>0</v>
      </c>
      <c r="Q438" s="156"/>
    </row>
    <row r="439" spans="1:17" ht="12.75" hidden="1" customHeight="1">
      <c r="A439" s="161" t="str">
        <f t="shared" si="105"/>
        <v>2Student Achievement Initiative (permanent)</v>
      </c>
      <c r="B439" s="161">
        <f t="shared" si="106"/>
        <v>1</v>
      </c>
      <c r="C439" s="163">
        <v>2</v>
      </c>
      <c r="D439" s="163" t="b">
        <v>1</v>
      </c>
      <c r="E439" s="161" t="s">
        <v>15</v>
      </c>
      <c r="F439" s="161" t="str">
        <f t="shared" si="97"/>
        <v>001</v>
      </c>
      <c r="G439" s="161" t="str">
        <f t="shared" si="104"/>
        <v>BD1</v>
      </c>
      <c r="H439" s="161" t="str">
        <f t="shared" si="98"/>
        <v>BD1</v>
      </c>
      <c r="I439" s="161" t="str">
        <f t="shared" si="99"/>
        <v>001-BD1</v>
      </c>
      <c r="J439" s="162" t="s">
        <v>465</v>
      </c>
      <c r="K439" s="161" t="s">
        <v>272</v>
      </c>
      <c r="L439" s="420">
        <v>0</v>
      </c>
      <c r="M439" s="419"/>
      <c r="N439" s="157" t="str">
        <f t="shared" si="100"/>
        <v>BD1</v>
      </c>
      <c r="O439" s="156">
        <f t="shared" si="103"/>
        <v>0</v>
      </c>
      <c r="Q439" s="156"/>
    </row>
    <row r="440" spans="1:17" ht="12.75" hidden="1" customHeight="1">
      <c r="A440" s="161" t="str">
        <f t="shared" si="105"/>
        <v>10Student Achievement Initiative (permanent)</v>
      </c>
      <c r="B440" s="161">
        <f t="shared" si="106"/>
        <v>1</v>
      </c>
      <c r="C440" s="163">
        <v>10</v>
      </c>
      <c r="D440" s="163" t="b">
        <v>1</v>
      </c>
      <c r="E440" s="161" t="s">
        <v>23</v>
      </c>
      <c r="F440" s="161" t="str">
        <f t="shared" si="97"/>
        <v>001</v>
      </c>
      <c r="G440" s="161" t="str">
        <f t="shared" si="104"/>
        <v>BD1</v>
      </c>
      <c r="H440" s="161" t="str">
        <f t="shared" si="98"/>
        <v>BD1</v>
      </c>
      <c r="I440" s="161" t="str">
        <f t="shared" si="99"/>
        <v>001-BD1</v>
      </c>
      <c r="J440" s="162" t="s">
        <v>465</v>
      </c>
      <c r="K440" s="161" t="s">
        <v>272</v>
      </c>
      <c r="L440" s="420">
        <v>0</v>
      </c>
      <c r="M440" s="419"/>
      <c r="N440" s="157" t="str">
        <f t="shared" si="100"/>
        <v>BD1</v>
      </c>
      <c r="O440" s="156">
        <f t="shared" si="103"/>
        <v>0</v>
      </c>
      <c r="Q440" s="156"/>
    </row>
    <row r="441" spans="1:17" ht="12.75" hidden="1" customHeight="1">
      <c r="A441" s="161" t="str">
        <f t="shared" si="105"/>
        <v>9Student Achievement Initiative (permanent)</v>
      </c>
      <c r="B441" s="161">
        <f t="shared" si="106"/>
        <v>1</v>
      </c>
      <c r="C441" s="163">
        <v>9</v>
      </c>
      <c r="D441" s="163" t="b">
        <v>1</v>
      </c>
      <c r="E441" s="161" t="s">
        <v>22</v>
      </c>
      <c r="F441" s="161" t="str">
        <f t="shared" si="97"/>
        <v>001</v>
      </c>
      <c r="G441" s="161" t="str">
        <f t="shared" si="104"/>
        <v>BD1</v>
      </c>
      <c r="H441" s="161" t="str">
        <f t="shared" si="98"/>
        <v>BD1</v>
      </c>
      <c r="I441" s="161" t="str">
        <f t="shared" si="99"/>
        <v>001-BD1</v>
      </c>
      <c r="J441" s="162" t="s">
        <v>465</v>
      </c>
      <c r="K441" s="161" t="s">
        <v>272</v>
      </c>
      <c r="L441" s="420">
        <v>0</v>
      </c>
      <c r="M441" s="419"/>
      <c r="N441" s="157" t="str">
        <f t="shared" si="100"/>
        <v>BD1</v>
      </c>
      <c r="O441" s="156">
        <f t="shared" si="103"/>
        <v>0</v>
      </c>
      <c r="Q441" s="156"/>
    </row>
    <row r="442" spans="1:17" ht="12.75" hidden="1" customHeight="1">
      <c r="A442" s="161" t="str">
        <f t="shared" si="105"/>
        <v>26Student Achievement Initiative (permanent)</v>
      </c>
      <c r="B442" s="161">
        <f t="shared" si="106"/>
        <v>1</v>
      </c>
      <c r="C442" s="163">
        <v>26</v>
      </c>
      <c r="D442" s="163" t="b">
        <v>1</v>
      </c>
      <c r="E442" s="161" t="s">
        <v>39</v>
      </c>
      <c r="F442" s="161" t="str">
        <f t="shared" si="97"/>
        <v>001</v>
      </c>
      <c r="G442" s="161" t="str">
        <f t="shared" si="104"/>
        <v>BD1</v>
      </c>
      <c r="H442" s="161" t="str">
        <f t="shared" si="98"/>
        <v>BD1</v>
      </c>
      <c r="I442" s="161" t="str">
        <f t="shared" si="99"/>
        <v>001-BD1</v>
      </c>
      <c r="J442" s="162" t="s">
        <v>465</v>
      </c>
      <c r="K442" s="161" t="s">
        <v>272</v>
      </c>
      <c r="L442" s="420">
        <v>0</v>
      </c>
      <c r="M442" s="419"/>
      <c r="N442" s="157" t="str">
        <f t="shared" si="100"/>
        <v>BD1</v>
      </c>
      <c r="O442" s="156">
        <f t="shared" si="103"/>
        <v>0</v>
      </c>
      <c r="Q442" s="156"/>
    </row>
    <row r="443" spans="1:17" ht="12.75" hidden="1" customHeight="1">
      <c r="A443" s="161" t="str">
        <f t="shared" si="105"/>
        <v>13Student Achievement Initiative (permanent)</v>
      </c>
      <c r="B443" s="161">
        <f t="shared" si="106"/>
        <v>1</v>
      </c>
      <c r="C443" s="163">
        <v>13</v>
      </c>
      <c r="D443" s="163" t="b">
        <v>1</v>
      </c>
      <c r="E443" s="161" t="s">
        <v>26</v>
      </c>
      <c r="F443" s="161" t="str">
        <f t="shared" si="97"/>
        <v>001</v>
      </c>
      <c r="G443" s="161" t="str">
        <f t="shared" si="104"/>
        <v>BD1</v>
      </c>
      <c r="H443" s="161" t="str">
        <f t="shared" si="98"/>
        <v>BD1</v>
      </c>
      <c r="I443" s="161" t="str">
        <f t="shared" si="99"/>
        <v>001-BD1</v>
      </c>
      <c r="J443" s="162" t="s">
        <v>465</v>
      </c>
      <c r="K443" s="161" t="s">
        <v>272</v>
      </c>
      <c r="L443" s="420">
        <v>0</v>
      </c>
      <c r="M443" s="419"/>
      <c r="N443" s="157" t="str">
        <f t="shared" si="100"/>
        <v>BD1</v>
      </c>
      <c r="O443" s="156">
        <f t="shared" si="103"/>
        <v>0</v>
      </c>
      <c r="Q443" s="156"/>
    </row>
    <row r="444" spans="1:17" ht="12.75" hidden="1" customHeight="1">
      <c r="A444" s="161" t="str">
        <f t="shared" si="105"/>
        <v>3Student Achievement Initiative (permanent)</v>
      </c>
      <c r="B444" s="161">
        <f t="shared" si="106"/>
        <v>1</v>
      </c>
      <c r="C444" s="163">
        <v>3</v>
      </c>
      <c r="D444" s="163" t="b">
        <v>1</v>
      </c>
      <c r="E444" s="161" t="s">
        <v>16</v>
      </c>
      <c r="F444" s="161" t="str">
        <f t="shared" si="97"/>
        <v>001</v>
      </c>
      <c r="G444" s="161" t="str">
        <f t="shared" si="104"/>
        <v>BD1</v>
      </c>
      <c r="H444" s="161" t="str">
        <f t="shared" si="98"/>
        <v>BD1</v>
      </c>
      <c r="I444" s="161" t="str">
        <f t="shared" si="99"/>
        <v>001-BD1</v>
      </c>
      <c r="J444" s="162" t="s">
        <v>465</v>
      </c>
      <c r="K444" s="161" t="s">
        <v>272</v>
      </c>
      <c r="L444" s="420">
        <v>0</v>
      </c>
      <c r="M444" s="419"/>
      <c r="N444" s="157" t="str">
        <f t="shared" si="100"/>
        <v>BD1</v>
      </c>
      <c r="O444" s="156">
        <f t="shared" si="103"/>
        <v>0</v>
      </c>
      <c r="Q444" s="156"/>
    </row>
    <row r="445" spans="1:17" ht="12.75" hidden="1" customHeight="1">
      <c r="A445" s="161" t="str">
        <f t="shared" si="105"/>
        <v>1Student Achievement Initiative (permanent)</v>
      </c>
      <c r="B445" s="161">
        <f t="shared" si="106"/>
        <v>1</v>
      </c>
      <c r="C445" s="163">
        <v>1</v>
      </c>
      <c r="D445" s="163" t="b">
        <v>1</v>
      </c>
      <c r="E445" s="161" t="s">
        <v>14</v>
      </c>
      <c r="F445" s="161" t="str">
        <f t="shared" si="97"/>
        <v>001</v>
      </c>
      <c r="G445" s="161" t="str">
        <f t="shared" si="104"/>
        <v>BD1</v>
      </c>
      <c r="H445" s="161" t="str">
        <f t="shared" si="98"/>
        <v>BD1</v>
      </c>
      <c r="I445" s="161" t="str">
        <f t="shared" si="99"/>
        <v>001-BD1</v>
      </c>
      <c r="J445" s="162" t="s">
        <v>465</v>
      </c>
      <c r="K445" s="161" t="s">
        <v>272</v>
      </c>
      <c r="L445" s="420">
        <v>0</v>
      </c>
      <c r="M445" s="419"/>
      <c r="N445" s="157" t="str">
        <f t="shared" si="100"/>
        <v>BD1</v>
      </c>
      <c r="O445" s="156">
        <f t="shared" si="103"/>
        <v>0</v>
      </c>
      <c r="Q445" s="156"/>
    </row>
    <row r="446" spans="1:17" ht="12.75" hidden="1" customHeight="1">
      <c r="A446" s="161" t="str">
        <f t="shared" si="105"/>
        <v>11Student Achievement Initiative (permanent)</v>
      </c>
      <c r="B446" s="161">
        <f t="shared" si="106"/>
        <v>1</v>
      </c>
      <c r="C446" s="163">
        <v>11</v>
      </c>
      <c r="D446" s="163" t="b">
        <v>1</v>
      </c>
      <c r="E446" s="161" t="s">
        <v>24</v>
      </c>
      <c r="F446" s="161" t="str">
        <f t="shared" si="97"/>
        <v>001</v>
      </c>
      <c r="G446" s="161" t="str">
        <f t="shared" si="104"/>
        <v>BD1</v>
      </c>
      <c r="H446" s="161" t="str">
        <f t="shared" si="98"/>
        <v>BD1</v>
      </c>
      <c r="I446" s="161" t="str">
        <f t="shared" si="99"/>
        <v>001-BD1</v>
      </c>
      <c r="J446" s="162" t="s">
        <v>465</v>
      </c>
      <c r="K446" s="161" t="s">
        <v>272</v>
      </c>
      <c r="L446" s="420">
        <v>66425</v>
      </c>
      <c r="M446" s="419"/>
      <c r="N446" s="157" t="str">
        <f t="shared" si="100"/>
        <v>BD1</v>
      </c>
      <c r="O446" s="156">
        <f t="shared" si="103"/>
        <v>66425</v>
      </c>
      <c r="Q446" s="156"/>
    </row>
    <row r="447" spans="1:17" ht="12.75" hidden="1" customHeight="1">
      <c r="A447" s="161" t="str">
        <f t="shared" si="105"/>
        <v>27Student Achievement Initiative (permanent)</v>
      </c>
      <c r="B447" s="161">
        <f t="shared" si="106"/>
        <v>1</v>
      </c>
      <c r="C447" s="163">
        <v>27</v>
      </c>
      <c r="D447" s="163" t="b">
        <v>1</v>
      </c>
      <c r="E447" s="161" t="s">
        <v>40</v>
      </c>
      <c r="F447" s="161" t="str">
        <f t="shared" si="97"/>
        <v>001</v>
      </c>
      <c r="G447" s="161" t="str">
        <f t="shared" si="104"/>
        <v>BD1</v>
      </c>
      <c r="H447" s="161" t="str">
        <f t="shared" si="98"/>
        <v>BD1</v>
      </c>
      <c r="I447" s="161" t="str">
        <f t="shared" si="99"/>
        <v>001-BD1</v>
      </c>
      <c r="J447" s="162" t="s">
        <v>465</v>
      </c>
      <c r="K447" s="161" t="s">
        <v>272</v>
      </c>
      <c r="L447" s="420">
        <v>0</v>
      </c>
      <c r="M447" s="419"/>
      <c r="N447" s="157" t="str">
        <f t="shared" si="100"/>
        <v>BD1</v>
      </c>
      <c r="O447" s="156">
        <f t="shared" si="103"/>
        <v>0</v>
      </c>
      <c r="Q447" s="156"/>
    </row>
    <row r="448" spans="1:17" ht="12.75" hidden="1" customHeight="1">
      <c r="A448" s="161" t="str">
        <f t="shared" si="105"/>
        <v>6Student Achievement Initiative (permanent)</v>
      </c>
      <c r="B448" s="161">
        <f t="shared" si="106"/>
        <v>1</v>
      </c>
      <c r="C448" s="163">
        <v>6</v>
      </c>
      <c r="D448" s="163" t="b">
        <v>1</v>
      </c>
      <c r="E448" s="161" t="s">
        <v>19</v>
      </c>
      <c r="F448" s="161" t="str">
        <f t="shared" si="97"/>
        <v>001</v>
      </c>
      <c r="G448" s="161" t="str">
        <f t="shared" si="104"/>
        <v>BD1</v>
      </c>
      <c r="H448" s="161" t="str">
        <f t="shared" si="98"/>
        <v>BD1</v>
      </c>
      <c r="I448" s="161" t="str">
        <f t="shared" si="99"/>
        <v>001-BD1</v>
      </c>
      <c r="J448" s="162" t="s">
        <v>465</v>
      </c>
      <c r="K448" s="161" t="s">
        <v>272</v>
      </c>
      <c r="L448" s="420">
        <v>0</v>
      </c>
      <c r="M448" s="419"/>
      <c r="N448" s="157" t="str">
        <f t="shared" si="100"/>
        <v>BD1</v>
      </c>
      <c r="O448" s="156">
        <f t="shared" si="103"/>
        <v>0</v>
      </c>
      <c r="Q448" s="156"/>
    </row>
    <row r="449" spans="1:17" ht="12.75" hidden="1" customHeight="1">
      <c r="A449" s="161" t="str">
        <f t="shared" si="105"/>
        <v>7Student Achievement Initiative (permanent)</v>
      </c>
      <c r="B449" s="161">
        <f t="shared" si="106"/>
        <v>1</v>
      </c>
      <c r="C449" s="163">
        <v>7</v>
      </c>
      <c r="D449" s="163" t="b">
        <v>1</v>
      </c>
      <c r="E449" s="161" t="s">
        <v>20</v>
      </c>
      <c r="F449" s="161" t="str">
        <f t="shared" si="97"/>
        <v>001</v>
      </c>
      <c r="G449" s="161" t="str">
        <f t="shared" si="104"/>
        <v>BD1</v>
      </c>
      <c r="H449" s="161" t="str">
        <f t="shared" si="98"/>
        <v>BD1</v>
      </c>
      <c r="I449" s="161" t="str">
        <f t="shared" si="99"/>
        <v>001-BD1</v>
      </c>
      <c r="J449" s="162" t="s">
        <v>465</v>
      </c>
      <c r="K449" s="161" t="s">
        <v>272</v>
      </c>
      <c r="L449" s="420">
        <v>0</v>
      </c>
      <c r="M449" s="419"/>
      <c r="N449" s="157" t="str">
        <f t="shared" si="100"/>
        <v>BD1</v>
      </c>
      <c r="O449" s="156">
        <f t="shared" si="103"/>
        <v>0</v>
      </c>
      <c r="Q449" s="156"/>
    </row>
    <row r="450" spans="1:17" ht="12.75" hidden="1" customHeight="1">
      <c r="A450" s="161" t="str">
        <f t="shared" si="105"/>
        <v>4Student Achievement Initiative (permanent)</v>
      </c>
      <c r="B450" s="161">
        <f t="shared" si="106"/>
        <v>1</v>
      </c>
      <c r="C450" s="163">
        <v>4</v>
      </c>
      <c r="D450" s="163" t="b">
        <v>1</v>
      </c>
      <c r="E450" s="161" t="s">
        <v>17</v>
      </c>
      <c r="F450" s="161" t="str">
        <f t="shared" ref="F450:F513" si="107">LEFT(J450,3)</f>
        <v>001</v>
      </c>
      <c r="G450" s="161" t="str">
        <f t="shared" si="104"/>
        <v>BD1</v>
      </c>
      <c r="H450" s="161" t="str">
        <f t="shared" ref="H450:H513" si="108">RIGHT(J450,3)</f>
        <v>BD1</v>
      </c>
      <c r="I450" s="161" t="str">
        <f t="shared" ref="I450:I513" si="109">F450&amp;"-"&amp;H450</f>
        <v>001-BD1</v>
      </c>
      <c r="J450" s="162" t="s">
        <v>465</v>
      </c>
      <c r="K450" s="161" t="s">
        <v>272</v>
      </c>
      <c r="L450" s="420">
        <v>0</v>
      </c>
      <c r="M450" s="419"/>
      <c r="N450" s="157" t="str">
        <f t="shared" ref="N450:N513" si="110">VLOOKUP(H450,Approp,2,FALSE)</f>
        <v>BD1</v>
      </c>
      <c r="O450" s="156">
        <f t="shared" si="103"/>
        <v>0</v>
      </c>
      <c r="Q450" s="156"/>
    </row>
    <row r="451" spans="1:17" ht="12.75" hidden="1" customHeight="1">
      <c r="A451" s="161" t="str">
        <f t="shared" si="105"/>
        <v>24Student Achievement Initiative (permanent)</v>
      </c>
      <c r="B451" s="161">
        <f t="shared" si="106"/>
        <v>1</v>
      </c>
      <c r="C451" s="163">
        <v>24</v>
      </c>
      <c r="D451" s="163" t="b">
        <v>1</v>
      </c>
      <c r="E451" s="161" t="s">
        <v>37</v>
      </c>
      <c r="F451" s="161" t="str">
        <f t="shared" si="107"/>
        <v>001</v>
      </c>
      <c r="G451" s="161" t="str">
        <f t="shared" si="104"/>
        <v>BD1</v>
      </c>
      <c r="H451" s="161" t="str">
        <f t="shared" si="108"/>
        <v>BD1</v>
      </c>
      <c r="I451" s="161" t="str">
        <f t="shared" si="109"/>
        <v>001-BD1</v>
      </c>
      <c r="J451" s="162" t="s">
        <v>465</v>
      </c>
      <c r="K451" s="161" t="s">
        <v>272</v>
      </c>
      <c r="L451" s="420">
        <v>0</v>
      </c>
      <c r="M451" s="419"/>
      <c r="N451" s="157" t="str">
        <f t="shared" si="110"/>
        <v>BD1</v>
      </c>
      <c r="O451" s="156">
        <f t="shared" si="103"/>
        <v>0</v>
      </c>
      <c r="Q451" s="156"/>
    </row>
    <row r="452" spans="1:17" ht="12.75" hidden="1" customHeight="1">
      <c r="A452" s="161" t="str">
        <f t="shared" si="105"/>
        <v>17Student Achievement Initiative (permanent)</v>
      </c>
      <c r="B452" s="161">
        <f t="shared" si="106"/>
        <v>1</v>
      </c>
      <c r="C452" s="163">
        <v>17</v>
      </c>
      <c r="D452" s="163" t="b">
        <v>1</v>
      </c>
      <c r="E452" s="161" t="s">
        <v>30</v>
      </c>
      <c r="F452" s="161" t="str">
        <f t="shared" si="107"/>
        <v>001</v>
      </c>
      <c r="G452" s="161" t="str">
        <f t="shared" si="104"/>
        <v>BD1</v>
      </c>
      <c r="H452" s="161" t="str">
        <f t="shared" si="108"/>
        <v>BD1</v>
      </c>
      <c r="I452" s="161" t="str">
        <f t="shared" si="109"/>
        <v>001-BD1</v>
      </c>
      <c r="J452" s="162" t="s">
        <v>465</v>
      </c>
      <c r="K452" s="161" t="s">
        <v>272</v>
      </c>
      <c r="L452" s="420">
        <v>132698</v>
      </c>
      <c r="M452" s="419"/>
      <c r="N452" s="157" t="str">
        <f t="shared" si="110"/>
        <v>BD1</v>
      </c>
      <c r="O452" s="156">
        <f t="shared" si="103"/>
        <v>132698</v>
      </c>
      <c r="Q452" s="156"/>
    </row>
    <row r="453" spans="1:17" ht="12.75" hidden="1" customHeight="1">
      <c r="A453" s="161" t="str">
        <f t="shared" si="105"/>
        <v>22Student Achievement Initiative (permanent)</v>
      </c>
      <c r="B453" s="161">
        <f t="shared" si="106"/>
        <v>1</v>
      </c>
      <c r="C453" s="163">
        <v>22</v>
      </c>
      <c r="D453" s="163" t="b">
        <v>1</v>
      </c>
      <c r="E453" s="161" t="s">
        <v>35</v>
      </c>
      <c r="F453" s="161" t="str">
        <f t="shared" si="107"/>
        <v>001</v>
      </c>
      <c r="G453" s="161" t="str">
        <f t="shared" si="104"/>
        <v>BD1</v>
      </c>
      <c r="H453" s="161" t="str">
        <f t="shared" si="108"/>
        <v>BD1</v>
      </c>
      <c r="I453" s="161" t="str">
        <f t="shared" si="109"/>
        <v>001-BD1</v>
      </c>
      <c r="J453" s="162" t="s">
        <v>465</v>
      </c>
      <c r="K453" s="161" t="s">
        <v>272</v>
      </c>
      <c r="L453" s="420">
        <v>0</v>
      </c>
      <c r="M453" s="419"/>
      <c r="N453" s="157" t="str">
        <f t="shared" si="110"/>
        <v>BD1</v>
      </c>
      <c r="O453" s="156">
        <f t="shared" si="103"/>
        <v>0</v>
      </c>
      <c r="Q453" s="156"/>
    </row>
    <row r="454" spans="1:17" ht="12.75" hidden="1" customHeight="1">
      <c r="A454" s="161" t="str">
        <f t="shared" si="105"/>
        <v>20Student Achievement Initiative (permanent)</v>
      </c>
      <c r="B454" s="161">
        <f t="shared" si="106"/>
        <v>1</v>
      </c>
      <c r="C454" s="163">
        <v>20</v>
      </c>
      <c r="D454" s="163" t="b">
        <v>1</v>
      </c>
      <c r="E454" s="161" t="s">
        <v>33</v>
      </c>
      <c r="F454" s="161" t="str">
        <f t="shared" si="107"/>
        <v>001</v>
      </c>
      <c r="G454" s="161" t="str">
        <f t="shared" si="104"/>
        <v>BD1</v>
      </c>
      <c r="H454" s="161" t="str">
        <f t="shared" si="108"/>
        <v>BD1</v>
      </c>
      <c r="I454" s="161" t="str">
        <f t="shared" si="109"/>
        <v>001-BD1</v>
      </c>
      <c r="J454" s="162" t="s">
        <v>465</v>
      </c>
      <c r="K454" s="161" t="s">
        <v>272</v>
      </c>
      <c r="L454" s="420">
        <v>0</v>
      </c>
      <c r="M454" s="419"/>
      <c r="N454" s="157" t="str">
        <f t="shared" si="110"/>
        <v>BD1</v>
      </c>
      <c r="O454" s="156">
        <f t="shared" si="103"/>
        <v>0</v>
      </c>
      <c r="Q454" s="156"/>
    </row>
    <row r="455" spans="1:17" ht="12.75" hidden="1" customHeight="1">
      <c r="A455" s="161" t="str">
        <f t="shared" si="105"/>
        <v>15Student Achievement Initiative (permanent)</v>
      </c>
      <c r="B455" s="161">
        <f t="shared" si="106"/>
        <v>1</v>
      </c>
      <c r="C455" s="163">
        <v>15</v>
      </c>
      <c r="D455" s="163" t="b">
        <v>1</v>
      </c>
      <c r="E455" s="161" t="s">
        <v>28</v>
      </c>
      <c r="F455" s="161" t="str">
        <f t="shared" si="107"/>
        <v>001</v>
      </c>
      <c r="G455" s="161" t="str">
        <f t="shared" si="104"/>
        <v>BD1</v>
      </c>
      <c r="H455" s="161" t="str">
        <f t="shared" si="108"/>
        <v>BD1</v>
      </c>
      <c r="I455" s="161" t="str">
        <f t="shared" si="109"/>
        <v>001-BD1</v>
      </c>
      <c r="J455" s="162" t="s">
        <v>465</v>
      </c>
      <c r="K455" s="161" t="s">
        <v>272</v>
      </c>
      <c r="L455" s="420">
        <v>13132</v>
      </c>
      <c r="M455" s="419"/>
      <c r="N455" s="157" t="str">
        <f t="shared" si="110"/>
        <v>BD1</v>
      </c>
      <c r="O455" s="156">
        <f t="shared" si="103"/>
        <v>13132</v>
      </c>
      <c r="Q455" s="156"/>
    </row>
    <row r="456" spans="1:17" ht="12.75" hidden="1" customHeight="1">
      <c r="A456" s="161" t="str">
        <f t="shared" si="105"/>
        <v>21Student Achievement Initiative (permanent)</v>
      </c>
      <c r="B456" s="161">
        <f t="shared" si="106"/>
        <v>1</v>
      </c>
      <c r="C456" s="163">
        <v>21</v>
      </c>
      <c r="D456" s="163" t="b">
        <v>1</v>
      </c>
      <c r="E456" s="161" t="s">
        <v>34</v>
      </c>
      <c r="F456" s="161" t="str">
        <f t="shared" si="107"/>
        <v>001</v>
      </c>
      <c r="G456" s="161" t="str">
        <f t="shared" si="104"/>
        <v>BD1</v>
      </c>
      <c r="H456" s="161" t="str">
        <f t="shared" si="108"/>
        <v>BD1</v>
      </c>
      <c r="I456" s="161" t="str">
        <f t="shared" si="109"/>
        <v>001-BD1</v>
      </c>
      <c r="J456" s="162" t="s">
        <v>465</v>
      </c>
      <c r="K456" s="161" t="s">
        <v>272</v>
      </c>
      <c r="L456" s="420">
        <v>10171</v>
      </c>
      <c r="M456" s="419"/>
      <c r="N456" s="157" t="str">
        <f t="shared" si="110"/>
        <v>BD1</v>
      </c>
      <c r="O456" s="156">
        <f t="shared" si="103"/>
        <v>10171</v>
      </c>
      <c r="Q456" s="156"/>
    </row>
    <row r="457" spans="1:17" ht="12.75" hidden="1" customHeight="1">
      <c r="A457" s="161" t="str">
        <f t="shared" si="105"/>
        <v>16Student Achievement Initiative (permanent)</v>
      </c>
      <c r="B457" s="161">
        <f t="shared" si="106"/>
        <v>1</v>
      </c>
      <c r="C457" s="163">
        <v>16</v>
      </c>
      <c r="D457" s="163" t="b">
        <v>1</v>
      </c>
      <c r="E457" s="161" t="s">
        <v>29</v>
      </c>
      <c r="F457" s="161" t="str">
        <f t="shared" si="107"/>
        <v>001</v>
      </c>
      <c r="G457" s="161" t="str">
        <f t="shared" si="104"/>
        <v>BD1</v>
      </c>
      <c r="H457" s="161" t="str">
        <f t="shared" si="108"/>
        <v>BD1</v>
      </c>
      <c r="I457" s="161" t="str">
        <f t="shared" si="109"/>
        <v>001-BD1</v>
      </c>
      <c r="J457" s="162" t="s">
        <v>465</v>
      </c>
      <c r="K457" s="161" t="s">
        <v>272</v>
      </c>
      <c r="L457" s="420">
        <v>11712</v>
      </c>
      <c r="M457" s="419"/>
      <c r="N457" s="157" t="str">
        <f t="shared" si="110"/>
        <v>BD1</v>
      </c>
      <c r="O457" s="156">
        <f t="shared" si="103"/>
        <v>11712</v>
      </c>
      <c r="Q457" s="156"/>
    </row>
    <row r="458" spans="1:17" ht="12.75" hidden="1" customHeight="1">
      <c r="A458" s="161" t="str">
        <f t="shared" si="105"/>
        <v>28Student Achievement Initiative (variable)</v>
      </c>
      <c r="B458" s="161">
        <f t="shared" si="106"/>
        <v>1</v>
      </c>
      <c r="C458" s="163">
        <v>28</v>
      </c>
      <c r="D458" s="163" t="b">
        <v>1</v>
      </c>
      <c r="E458" s="161" t="s">
        <v>41</v>
      </c>
      <c r="F458" s="161" t="str">
        <f t="shared" si="107"/>
        <v>001</v>
      </c>
      <c r="G458" s="161" t="str">
        <f t="shared" ref="G458:G487" si="111">IF(RIGHT(J458,3)="012","201",IF(RIGHT(J458,3)="232","123",IF(RIGHT(J458,3)="1E2","215",RIGHT(J458,3))))</f>
        <v>BD1</v>
      </c>
      <c r="H458" s="161" t="str">
        <f t="shared" si="108"/>
        <v>BD1</v>
      </c>
      <c r="I458" s="161" t="str">
        <f t="shared" si="109"/>
        <v>001-BD1</v>
      </c>
      <c r="J458" s="162" t="s">
        <v>465</v>
      </c>
      <c r="K458" s="161" t="s">
        <v>273</v>
      </c>
      <c r="L458" s="420">
        <v>127666</v>
      </c>
      <c r="M458" s="420">
        <v>-127666</v>
      </c>
      <c r="N458" s="157" t="str">
        <f t="shared" si="110"/>
        <v>BD1</v>
      </c>
      <c r="O458" s="156">
        <f t="shared" si="103"/>
        <v>0</v>
      </c>
      <c r="Q458" s="156"/>
    </row>
    <row r="459" spans="1:17" ht="12.75" hidden="1" customHeight="1">
      <c r="A459" s="161" t="str">
        <f t="shared" si="105"/>
        <v>8Student Achievement Initiative (variable)</v>
      </c>
      <c r="B459" s="161">
        <f t="shared" si="106"/>
        <v>1</v>
      </c>
      <c r="C459" s="163">
        <v>8</v>
      </c>
      <c r="D459" s="163" t="b">
        <v>1</v>
      </c>
      <c r="E459" s="161" t="s">
        <v>21</v>
      </c>
      <c r="F459" s="161" t="str">
        <f t="shared" si="107"/>
        <v>001</v>
      </c>
      <c r="G459" s="161" t="str">
        <f t="shared" si="111"/>
        <v>BD1</v>
      </c>
      <c r="H459" s="161" t="str">
        <f t="shared" si="108"/>
        <v>BD1</v>
      </c>
      <c r="I459" s="161" t="str">
        <f t="shared" si="109"/>
        <v>001-BD1</v>
      </c>
      <c r="J459" s="162" t="s">
        <v>465</v>
      </c>
      <c r="K459" s="161" t="s">
        <v>273</v>
      </c>
      <c r="L459" s="420">
        <v>203987</v>
      </c>
      <c r="M459" s="420">
        <v>-203987</v>
      </c>
      <c r="N459" s="157" t="str">
        <f t="shared" si="110"/>
        <v>BD1</v>
      </c>
      <c r="O459" s="156">
        <f t="shared" si="103"/>
        <v>0</v>
      </c>
      <c r="Q459" s="156"/>
    </row>
    <row r="460" spans="1:17" ht="12.75" hidden="1" customHeight="1">
      <c r="A460" s="161" t="str">
        <f t="shared" si="105"/>
        <v>25Student Achievement Initiative (variable)</v>
      </c>
      <c r="B460" s="161">
        <f t="shared" si="106"/>
        <v>1</v>
      </c>
      <c r="C460" s="163">
        <v>25</v>
      </c>
      <c r="D460" s="163" t="b">
        <v>1</v>
      </c>
      <c r="E460" s="161" t="s">
        <v>38</v>
      </c>
      <c r="F460" s="161" t="str">
        <f t="shared" si="107"/>
        <v>001</v>
      </c>
      <c r="G460" s="161" t="str">
        <f t="shared" si="111"/>
        <v>BD1</v>
      </c>
      <c r="H460" s="161" t="str">
        <f t="shared" si="108"/>
        <v>BD1</v>
      </c>
      <c r="I460" s="161" t="str">
        <f t="shared" si="109"/>
        <v>001-BD1</v>
      </c>
      <c r="J460" s="162" t="s">
        <v>465</v>
      </c>
      <c r="K460" s="161" t="s">
        <v>273</v>
      </c>
      <c r="L460" s="420">
        <v>106872</v>
      </c>
      <c r="M460" s="420">
        <v>-106872</v>
      </c>
      <c r="N460" s="157" t="str">
        <f t="shared" si="110"/>
        <v>BD1</v>
      </c>
      <c r="O460" s="156">
        <f t="shared" si="103"/>
        <v>0</v>
      </c>
      <c r="Q460" s="156"/>
    </row>
    <row r="461" spans="1:17" ht="12.75" hidden="1" customHeight="1">
      <c r="A461" s="161" t="str">
        <f t="shared" si="105"/>
        <v>18Student Achievement Initiative (variable)</v>
      </c>
      <c r="B461" s="161">
        <f t="shared" si="106"/>
        <v>1</v>
      </c>
      <c r="C461" s="163">
        <v>18</v>
      </c>
      <c r="D461" s="163" t="b">
        <v>1</v>
      </c>
      <c r="E461" s="161" t="s">
        <v>31</v>
      </c>
      <c r="F461" s="161" t="str">
        <f t="shared" si="107"/>
        <v>001</v>
      </c>
      <c r="G461" s="161" t="str">
        <f t="shared" si="111"/>
        <v>BD1</v>
      </c>
      <c r="H461" s="161" t="str">
        <f t="shared" si="108"/>
        <v>BD1</v>
      </c>
      <c r="I461" s="161" t="str">
        <f t="shared" si="109"/>
        <v>001-BD1</v>
      </c>
      <c r="J461" s="162" t="s">
        <v>465</v>
      </c>
      <c r="K461" s="161" t="s">
        <v>273</v>
      </c>
      <c r="L461" s="420">
        <v>116339</v>
      </c>
      <c r="M461" s="420">
        <v>-116339</v>
      </c>
      <c r="N461" s="157" t="str">
        <f t="shared" si="110"/>
        <v>BD1</v>
      </c>
      <c r="O461" s="156">
        <f t="shared" si="103"/>
        <v>0</v>
      </c>
      <c r="Q461" s="156"/>
    </row>
    <row r="462" spans="1:17" ht="12.75" hidden="1" customHeight="1">
      <c r="A462" s="161" t="str">
        <f t="shared" si="105"/>
        <v>30Student Achievement Initiative (variable)</v>
      </c>
      <c r="B462" s="161">
        <f t="shared" si="106"/>
        <v>1</v>
      </c>
      <c r="C462" s="163">
        <v>30</v>
      </c>
      <c r="D462" s="163" t="b">
        <v>1</v>
      </c>
      <c r="E462" s="161" t="s">
        <v>43</v>
      </c>
      <c r="F462" s="161" t="str">
        <f t="shared" si="107"/>
        <v>001</v>
      </c>
      <c r="G462" s="161" t="str">
        <f t="shared" si="111"/>
        <v>BD1</v>
      </c>
      <c r="H462" s="161" t="str">
        <f t="shared" si="108"/>
        <v>BD1</v>
      </c>
      <c r="I462" s="161" t="str">
        <f t="shared" si="109"/>
        <v>001-BD1</v>
      </c>
      <c r="J462" s="162" t="s">
        <v>465</v>
      </c>
      <c r="K462" s="161" t="s">
        <v>273</v>
      </c>
      <c r="L462" s="420">
        <v>109729</v>
      </c>
      <c r="M462" s="420">
        <v>-109729</v>
      </c>
      <c r="N462" s="157" t="str">
        <f t="shared" si="110"/>
        <v>BD1</v>
      </c>
      <c r="O462" s="156">
        <f t="shared" si="103"/>
        <v>0</v>
      </c>
      <c r="Q462" s="156"/>
    </row>
    <row r="463" spans="1:17" ht="12.75" hidden="1" customHeight="1">
      <c r="A463" s="161" t="str">
        <f t="shared" si="105"/>
        <v>12Student Achievement Initiative (variable)</v>
      </c>
      <c r="B463" s="161">
        <f t="shared" si="106"/>
        <v>1</v>
      </c>
      <c r="C463" s="163">
        <v>12</v>
      </c>
      <c r="D463" s="163" t="b">
        <v>1</v>
      </c>
      <c r="E463" s="161" t="s">
        <v>25</v>
      </c>
      <c r="F463" s="161" t="str">
        <f t="shared" si="107"/>
        <v>001</v>
      </c>
      <c r="G463" s="161" t="str">
        <f t="shared" si="111"/>
        <v>BD1</v>
      </c>
      <c r="H463" s="161" t="str">
        <f t="shared" si="108"/>
        <v>BD1</v>
      </c>
      <c r="I463" s="161" t="str">
        <f t="shared" si="109"/>
        <v>001-BD1</v>
      </c>
      <c r="J463" s="162" t="s">
        <v>465</v>
      </c>
      <c r="K463" s="161" t="s">
        <v>273</v>
      </c>
      <c r="L463" s="420">
        <v>91846</v>
      </c>
      <c r="M463" s="420">
        <v>-91846</v>
      </c>
      <c r="N463" s="157" t="str">
        <f t="shared" si="110"/>
        <v>BD1</v>
      </c>
      <c r="O463" s="156">
        <f t="shared" si="103"/>
        <v>0</v>
      </c>
      <c r="Q463" s="156"/>
    </row>
    <row r="464" spans="1:17" ht="12.75" hidden="1" customHeight="1">
      <c r="A464" s="161" t="str">
        <f t="shared" si="105"/>
        <v>14Student Achievement Initiative (variable)</v>
      </c>
      <c r="B464" s="161">
        <f t="shared" si="106"/>
        <v>1</v>
      </c>
      <c r="C464" s="163">
        <v>14</v>
      </c>
      <c r="D464" s="163" t="b">
        <v>1</v>
      </c>
      <c r="E464" s="161" t="s">
        <v>27</v>
      </c>
      <c r="F464" s="161" t="str">
        <f t="shared" si="107"/>
        <v>001</v>
      </c>
      <c r="G464" s="161" t="str">
        <f t="shared" si="111"/>
        <v>BD1</v>
      </c>
      <c r="H464" s="161" t="str">
        <f t="shared" si="108"/>
        <v>BD1</v>
      </c>
      <c r="I464" s="161" t="str">
        <f t="shared" si="109"/>
        <v>001-BD1</v>
      </c>
      <c r="J464" s="162" t="s">
        <v>465</v>
      </c>
      <c r="K464" s="161" t="s">
        <v>273</v>
      </c>
      <c r="L464" s="420">
        <v>207904</v>
      </c>
      <c r="M464" s="420">
        <v>-207904</v>
      </c>
      <c r="N464" s="157" t="str">
        <f t="shared" si="110"/>
        <v>BD1</v>
      </c>
      <c r="O464" s="156">
        <f t="shared" si="103"/>
        <v>0</v>
      </c>
      <c r="Q464" s="156"/>
    </row>
    <row r="465" spans="1:30" ht="12.75" hidden="1" customHeight="1">
      <c r="A465" s="161" t="str">
        <f t="shared" si="105"/>
        <v>29Student Achievement Initiative (variable)</v>
      </c>
      <c r="B465" s="161">
        <f t="shared" si="106"/>
        <v>1</v>
      </c>
      <c r="C465" s="163">
        <v>29</v>
      </c>
      <c r="D465" s="163" t="b">
        <v>1</v>
      </c>
      <c r="E465" s="161" t="s">
        <v>42</v>
      </c>
      <c r="F465" s="161" t="str">
        <f t="shared" si="107"/>
        <v>001</v>
      </c>
      <c r="G465" s="161" t="str">
        <f t="shared" si="111"/>
        <v>BD1</v>
      </c>
      <c r="H465" s="161" t="str">
        <f t="shared" si="108"/>
        <v>BD1</v>
      </c>
      <c r="I465" s="161" t="str">
        <f t="shared" si="109"/>
        <v>001-BD1</v>
      </c>
      <c r="J465" s="162" t="s">
        <v>465</v>
      </c>
      <c r="K465" s="161" t="s">
        <v>273</v>
      </c>
      <c r="L465" s="420">
        <v>136792</v>
      </c>
      <c r="M465" s="420">
        <v>-136792</v>
      </c>
      <c r="N465" s="157" t="str">
        <f t="shared" si="110"/>
        <v>BD1</v>
      </c>
      <c r="O465" s="156">
        <f t="shared" si="103"/>
        <v>0</v>
      </c>
      <c r="Q465" s="156"/>
    </row>
    <row r="466" spans="1:30" ht="12.75" hidden="1" customHeight="1">
      <c r="A466" s="161" t="str">
        <f t="shared" si="105"/>
        <v>19Student Achievement Initiative (variable)</v>
      </c>
      <c r="B466" s="161">
        <f t="shared" si="106"/>
        <v>1</v>
      </c>
      <c r="C466" s="163">
        <v>19</v>
      </c>
      <c r="D466" s="163" t="b">
        <v>1</v>
      </c>
      <c r="E466" s="161" t="s">
        <v>32</v>
      </c>
      <c r="F466" s="161" t="str">
        <f t="shared" si="107"/>
        <v>001</v>
      </c>
      <c r="G466" s="161" t="str">
        <f t="shared" si="111"/>
        <v>BD1</v>
      </c>
      <c r="H466" s="161" t="str">
        <f t="shared" si="108"/>
        <v>BD1</v>
      </c>
      <c r="I466" s="161" t="str">
        <f t="shared" si="109"/>
        <v>001-BD1</v>
      </c>
      <c r="J466" s="162" t="s">
        <v>465</v>
      </c>
      <c r="K466" s="161" t="s">
        <v>273</v>
      </c>
      <c r="L466" s="420">
        <v>153939</v>
      </c>
      <c r="M466" s="420">
        <v>-153939</v>
      </c>
      <c r="N466" s="157" t="str">
        <f t="shared" si="110"/>
        <v>BD1</v>
      </c>
      <c r="O466" s="156">
        <f t="shared" si="103"/>
        <v>0</v>
      </c>
      <c r="Q466" s="156"/>
      <c r="AA466" s="159" t="s">
        <v>438</v>
      </c>
      <c r="AB466" s="157" t="s">
        <v>437</v>
      </c>
      <c r="AC466" s="159" t="s">
        <v>439</v>
      </c>
    </row>
    <row r="467" spans="1:30" ht="12.75" hidden="1" customHeight="1">
      <c r="A467" s="161" t="str">
        <f t="shared" si="105"/>
        <v>23Student Achievement Initiative (variable)</v>
      </c>
      <c r="B467" s="161">
        <f t="shared" si="106"/>
        <v>1</v>
      </c>
      <c r="C467" s="163">
        <v>23</v>
      </c>
      <c r="D467" s="163" t="b">
        <v>1</v>
      </c>
      <c r="E467" s="161" t="s">
        <v>36</v>
      </c>
      <c r="F467" s="161" t="str">
        <f t="shared" si="107"/>
        <v>001</v>
      </c>
      <c r="G467" s="161" t="str">
        <f t="shared" si="111"/>
        <v>BD1</v>
      </c>
      <c r="H467" s="161" t="str">
        <f t="shared" si="108"/>
        <v>BD1</v>
      </c>
      <c r="I467" s="161" t="str">
        <f t="shared" si="109"/>
        <v>001-BD1</v>
      </c>
      <c r="J467" s="162" t="s">
        <v>465</v>
      </c>
      <c r="K467" s="161" t="s">
        <v>273</v>
      </c>
      <c r="L467" s="420">
        <v>170780</v>
      </c>
      <c r="M467" s="420">
        <v>-170780</v>
      </c>
      <c r="N467" s="157" t="str">
        <f t="shared" si="110"/>
        <v>BD1</v>
      </c>
      <c r="O467" s="156">
        <f t="shared" si="103"/>
        <v>0</v>
      </c>
      <c r="Q467" s="156"/>
      <c r="AA467" s="373">
        <v>-14926</v>
      </c>
      <c r="AB467" s="374">
        <v>14870</v>
      </c>
      <c r="AC467" s="366">
        <f>SUM(AA467:AB467)</f>
        <v>-56</v>
      </c>
      <c r="AD467" s="366">
        <f>M467-AC467</f>
        <v>-170724</v>
      </c>
    </row>
    <row r="468" spans="1:30" ht="12.75" hidden="1" customHeight="1">
      <c r="A468" s="161" t="str">
        <f t="shared" si="105"/>
        <v>5Student Achievement Initiative (variable)</v>
      </c>
      <c r="B468" s="161">
        <f t="shared" si="106"/>
        <v>1</v>
      </c>
      <c r="C468" s="163">
        <v>5</v>
      </c>
      <c r="D468" s="163" t="b">
        <v>1</v>
      </c>
      <c r="E468" s="161" t="s">
        <v>18</v>
      </c>
      <c r="F468" s="161" t="str">
        <f t="shared" si="107"/>
        <v>001</v>
      </c>
      <c r="G468" s="161" t="str">
        <f t="shared" si="111"/>
        <v>BD1</v>
      </c>
      <c r="H468" s="161" t="str">
        <f t="shared" si="108"/>
        <v>BD1</v>
      </c>
      <c r="I468" s="161" t="str">
        <f t="shared" si="109"/>
        <v>001-BD1</v>
      </c>
      <c r="J468" s="162" t="s">
        <v>465</v>
      </c>
      <c r="K468" s="161" t="s">
        <v>273</v>
      </c>
      <c r="L468" s="420">
        <v>174460</v>
      </c>
      <c r="M468" s="420">
        <v>-174460</v>
      </c>
      <c r="N468" s="157" t="str">
        <f t="shared" si="110"/>
        <v>BD1</v>
      </c>
      <c r="O468" s="156">
        <f t="shared" si="103"/>
        <v>0</v>
      </c>
      <c r="Q468" s="156"/>
      <c r="AA468" s="373">
        <v>-50917</v>
      </c>
      <c r="AB468" s="374">
        <v>81098</v>
      </c>
      <c r="AC468" s="366">
        <f t="shared" ref="AC468:AC496" si="112">SUM(AA468:AB468)</f>
        <v>30181</v>
      </c>
      <c r="AD468" s="366">
        <f t="shared" ref="AD468:AD496" si="113">M468-AC468</f>
        <v>-204641</v>
      </c>
    </row>
    <row r="469" spans="1:30" ht="12.75" hidden="1" customHeight="1">
      <c r="A469" s="161" t="str">
        <f t="shared" si="105"/>
        <v>2Student Achievement Initiative (variable)</v>
      </c>
      <c r="B469" s="161">
        <f t="shared" si="106"/>
        <v>1</v>
      </c>
      <c r="C469" s="163">
        <v>2</v>
      </c>
      <c r="D469" s="163" t="b">
        <v>1</v>
      </c>
      <c r="E469" s="161" t="s">
        <v>15</v>
      </c>
      <c r="F469" s="161" t="str">
        <f t="shared" si="107"/>
        <v>001</v>
      </c>
      <c r="G469" s="161" t="str">
        <f t="shared" si="111"/>
        <v>BD1</v>
      </c>
      <c r="H469" s="161" t="str">
        <f t="shared" si="108"/>
        <v>BD1</v>
      </c>
      <c r="I469" s="161" t="str">
        <f t="shared" si="109"/>
        <v>001-BD1</v>
      </c>
      <c r="J469" s="162" t="s">
        <v>465</v>
      </c>
      <c r="K469" s="161" t="s">
        <v>273</v>
      </c>
      <c r="L469" s="420">
        <v>108514</v>
      </c>
      <c r="M469" s="420">
        <v>-108514</v>
      </c>
      <c r="N469" s="157" t="str">
        <f t="shared" si="110"/>
        <v>BD1</v>
      </c>
      <c r="O469" s="156">
        <f t="shared" si="103"/>
        <v>0</v>
      </c>
      <c r="Q469" s="156"/>
      <c r="AA469" s="373">
        <v>-10528</v>
      </c>
      <c r="AB469" s="374">
        <v>6380</v>
      </c>
      <c r="AC469" s="366">
        <f t="shared" si="112"/>
        <v>-4148</v>
      </c>
      <c r="AD469" s="366">
        <f t="shared" si="113"/>
        <v>-104366</v>
      </c>
    </row>
    <row r="470" spans="1:30" ht="12.75" hidden="1" customHeight="1">
      <c r="A470" s="161" t="str">
        <f t="shared" si="105"/>
        <v>10Student Achievement Initiative (variable)</v>
      </c>
      <c r="B470" s="161">
        <f t="shared" si="106"/>
        <v>1</v>
      </c>
      <c r="C470" s="163">
        <v>10</v>
      </c>
      <c r="D470" s="163" t="b">
        <v>1</v>
      </c>
      <c r="E470" s="161" t="s">
        <v>23</v>
      </c>
      <c r="F470" s="161" t="str">
        <f t="shared" si="107"/>
        <v>001</v>
      </c>
      <c r="G470" s="161" t="str">
        <f t="shared" si="111"/>
        <v>BD1</v>
      </c>
      <c r="H470" s="161" t="str">
        <f t="shared" si="108"/>
        <v>BD1</v>
      </c>
      <c r="I470" s="161" t="str">
        <f t="shared" si="109"/>
        <v>001-BD1</v>
      </c>
      <c r="J470" s="162" t="s">
        <v>465</v>
      </c>
      <c r="K470" s="161" t="s">
        <v>273</v>
      </c>
      <c r="L470" s="420">
        <v>174035</v>
      </c>
      <c r="M470" s="420">
        <v>-174035</v>
      </c>
      <c r="N470" s="157" t="str">
        <f t="shared" si="110"/>
        <v>BD1</v>
      </c>
      <c r="O470" s="156">
        <f t="shared" si="103"/>
        <v>0</v>
      </c>
      <c r="Q470" s="156"/>
      <c r="AA470" s="373">
        <v>-18344</v>
      </c>
      <c r="AB470" s="374">
        <v>14640</v>
      </c>
      <c r="AC470" s="366">
        <f t="shared" si="112"/>
        <v>-3704</v>
      </c>
      <c r="AD470" s="366">
        <f t="shared" si="113"/>
        <v>-170331</v>
      </c>
    </row>
    <row r="471" spans="1:30" ht="12.75" hidden="1" customHeight="1">
      <c r="A471" s="161" t="str">
        <f t="shared" si="105"/>
        <v>9Student Achievement Initiative (variable)</v>
      </c>
      <c r="B471" s="161">
        <f t="shared" si="106"/>
        <v>1</v>
      </c>
      <c r="C471" s="163">
        <v>9</v>
      </c>
      <c r="D471" s="163" t="b">
        <v>1</v>
      </c>
      <c r="E471" s="161" t="s">
        <v>22</v>
      </c>
      <c r="F471" s="161" t="str">
        <f t="shared" si="107"/>
        <v>001</v>
      </c>
      <c r="G471" s="161" t="str">
        <f t="shared" si="111"/>
        <v>BD1</v>
      </c>
      <c r="H471" s="161" t="str">
        <f t="shared" si="108"/>
        <v>BD1</v>
      </c>
      <c r="I471" s="161" t="str">
        <f t="shared" si="109"/>
        <v>001-BD1</v>
      </c>
      <c r="J471" s="162" t="s">
        <v>465</v>
      </c>
      <c r="K471" s="161" t="s">
        <v>273</v>
      </c>
      <c r="L471" s="420">
        <v>153987</v>
      </c>
      <c r="M471" s="420">
        <v>-153987</v>
      </c>
      <c r="N471" s="157" t="str">
        <f t="shared" si="110"/>
        <v>BD1</v>
      </c>
      <c r="O471" s="156">
        <f t="shared" si="103"/>
        <v>0</v>
      </c>
      <c r="Q471" s="156"/>
      <c r="AA471" s="373">
        <v>-8660</v>
      </c>
      <c r="AB471" s="374">
        <v>13940</v>
      </c>
      <c r="AC471" s="366">
        <f t="shared" si="112"/>
        <v>5280</v>
      </c>
      <c r="AD471" s="366">
        <f t="shared" si="113"/>
        <v>-159267</v>
      </c>
    </row>
    <row r="472" spans="1:30" ht="12.75" hidden="1" customHeight="1">
      <c r="A472" s="161" t="str">
        <f t="shared" si="105"/>
        <v>26Student Achievement Initiative (variable)</v>
      </c>
      <c r="B472" s="161">
        <f t="shared" si="106"/>
        <v>1</v>
      </c>
      <c r="C472" s="163">
        <v>26</v>
      </c>
      <c r="D472" s="163" t="b">
        <v>1</v>
      </c>
      <c r="E472" s="161" t="s">
        <v>39</v>
      </c>
      <c r="F472" s="161" t="str">
        <f t="shared" si="107"/>
        <v>001</v>
      </c>
      <c r="G472" s="161" t="str">
        <f t="shared" si="111"/>
        <v>BD1</v>
      </c>
      <c r="H472" s="161" t="str">
        <f t="shared" si="108"/>
        <v>BD1</v>
      </c>
      <c r="I472" s="161" t="str">
        <f t="shared" si="109"/>
        <v>001-BD1</v>
      </c>
      <c r="J472" s="162" t="s">
        <v>465</v>
      </c>
      <c r="K472" s="161" t="s">
        <v>273</v>
      </c>
      <c r="L472" s="420">
        <v>131728</v>
      </c>
      <c r="M472" s="420">
        <v>-131728</v>
      </c>
      <c r="N472" s="157" t="str">
        <f t="shared" si="110"/>
        <v>BD1</v>
      </c>
      <c r="O472" s="156">
        <f t="shared" si="103"/>
        <v>0</v>
      </c>
      <c r="Q472" s="156"/>
      <c r="AA472" s="373">
        <v>-11145</v>
      </c>
      <c r="AB472" s="374">
        <v>9790</v>
      </c>
      <c r="AC472" s="366">
        <f t="shared" si="112"/>
        <v>-1355</v>
      </c>
      <c r="AD472" s="366">
        <f t="shared" si="113"/>
        <v>-130373</v>
      </c>
    </row>
    <row r="473" spans="1:30" ht="12.75" hidden="1" customHeight="1">
      <c r="A473" s="161" t="str">
        <f t="shared" si="105"/>
        <v>13Student Achievement Initiative (variable)</v>
      </c>
      <c r="B473" s="161">
        <f t="shared" si="106"/>
        <v>1</v>
      </c>
      <c r="C473" s="163">
        <v>13</v>
      </c>
      <c r="D473" s="163" t="b">
        <v>1</v>
      </c>
      <c r="E473" s="161" t="s">
        <v>26</v>
      </c>
      <c r="F473" s="161" t="str">
        <f t="shared" si="107"/>
        <v>001</v>
      </c>
      <c r="G473" s="161" t="str">
        <f t="shared" si="111"/>
        <v>BD1</v>
      </c>
      <c r="H473" s="161" t="str">
        <f t="shared" si="108"/>
        <v>BD1</v>
      </c>
      <c r="I473" s="161" t="str">
        <f t="shared" si="109"/>
        <v>001-BD1</v>
      </c>
      <c r="J473" s="162" t="s">
        <v>465</v>
      </c>
      <c r="K473" s="161" t="s">
        <v>273</v>
      </c>
      <c r="L473" s="420">
        <v>128127</v>
      </c>
      <c r="M473" s="420">
        <v>-128127</v>
      </c>
      <c r="N473" s="157" t="str">
        <f t="shared" si="110"/>
        <v>BD1</v>
      </c>
      <c r="O473" s="156">
        <f t="shared" si="103"/>
        <v>0</v>
      </c>
      <c r="Q473" s="156"/>
      <c r="AA473" s="373">
        <v>-34849</v>
      </c>
      <c r="AB473" s="374">
        <v>46710</v>
      </c>
      <c r="AC473" s="366">
        <f t="shared" si="112"/>
        <v>11861</v>
      </c>
      <c r="AD473" s="366">
        <f t="shared" si="113"/>
        <v>-139988</v>
      </c>
    </row>
    <row r="474" spans="1:30" ht="12.75" hidden="1" customHeight="1">
      <c r="A474" s="161" t="str">
        <f t="shared" si="105"/>
        <v>3Student Achievement Initiative (variable)</v>
      </c>
      <c r="B474" s="161">
        <f t="shared" si="106"/>
        <v>1</v>
      </c>
      <c r="C474" s="163">
        <v>3</v>
      </c>
      <c r="D474" s="163" t="b">
        <v>1</v>
      </c>
      <c r="E474" s="161" t="s">
        <v>16</v>
      </c>
      <c r="F474" s="161" t="str">
        <f t="shared" si="107"/>
        <v>001</v>
      </c>
      <c r="G474" s="161" t="str">
        <f t="shared" si="111"/>
        <v>BD1</v>
      </c>
      <c r="H474" s="161" t="str">
        <f t="shared" si="108"/>
        <v>BD1</v>
      </c>
      <c r="I474" s="161" t="str">
        <f t="shared" si="109"/>
        <v>001-BD1</v>
      </c>
      <c r="J474" s="162" t="s">
        <v>465</v>
      </c>
      <c r="K474" s="161" t="s">
        <v>273</v>
      </c>
      <c r="L474" s="420">
        <v>161666</v>
      </c>
      <c r="M474" s="420">
        <v>-161666</v>
      </c>
      <c r="N474" s="157" t="str">
        <f t="shared" si="110"/>
        <v>BD1</v>
      </c>
      <c r="O474" s="156">
        <f t="shared" si="103"/>
        <v>0</v>
      </c>
      <c r="Q474" s="156"/>
      <c r="AA474" s="373">
        <v>-28973</v>
      </c>
      <c r="AB474" s="374">
        <v>24320</v>
      </c>
      <c r="AC474" s="366">
        <f t="shared" si="112"/>
        <v>-4653</v>
      </c>
      <c r="AD474" s="366">
        <f t="shared" si="113"/>
        <v>-157013</v>
      </c>
    </row>
    <row r="475" spans="1:30" ht="12.75" hidden="1" customHeight="1">
      <c r="A475" s="161" t="str">
        <f t="shared" si="105"/>
        <v>1Student Achievement Initiative (variable)</v>
      </c>
      <c r="B475" s="161">
        <f t="shared" si="106"/>
        <v>1</v>
      </c>
      <c r="C475" s="163">
        <v>1</v>
      </c>
      <c r="D475" s="163" t="b">
        <v>1</v>
      </c>
      <c r="E475" s="161" t="s">
        <v>14</v>
      </c>
      <c r="F475" s="161" t="str">
        <f t="shared" si="107"/>
        <v>001</v>
      </c>
      <c r="G475" s="161" t="str">
        <f t="shared" si="111"/>
        <v>BD1</v>
      </c>
      <c r="H475" s="161" t="str">
        <f t="shared" si="108"/>
        <v>BD1</v>
      </c>
      <c r="I475" s="161" t="str">
        <f t="shared" si="109"/>
        <v>001-BD1</v>
      </c>
      <c r="J475" s="162" t="s">
        <v>465</v>
      </c>
      <c r="K475" s="161" t="s">
        <v>273</v>
      </c>
      <c r="L475" s="420">
        <v>119673</v>
      </c>
      <c r="M475" s="420">
        <v>-119673</v>
      </c>
      <c r="N475" s="157" t="str">
        <f t="shared" si="110"/>
        <v>BD1</v>
      </c>
      <c r="O475" s="156">
        <f t="shared" si="103"/>
        <v>0</v>
      </c>
      <c r="Q475" s="156"/>
      <c r="AA475" s="373">
        <v>-43390</v>
      </c>
      <c r="AB475" s="374">
        <v>44490</v>
      </c>
      <c r="AC475" s="366">
        <f t="shared" si="112"/>
        <v>1100</v>
      </c>
      <c r="AD475" s="366">
        <f t="shared" si="113"/>
        <v>-120773</v>
      </c>
    </row>
    <row r="476" spans="1:30" ht="12.75" hidden="1" customHeight="1">
      <c r="A476" s="161" t="str">
        <f t="shared" si="105"/>
        <v>11Student Achievement Initiative (variable)</v>
      </c>
      <c r="B476" s="161">
        <f t="shared" si="106"/>
        <v>1</v>
      </c>
      <c r="C476" s="163">
        <v>11</v>
      </c>
      <c r="D476" s="163" t="b">
        <v>1</v>
      </c>
      <c r="E476" s="161" t="s">
        <v>24</v>
      </c>
      <c r="F476" s="161" t="str">
        <f t="shared" si="107"/>
        <v>001</v>
      </c>
      <c r="G476" s="161" t="str">
        <f t="shared" si="111"/>
        <v>BD1</v>
      </c>
      <c r="H476" s="161" t="str">
        <f t="shared" si="108"/>
        <v>BD1</v>
      </c>
      <c r="I476" s="161" t="str">
        <f t="shared" si="109"/>
        <v>001-BD1</v>
      </c>
      <c r="J476" s="162" t="s">
        <v>465</v>
      </c>
      <c r="K476" s="161" t="s">
        <v>273</v>
      </c>
      <c r="L476" s="420">
        <v>201877</v>
      </c>
      <c r="M476" s="420">
        <v>-201877</v>
      </c>
      <c r="N476" s="157" t="str">
        <f t="shared" si="110"/>
        <v>BD1</v>
      </c>
      <c r="O476" s="156">
        <f t="shared" si="103"/>
        <v>0</v>
      </c>
      <c r="Q476" s="156"/>
      <c r="AA476" s="373">
        <v>-44088</v>
      </c>
      <c r="AB476" s="374">
        <v>47450</v>
      </c>
      <c r="AC476" s="366">
        <f t="shared" si="112"/>
        <v>3362</v>
      </c>
      <c r="AD476" s="366">
        <f t="shared" si="113"/>
        <v>-205239</v>
      </c>
    </row>
    <row r="477" spans="1:30" ht="12.75" hidden="1" customHeight="1">
      <c r="A477" s="161" t="str">
        <f t="shared" si="105"/>
        <v>27Student Achievement Initiative (variable)</v>
      </c>
      <c r="B477" s="161">
        <f t="shared" si="106"/>
        <v>1</v>
      </c>
      <c r="C477" s="163">
        <v>27</v>
      </c>
      <c r="D477" s="163" t="b">
        <v>1</v>
      </c>
      <c r="E477" s="161" t="s">
        <v>40</v>
      </c>
      <c r="F477" s="161" t="str">
        <f t="shared" si="107"/>
        <v>001</v>
      </c>
      <c r="G477" s="161" t="str">
        <f t="shared" si="111"/>
        <v>BD1</v>
      </c>
      <c r="H477" s="161" t="str">
        <f t="shared" si="108"/>
        <v>BD1</v>
      </c>
      <c r="I477" s="161" t="str">
        <f t="shared" si="109"/>
        <v>001-BD1</v>
      </c>
      <c r="J477" s="162" t="s">
        <v>465</v>
      </c>
      <c r="K477" s="161" t="s">
        <v>273</v>
      </c>
      <c r="L477" s="420">
        <v>125550</v>
      </c>
      <c r="M477" s="420">
        <v>-125550</v>
      </c>
      <c r="N477" s="157" t="str">
        <f t="shared" si="110"/>
        <v>BD1</v>
      </c>
      <c r="O477" s="156">
        <f t="shared" si="103"/>
        <v>0</v>
      </c>
      <c r="Q477" s="156"/>
      <c r="AA477" s="373">
        <v>-26868</v>
      </c>
      <c r="AB477" s="374">
        <v>36160</v>
      </c>
      <c r="AC477" s="366">
        <f t="shared" si="112"/>
        <v>9292</v>
      </c>
      <c r="AD477" s="366">
        <f t="shared" si="113"/>
        <v>-134842</v>
      </c>
    </row>
    <row r="478" spans="1:30" ht="12.75" hidden="1" customHeight="1">
      <c r="A478" s="161" t="str">
        <f t="shared" si="105"/>
        <v>7Student Achievement Initiative (variable)</v>
      </c>
      <c r="B478" s="161">
        <f t="shared" si="106"/>
        <v>1</v>
      </c>
      <c r="C478" s="163">
        <v>7</v>
      </c>
      <c r="D478" s="163" t="b">
        <v>1</v>
      </c>
      <c r="E478" s="161" t="s">
        <v>20</v>
      </c>
      <c r="F478" s="161" t="str">
        <f t="shared" si="107"/>
        <v>001</v>
      </c>
      <c r="G478" s="161" t="str">
        <f t="shared" si="111"/>
        <v>BD1</v>
      </c>
      <c r="H478" s="161" t="str">
        <f t="shared" si="108"/>
        <v>BD1</v>
      </c>
      <c r="I478" s="161" t="str">
        <f t="shared" si="109"/>
        <v>001-BD1</v>
      </c>
      <c r="J478" s="162" t="s">
        <v>465</v>
      </c>
      <c r="K478" s="161" t="s">
        <v>273</v>
      </c>
      <c r="L478" s="420">
        <v>125581</v>
      </c>
      <c r="M478" s="420">
        <v>-125581</v>
      </c>
      <c r="N478" s="157" t="str">
        <f t="shared" si="110"/>
        <v>BD1</v>
      </c>
      <c r="O478" s="156">
        <f t="shared" si="103"/>
        <v>0</v>
      </c>
      <c r="Q478" s="156"/>
      <c r="AA478" s="373">
        <v>-10727</v>
      </c>
      <c r="AB478" s="374">
        <v>7230</v>
      </c>
      <c r="AC478" s="366">
        <f t="shared" si="112"/>
        <v>-3497</v>
      </c>
      <c r="AD478" s="366">
        <f t="shared" si="113"/>
        <v>-122084</v>
      </c>
    </row>
    <row r="479" spans="1:30" ht="12.75" hidden="1" customHeight="1">
      <c r="A479" s="161" t="str">
        <f t="shared" si="105"/>
        <v>4Student Achievement Initiative (variable)</v>
      </c>
      <c r="B479" s="161">
        <f t="shared" si="106"/>
        <v>1</v>
      </c>
      <c r="C479" s="163">
        <v>4</v>
      </c>
      <c r="D479" s="163" t="b">
        <v>1</v>
      </c>
      <c r="E479" s="161" t="s">
        <v>17</v>
      </c>
      <c r="F479" s="161" t="str">
        <f t="shared" si="107"/>
        <v>001</v>
      </c>
      <c r="G479" s="161" t="str">
        <f t="shared" si="111"/>
        <v>BD1</v>
      </c>
      <c r="H479" s="161" t="str">
        <f t="shared" si="108"/>
        <v>BD1</v>
      </c>
      <c r="I479" s="161" t="str">
        <f t="shared" si="109"/>
        <v>001-BD1</v>
      </c>
      <c r="J479" s="162" t="s">
        <v>465</v>
      </c>
      <c r="K479" s="161" t="s">
        <v>273</v>
      </c>
      <c r="L479" s="420">
        <v>129848</v>
      </c>
      <c r="M479" s="420">
        <v>-129848</v>
      </c>
      <c r="N479" s="157" t="str">
        <f t="shared" si="110"/>
        <v>BD1</v>
      </c>
      <c r="O479" s="156">
        <f t="shared" si="103"/>
        <v>0</v>
      </c>
      <c r="Q479" s="156"/>
      <c r="AA479" s="373">
        <v>-30224</v>
      </c>
      <c r="AB479" s="374">
        <v>39940</v>
      </c>
      <c r="AC479" s="366">
        <f t="shared" si="112"/>
        <v>9716</v>
      </c>
      <c r="AD479" s="366">
        <f t="shared" si="113"/>
        <v>-139564</v>
      </c>
    </row>
    <row r="480" spans="1:30" ht="12.75" hidden="1" customHeight="1">
      <c r="A480" s="161" t="str">
        <f t="shared" si="105"/>
        <v>24Student Achievement Initiative (variable)</v>
      </c>
      <c r="B480" s="161">
        <f t="shared" si="106"/>
        <v>1</v>
      </c>
      <c r="C480" s="163">
        <v>24</v>
      </c>
      <c r="D480" s="163" t="b">
        <v>1</v>
      </c>
      <c r="E480" s="161" t="s">
        <v>37</v>
      </c>
      <c r="F480" s="161" t="str">
        <f t="shared" si="107"/>
        <v>001</v>
      </c>
      <c r="G480" s="161" t="str">
        <f t="shared" si="111"/>
        <v>BD1</v>
      </c>
      <c r="H480" s="161" t="str">
        <f t="shared" si="108"/>
        <v>BD1</v>
      </c>
      <c r="I480" s="161" t="str">
        <f t="shared" si="109"/>
        <v>001-BD1</v>
      </c>
      <c r="J480" s="162" t="s">
        <v>465</v>
      </c>
      <c r="K480" s="161" t="s">
        <v>273</v>
      </c>
      <c r="L480" s="420">
        <v>135940</v>
      </c>
      <c r="M480" s="420">
        <v>-135940</v>
      </c>
      <c r="N480" s="157" t="str">
        <f t="shared" si="110"/>
        <v>BD1</v>
      </c>
      <c r="O480" s="156">
        <f t="shared" si="103"/>
        <v>0</v>
      </c>
      <c r="Q480" s="156"/>
      <c r="AA480" s="373">
        <v>-70114</v>
      </c>
      <c r="AB480" s="374">
        <v>81260</v>
      </c>
      <c r="AC480" s="366">
        <f t="shared" si="112"/>
        <v>11146</v>
      </c>
      <c r="AD480" s="366">
        <f t="shared" si="113"/>
        <v>-147086</v>
      </c>
    </row>
    <row r="481" spans="1:30" ht="12.75" hidden="1" customHeight="1">
      <c r="A481" s="161" t="str">
        <f t="shared" si="105"/>
        <v>17Student Achievement Initiative (variable)</v>
      </c>
      <c r="B481" s="161">
        <f t="shared" si="106"/>
        <v>1</v>
      </c>
      <c r="C481" s="163">
        <v>17</v>
      </c>
      <c r="D481" s="163" t="b">
        <v>1</v>
      </c>
      <c r="E481" s="161" t="s">
        <v>30</v>
      </c>
      <c r="F481" s="161" t="str">
        <f t="shared" si="107"/>
        <v>001</v>
      </c>
      <c r="G481" s="161" t="str">
        <f t="shared" si="111"/>
        <v>BD1</v>
      </c>
      <c r="H481" s="161" t="str">
        <f t="shared" si="108"/>
        <v>BD1</v>
      </c>
      <c r="I481" s="161" t="str">
        <f t="shared" si="109"/>
        <v>001-BD1</v>
      </c>
      <c r="J481" s="162" t="s">
        <v>465</v>
      </c>
      <c r="K481" s="161" t="s">
        <v>273</v>
      </c>
      <c r="L481" s="420">
        <v>307027</v>
      </c>
      <c r="M481" s="420">
        <v>-307027</v>
      </c>
      <c r="N481" s="157" t="str">
        <f t="shared" si="110"/>
        <v>BD1</v>
      </c>
      <c r="O481" s="156">
        <f t="shared" si="103"/>
        <v>0</v>
      </c>
      <c r="Q481" s="156"/>
      <c r="AA481" s="373">
        <v>-25509</v>
      </c>
      <c r="AB481" s="374">
        <v>19410</v>
      </c>
      <c r="AC481" s="366">
        <f t="shared" si="112"/>
        <v>-6099</v>
      </c>
      <c r="AD481" s="366">
        <f t="shared" si="113"/>
        <v>-300928</v>
      </c>
    </row>
    <row r="482" spans="1:30" ht="12.75" hidden="1" customHeight="1">
      <c r="A482" s="161" t="str">
        <f t="shared" si="105"/>
        <v>22Student Achievement Initiative (variable)</v>
      </c>
      <c r="B482" s="161">
        <f t="shared" si="106"/>
        <v>1</v>
      </c>
      <c r="C482" s="163">
        <v>22</v>
      </c>
      <c r="D482" s="163" t="b">
        <v>1</v>
      </c>
      <c r="E482" s="161" t="s">
        <v>35</v>
      </c>
      <c r="F482" s="161" t="str">
        <f t="shared" si="107"/>
        <v>001</v>
      </c>
      <c r="G482" s="161" t="str">
        <f t="shared" si="111"/>
        <v>BD1</v>
      </c>
      <c r="H482" s="161" t="str">
        <f t="shared" si="108"/>
        <v>BD1</v>
      </c>
      <c r="I482" s="161" t="str">
        <f t="shared" si="109"/>
        <v>001-BD1</v>
      </c>
      <c r="J482" s="162" t="s">
        <v>465</v>
      </c>
      <c r="K482" s="161" t="s">
        <v>273</v>
      </c>
      <c r="L482" s="420">
        <v>185076</v>
      </c>
      <c r="M482" s="420">
        <v>-185076</v>
      </c>
      <c r="N482" s="157" t="str">
        <f t="shared" si="110"/>
        <v>BD1</v>
      </c>
      <c r="O482" s="156">
        <f t="shared" ref="O482:O517" si="114">SUM(L482:M482)</f>
        <v>0</v>
      </c>
      <c r="Q482" s="156"/>
      <c r="AA482" s="373">
        <v>-8415</v>
      </c>
      <c r="AB482" s="374">
        <v>11330</v>
      </c>
      <c r="AC482" s="366">
        <f t="shared" si="112"/>
        <v>2915</v>
      </c>
      <c r="AD482" s="366">
        <f t="shared" si="113"/>
        <v>-187991</v>
      </c>
    </row>
    <row r="483" spans="1:30" ht="12.75" hidden="1" customHeight="1">
      <c r="A483" s="161" t="str">
        <f t="shared" si="105"/>
        <v>20Student Achievement Initiative (variable)</v>
      </c>
      <c r="B483" s="161">
        <f t="shared" si="106"/>
        <v>1</v>
      </c>
      <c r="C483" s="163">
        <v>20</v>
      </c>
      <c r="D483" s="163" t="b">
        <v>1</v>
      </c>
      <c r="E483" s="161" t="s">
        <v>33</v>
      </c>
      <c r="F483" s="161" t="str">
        <f t="shared" si="107"/>
        <v>001</v>
      </c>
      <c r="G483" s="161" t="str">
        <f t="shared" si="111"/>
        <v>BD1</v>
      </c>
      <c r="H483" s="161" t="str">
        <f t="shared" si="108"/>
        <v>BD1</v>
      </c>
      <c r="I483" s="161" t="str">
        <f t="shared" si="109"/>
        <v>001-BD1</v>
      </c>
      <c r="J483" s="162" t="s">
        <v>465</v>
      </c>
      <c r="K483" s="161" t="s">
        <v>273</v>
      </c>
      <c r="L483" s="420">
        <v>110757</v>
      </c>
      <c r="M483" s="420">
        <v>-110757</v>
      </c>
      <c r="N483" s="157" t="str">
        <f t="shared" si="110"/>
        <v>BD1</v>
      </c>
      <c r="O483" s="156">
        <f t="shared" si="114"/>
        <v>0</v>
      </c>
      <c r="Q483" s="156"/>
      <c r="AA483" s="373">
        <v>-27594</v>
      </c>
      <c r="AB483" s="374">
        <v>31610</v>
      </c>
      <c r="AC483" s="366">
        <f t="shared" si="112"/>
        <v>4016</v>
      </c>
      <c r="AD483" s="366">
        <f t="shared" si="113"/>
        <v>-114773</v>
      </c>
    </row>
    <row r="484" spans="1:30" ht="12.75" hidden="1" customHeight="1">
      <c r="A484" s="161" t="str">
        <f t="shared" si="105"/>
        <v>15Student Achievement Initiative (variable)</v>
      </c>
      <c r="B484" s="161">
        <f t="shared" si="106"/>
        <v>1</v>
      </c>
      <c r="C484" s="163">
        <v>15</v>
      </c>
      <c r="D484" s="163" t="b">
        <v>1</v>
      </c>
      <c r="E484" s="161" t="s">
        <v>28</v>
      </c>
      <c r="F484" s="161" t="str">
        <f t="shared" si="107"/>
        <v>001</v>
      </c>
      <c r="G484" s="161" t="str">
        <f t="shared" si="111"/>
        <v>BD1</v>
      </c>
      <c r="H484" s="161" t="str">
        <f t="shared" si="108"/>
        <v>BD1</v>
      </c>
      <c r="I484" s="161" t="str">
        <f t="shared" si="109"/>
        <v>001-BD1</v>
      </c>
      <c r="J484" s="162" t="s">
        <v>465</v>
      </c>
      <c r="K484" s="161" t="s">
        <v>273</v>
      </c>
      <c r="L484" s="420">
        <v>115435</v>
      </c>
      <c r="M484" s="420">
        <v>-115435</v>
      </c>
      <c r="N484" s="157" t="str">
        <f t="shared" si="110"/>
        <v>BD1</v>
      </c>
      <c r="O484" s="156">
        <f t="shared" si="114"/>
        <v>0</v>
      </c>
      <c r="Q484" s="156"/>
      <c r="AA484" s="373">
        <v>-7799</v>
      </c>
      <c r="AB484" s="374">
        <v>7790</v>
      </c>
      <c r="AC484" s="366">
        <f t="shared" si="112"/>
        <v>-9</v>
      </c>
      <c r="AD484" s="366">
        <f t="shared" si="113"/>
        <v>-115426</v>
      </c>
    </row>
    <row r="485" spans="1:30" ht="12.75" hidden="1" customHeight="1">
      <c r="A485" s="161" t="str">
        <f t="shared" si="105"/>
        <v>21Student Achievement Initiative (variable)</v>
      </c>
      <c r="B485" s="161">
        <f t="shared" si="106"/>
        <v>1</v>
      </c>
      <c r="C485" s="163">
        <v>21</v>
      </c>
      <c r="D485" s="163" t="b">
        <v>1</v>
      </c>
      <c r="E485" s="161" t="s">
        <v>34</v>
      </c>
      <c r="F485" s="161" t="str">
        <f t="shared" si="107"/>
        <v>001</v>
      </c>
      <c r="G485" s="161" t="str">
        <f t="shared" si="111"/>
        <v>BD1</v>
      </c>
      <c r="H485" s="161" t="str">
        <f t="shared" si="108"/>
        <v>BD1</v>
      </c>
      <c r="I485" s="161" t="str">
        <f t="shared" si="109"/>
        <v>001-BD1</v>
      </c>
      <c r="J485" s="162" t="s">
        <v>465</v>
      </c>
      <c r="K485" s="161" t="s">
        <v>273</v>
      </c>
      <c r="L485" s="420">
        <v>134364</v>
      </c>
      <c r="M485" s="420">
        <v>-134364</v>
      </c>
      <c r="N485" s="157" t="str">
        <f t="shared" si="110"/>
        <v>BD1</v>
      </c>
      <c r="O485" s="156">
        <f t="shared" si="114"/>
        <v>0</v>
      </c>
      <c r="Q485" s="156"/>
      <c r="AA485" s="373">
        <v>-42021</v>
      </c>
      <c r="AB485" s="374">
        <v>46000</v>
      </c>
      <c r="AC485" s="366">
        <f t="shared" si="112"/>
        <v>3979</v>
      </c>
      <c r="AD485" s="366">
        <f t="shared" si="113"/>
        <v>-138343</v>
      </c>
    </row>
    <row r="486" spans="1:30" ht="12.75" hidden="1" customHeight="1">
      <c r="A486" s="161" t="str">
        <f t="shared" si="105"/>
        <v>16Student Achievement Initiative (variable)</v>
      </c>
      <c r="B486" s="161">
        <f t="shared" si="106"/>
        <v>1</v>
      </c>
      <c r="C486" s="163">
        <v>16</v>
      </c>
      <c r="D486" s="163" t="b">
        <v>1</v>
      </c>
      <c r="E486" s="161" t="s">
        <v>29</v>
      </c>
      <c r="F486" s="161" t="str">
        <f t="shared" si="107"/>
        <v>001</v>
      </c>
      <c r="G486" s="161" t="str">
        <f t="shared" si="111"/>
        <v>BD1</v>
      </c>
      <c r="H486" s="161" t="str">
        <f t="shared" si="108"/>
        <v>BD1</v>
      </c>
      <c r="I486" s="161" t="str">
        <f t="shared" si="109"/>
        <v>001-BD1</v>
      </c>
      <c r="J486" s="162" t="s">
        <v>465</v>
      </c>
      <c r="K486" s="161" t="s">
        <v>273</v>
      </c>
      <c r="L486" s="420">
        <v>153773</v>
      </c>
      <c r="M486" s="420">
        <v>-153773</v>
      </c>
      <c r="N486" s="157" t="str">
        <f t="shared" si="110"/>
        <v>BD1</v>
      </c>
      <c r="O486" s="156">
        <f t="shared" si="114"/>
        <v>0</v>
      </c>
      <c r="Q486" s="156"/>
      <c r="AA486" s="373">
        <v>-46900</v>
      </c>
      <c r="AB486" s="374">
        <v>34580</v>
      </c>
      <c r="AC486" s="366">
        <f t="shared" si="112"/>
        <v>-12320</v>
      </c>
      <c r="AD486" s="366">
        <f t="shared" si="113"/>
        <v>-141453</v>
      </c>
    </row>
    <row r="487" spans="1:30" ht="12.75" hidden="1" customHeight="1">
      <c r="A487" s="161" t="str">
        <f t="shared" si="105"/>
        <v>6Student Achievement Initiative (variable)</v>
      </c>
      <c r="B487" s="161">
        <f t="shared" si="106"/>
        <v>1</v>
      </c>
      <c r="C487" s="163">
        <v>6</v>
      </c>
      <c r="D487" s="163" t="b">
        <v>1</v>
      </c>
      <c r="E487" s="161" t="s">
        <v>19</v>
      </c>
      <c r="F487" s="161" t="str">
        <f t="shared" si="107"/>
        <v>001</v>
      </c>
      <c r="G487" s="161" t="str">
        <f t="shared" si="111"/>
        <v>BD1</v>
      </c>
      <c r="H487" s="161" t="str">
        <f t="shared" si="108"/>
        <v>BD1</v>
      </c>
      <c r="I487" s="161" t="str">
        <f t="shared" si="109"/>
        <v>001-BD1</v>
      </c>
      <c r="J487" s="162" t="s">
        <v>465</v>
      </c>
      <c r="K487" s="161" t="s">
        <v>273</v>
      </c>
      <c r="L487" s="420">
        <v>381354</v>
      </c>
      <c r="M487" s="420">
        <v>-381354</v>
      </c>
      <c r="N487" s="157" t="str">
        <f t="shared" si="110"/>
        <v>BD1</v>
      </c>
      <c r="O487" s="156">
        <f t="shared" si="114"/>
        <v>0</v>
      </c>
      <c r="Q487" s="156"/>
      <c r="AA487" s="373">
        <v>-180554</v>
      </c>
      <c r="AB487" s="374">
        <v>129590</v>
      </c>
      <c r="AC487" s="366">
        <f t="shared" si="112"/>
        <v>-50964</v>
      </c>
      <c r="AD487" s="366">
        <f t="shared" si="113"/>
        <v>-330390</v>
      </c>
    </row>
    <row r="488" spans="1:30" ht="12.75" hidden="1" customHeight="1">
      <c r="A488" s="161" t="str">
        <f t="shared" si="105"/>
        <v>28Students of Color</v>
      </c>
      <c r="B488" s="161">
        <f t="shared" si="106"/>
        <v>1</v>
      </c>
      <c r="C488" s="163">
        <v>28</v>
      </c>
      <c r="D488" s="163" t="b">
        <v>1</v>
      </c>
      <c r="E488" s="161" t="s">
        <v>41</v>
      </c>
      <c r="F488" s="161" t="str">
        <f t="shared" si="107"/>
        <v>001</v>
      </c>
      <c r="G488" s="385">
        <v>101</v>
      </c>
      <c r="H488" s="161" t="str">
        <f t="shared" si="108"/>
        <v>011</v>
      </c>
      <c r="I488" s="161" t="str">
        <f t="shared" si="109"/>
        <v>001-011</v>
      </c>
      <c r="J488" s="162" t="s">
        <v>491</v>
      </c>
      <c r="K488" s="161" t="s">
        <v>6</v>
      </c>
      <c r="L488" s="418">
        <v>14926</v>
      </c>
      <c r="M488" s="420">
        <v>-56</v>
      </c>
      <c r="N488" s="157">
        <f t="shared" si="110"/>
        <v>101</v>
      </c>
      <c r="O488" s="156">
        <f t="shared" si="114"/>
        <v>14870</v>
      </c>
      <c r="Q488" s="156"/>
      <c r="AA488" s="373">
        <v>-37777</v>
      </c>
      <c r="AB488" s="374">
        <v>30290</v>
      </c>
      <c r="AC488" s="366">
        <f t="shared" si="112"/>
        <v>-7487</v>
      </c>
      <c r="AD488" s="366">
        <f t="shared" si="113"/>
        <v>7431</v>
      </c>
    </row>
    <row r="489" spans="1:30" ht="12.75" hidden="1" customHeight="1">
      <c r="A489" s="161" t="str">
        <f t="shared" si="105"/>
        <v>8Students of Color</v>
      </c>
      <c r="B489" s="161">
        <f t="shared" si="106"/>
        <v>1</v>
      </c>
      <c r="C489" s="163">
        <v>8</v>
      </c>
      <c r="D489" s="163" t="b">
        <v>1</v>
      </c>
      <c r="E489" s="161" t="s">
        <v>21</v>
      </c>
      <c r="F489" s="161" t="str">
        <f t="shared" si="107"/>
        <v>001</v>
      </c>
      <c r="G489" s="385">
        <v>101</v>
      </c>
      <c r="H489" s="161" t="str">
        <f t="shared" si="108"/>
        <v>011</v>
      </c>
      <c r="I489" s="161" t="str">
        <f t="shared" si="109"/>
        <v>001-011</v>
      </c>
      <c r="J489" s="162" t="s">
        <v>491</v>
      </c>
      <c r="K489" s="161" t="s">
        <v>6</v>
      </c>
      <c r="L489" s="418">
        <v>50917</v>
      </c>
      <c r="M489" s="420">
        <v>30181</v>
      </c>
      <c r="N489" s="157">
        <f t="shared" si="110"/>
        <v>101</v>
      </c>
      <c r="O489" s="156">
        <f t="shared" si="114"/>
        <v>81098</v>
      </c>
      <c r="Q489" s="156"/>
      <c r="AA489" s="373">
        <v>-26343</v>
      </c>
      <c r="AB489" s="374">
        <v>23920</v>
      </c>
      <c r="AC489" s="366">
        <f t="shared" si="112"/>
        <v>-2423</v>
      </c>
      <c r="AD489" s="366">
        <f t="shared" si="113"/>
        <v>32604</v>
      </c>
    </row>
    <row r="490" spans="1:30" ht="12.75" hidden="1" customHeight="1">
      <c r="A490" s="161" t="str">
        <f t="shared" si="105"/>
        <v>25Students of Color</v>
      </c>
      <c r="B490" s="161">
        <f t="shared" si="106"/>
        <v>1</v>
      </c>
      <c r="C490" s="163">
        <v>25</v>
      </c>
      <c r="D490" s="163" t="b">
        <v>1</v>
      </c>
      <c r="E490" s="161" t="s">
        <v>38</v>
      </c>
      <c r="F490" s="161" t="str">
        <f t="shared" si="107"/>
        <v>001</v>
      </c>
      <c r="G490" s="385">
        <v>101</v>
      </c>
      <c r="H490" s="161" t="str">
        <f t="shared" si="108"/>
        <v>011</v>
      </c>
      <c r="I490" s="161" t="str">
        <f t="shared" si="109"/>
        <v>001-011</v>
      </c>
      <c r="J490" s="162" t="s">
        <v>491</v>
      </c>
      <c r="K490" s="161" t="s">
        <v>6</v>
      </c>
      <c r="L490" s="418">
        <v>10528</v>
      </c>
      <c r="M490" s="420">
        <v>-4148</v>
      </c>
      <c r="N490" s="157">
        <f t="shared" si="110"/>
        <v>101</v>
      </c>
      <c r="O490" s="156">
        <f t="shared" si="114"/>
        <v>6380</v>
      </c>
      <c r="Q490" s="156"/>
      <c r="AA490" s="373">
        <v>-17646</v>
      </c>
      <c r="AB490" s="374">
        <v>20970</v>
      </c>
      <c r="AC490" s="366">
        <f t="shared" si="112"/>
        <v>3324</v>
      </c>
      <c r="AD490" s="366">
        <f t="shared" si="113"/>
        <v>-7472</v>
      </c>
    </row>
    <row r="491" spans="1:30" ht="12.75" hidden="1" customHeight="1">
      <c r="A491" s="161" t="str">
        <f t="shared" ref="A491:A554" si="115">C491&amp;K491</f>
        <v>18Students of Color</v>
      </c>
      <c r="B491" s="161">
        <f t="shared" si="106"/>
        <v>1</v>
      </c>
      <c r="C491" s="163">
        <v>18</v>
      </c>
      <c r="D491" s="163" t="b">
        <v>1</v>
      </c>
      <c r="E491" s="161" t="s">
        <v>31</v>
      </c>
      <c r="F491" s="161" t="str">
        <f t="shared" si="107"/>
        <v>001</v>
      </c>
      <c r="G491" s="385">
        <v>101</v>
      </c>
      <c r="H491" s="161" t="str">
        <f t="shared" si="108"/>
        <v>011</v>
      </c>
      <c r="I491" s="161" t="str">
        <f t="shared" si="109"/>
        <v>001-011</v>
      </c>
      <c r="J491" s="162" t="s">
        <v>491</v>
      </c>
      <c r="K491" s="161" t="s">
        <v>6</v>
      </c>
      <c r="L491" s="418">
        <v>18344</v>
      </c>
      <c r="M491" s="420">
        <v>-3704</v>
      </c>
      <c r="N491" s="157">
        <f t="shared" si="110"/>
        <v>101</v>
      </c>
      <c r="O491" s="156">
        <f t="shared" si="114"/>
        <v>14640</v>
      </c>
      <c r="Q491" s="156"/>
      <c r="AA491" s="373">
        <v>-44569</v>
      </c>
      <c r="AB491" s="374">
        <v>46480</v>
      </c>
      <c r="AC491" s="366">
        <f t="shared" si="112"/>
        <v>1911</v>
      </c>
      <c r="AD491" s="366">
        <f t="shared" si="113"/>
        <v>-5615</v>
      </c>
    </row>
    <row r="492" spans="1:30" ht="12.75" hidden="1" customHeight="1">
      <c r="A492" s="161" t="str">
        <f t="shared" si="115"/>
        <v>30Students of Color</v>
      </c>
      <c r="B492" s="161">
        <f t="shared" ref="B492:B555" si="116">B491</f>
        <v>1</v>
      </c>
      <c r="C492" s="163">
        <v>30</v>
      </c>
      <c r="D492" s="163" t="b">
        <v>1</v>
      </c>
      <c r="E492" s="161" t="s">
        <v>43</v>
      </c>
      <c r="F492" s="161" t="str">
        <f t="shared" si="107"/>
        <v>001</v>
      </c>
      <c r="G492" s="385">
        <v>101</v>
      </c>
      <c r="H492" s="161" t="str">
        <f t="shared" si="108"/>
        <v>011</v>
      </c>
      <c r="I492" s="161" t="str">
        <f t="shared" si="109"/>
        <v>001-011</v>
      </c>
      <c r="J492" s="162" t="s">
        <v>491</v>
      </c>
      <c r="K492" s="161" t="s">
        <v>6</v>
      </c>
      <c r="L492" s="418">
        <v>8660</v>
      </c>
      <c r="M492" s="420">
        <v>5280</v>
      </c>
      <c r="N492" s="157">
        <f t="shared" si="110"/>
        <v>101</v>
      </c>
      <c r="O492" s="156">
        <f t="shared" si="114"/>
        <v>13940</v>
      </c>
      <c r="Q492" s="156"/>
      <c r="AA492" s="373">
        <v>-37678</v>
      </c>
      <c r="AB492" s="374">
        <v>38710</v>
      </c>
      <c r="AC492" s="366">
        <f t="shared" si="112"/>
        <v>1032</v>
      </c>
      <c r="AD492" s="366">
        <f t="shared" si="113"/>
        <v>4248</v>
      </c>
    </row>
    <row r="493" spans="1:30" ht="12.75" hidden="1" customHeight="1">
      <c r="A493" s="161" t="str">
        <f t="shared" si="115"/>
        <v>12Students of Color</v>
      </c>
      <c r="B493" s="161">
        <f t="shared" si="116"/>
        <v>1</v>
      </c>
      <c r="C493" s="163">
        <v>12</v>
      </c>
      <c r="D493" s="163" t="b">
        <v>1</v>
      </c>
      <c r="E493" s="161" t="s">
        <v>25</v>
      </c>
      <c r="F493" s="161" t="str">
        <f t="shared" si="107"/>
        <v>001</v>
      </c>
      <c r="G493" s="385">
        <v>101</v>
      </c>
      <c r="H493" s="161" t="str">
        <f t="shared" si="108"/>
        <v>011</v>
      </c>
      <c r="I493" s="161" t="str">
        <f t="shared" si="109"/>
        <v>001-011</v>
      </c>
      <c r="J493" s="162" t="s">
        <v>491</v>
      </c>
      <c r="K493" s="161" t="s">
        <v>6</v>
      </c>
      <c r="L493" s="418">
        <v>11145</v>
      </c>
      <c r="M493" s="420">
        <v>-1355</v>
      </c>
      <c r="N493" s="157">
        <f t="shared" si="110"/>
        <v>101</v>
      </c>
      <c r="O493" s="156">
        <f t="shared" si="114"/>
        <v>9790</v>
      </c>
      <c r="Q493" s="156"/>
      <c r="AA493" s="373">
        <v>-16911</v>
      </c>
      <c r="AB493" s="374">
        <v>16260</v>
      </c>
      <c r="AC493" s="366">
        <f t="shared" si="112"/>
        <v>-651</v>
      </c>
      <c r="AD493" s="366">
        <f>M493-AC493</f>
        <v>-704</v>
      </c>
    </row>
    <row r="494" spans="1:30" ht="12.75" hidden="1" customHeight="1">
      <c r="A494" s="161" t="str">
        <f t="shared" si="115"/>
        <v>14Students of Color</v>
      </c>
      <c r="B494" s="161">
        <f t="shared" si="116"/>
        <v>1</v>
      </c>
      <c r="C494" s="163">
        <v>14</v>
      </c>
      <c r="D494" s="163" t="b">
        <v>1</v>
      </c>
      <c r="E494" s="161" t="s">
        <v>27</v>
      </c>
      <c r="F494" s="161" t="str">
        <f t="shared" si="107"/>
        <v>001</v>
      </c>
      <c r="G494" s="385">
        <v>101</v>
      </c>
      <c r="H494" s="161" t="str">
        <f t="shared" si="108"/>
        <v>011</v>
      </c>
      <c r="I494" s="161" t="str">
        <f t="shared" si="109"/>
        <v>001-011</v>
      </c>
      <c r="J494" s="162" t="s">
        <v>491</v>
      </c>
      <c r="K494" s="161" t="s">
        <v>6</v>
      </c>
      <c r="L494" s="418">
        <v>34849</v>
      </c>
      <c r="M494" s="420">
        <v>11861</v>
      </c>
      <c r="N494" s="157">
        <f t="shared" si="110"/>
        <v>101</v>
      </c>
      <c r="O494" s="156">
        <f t="shared" si="114"/>
        <v>46710</v>
      </c>
      <c r="Q494" s="156"/>
      <c r="AA494" s="373">
        <v>-20856</v>
      </c>
      <c r="AB494" s="374">
        <v>25360</v>
      </c>
      <c r="AC494" s="366">
        <f t="shared" si="112"/>
        <v>4504</v>
      </c>
      <c r="AD494" s="366">
        <f t="shared" si="113"/>
        <v>7357</v>
      </c>
    </row>
    <row r="495" spans="1:30" ht="12.75" hidden="1" customHeight="1">
      <c r="A495" s="161" t="str">
        <f t="shared" si="115"/>
        <v>29Students of Color</v>
      </c>
      <c r="B495" s="161">
        <f t="shared" si="116"/>
        <v>1</v>
      </c>
      <c r="C495" s="163">
        <v>29</v>
      </c>
      <c r="D495" s="163" t="b">
        <v>1</v>
      </c>
      <c r="E495" s="161" t="s">
        <v>42</v>
      </c>
      <c r="F495" s="161" t="str">
        <f t="shared" si="107"/>
        <v>001</v>
      </c>
      <c r="G495" s="385">
        <v>101</v>
      </c>
      <c r="H495" s="161" t="str">
        <f t="shared" si="108"/>
        <v>011</v>
      </c>
      <c r="I495" s="161" t="str">
        <f t="shared" si="109"/>
        <v>001-011</v>
      </c>
      <c r="J495" s="162" t="s">
        <v>491</v>
      </c>
      <c r="K495" s="161" t="s">
        <v>6</v>
      </c>
      <c r="L495" s="418">
        <v>28973</v>
      </c>
      <c r="M495" s="420">
        <v>-4653</v>
      </c>
      <c r="N495" s="157">
        <f t="shared" si="110"/>
        <v>101</v>
      </c>
      <c r="O495" s="156">
        <f t="shared" si="114"/>
        <v>24320</v>
      </c>
      <c r="Q495" s="156"/>
      <c r="AA495" s="373">
        <v>-10556</v>
      </c>
      <c r="AB495" s="374">
        <v>16160</v>
      </c>
      <c r="AC495" s="366">
        <f t="shared" si="112"/>
        <v>5604</v>
      </c>
      <c r="AD495" s="366">
        <f t="shared" si="113"/>
        <v>-10257</v>
      </c>
    </row>
    <row r="496" spans="1:30" ht="12.75" hidden="1" customHeight="1">
      <c r="A496" s="161" t="str">
        <f t="shared" si="115"/>
        <v>19Students of Color</v>
      </c>
      <c r="B496" s="161">
        <f t="shared" si="116"/>
        <v>1</v>
      </c>
      <c r="C496" s="163">
        <v>19</v>
      </c>
      <c r="D496" s="163" t="b">
        <v>1</v>
      </c>
      <c r="E496" s="161" t="s">
        <v>32</v>
      </c>
      <c r="F496" s="161" t="str">
        <f t="shared" si="107"/>
        <v>001</v>
      </c>
      <c r="G496" s="385">
        <v>101</v>
      </c>
      <c r="H496" s="161" t="str">
        <f t="shared" si="108"/>
        <v>011</v>
      </c>
      <c r="I496" s="161" t="str">
        <f t="shared" si="109"/>
        <v>001-011</v>
      </c>
      <c r="J496" s="162" t="s">
        <v>491</v>
      </c>
      <c r="K496" s="161" t="s">
        <v>6</v>
      </c>
      <c r="L496" s="418">
        <v>43390</v>
      </c>
      <c r="M496" s="420">
        <v>1100</v>
      </c>
      <c r="N496" s="157">
        <f t="shared" si="110"/>
        <v>101</v>
      </c>
      <c r="O496" s="156">
        <f t="shared" si="114"/>
        <v>44490</v>
      </c>
      <c r="Q496" s="156"/>
      <c r="AA496" s="373">
        <v>-56747</v>
      </c>
      <c r="AB496" s="374">
        <v>44890</v>
      </c>
      <c r="AC496" s="366">
        <f t="shared" si="112"/>
        <v>-11857</v>
      </c>
      <c r="AD496" s="366">
        <f t="shared" si="113"/>
        <v>12957</v>
      </c>
    </row>
    <row r="497" spans="1:28" ht="12.75" hidden="1" customHeight="1">
      <c r="A497" s="161" t="str">
        <f t="shared" si="115"/>
        <v>23Students of Color</v>
      </c>
      <c r="B497" s="161">
        <f t="shared" si="116"/>
        <v>1</v>
      </c>
      <c r="C497" s="163">
        <v>23</v>
      </c>
      <c r="D497" s="163" t="b">
        <v>1</v>
      </c>
      <c r="E497" s="161" t="s">
        <v>36</v>
      </c>
      <c r="F497" s="161" t="str">
        <f t="shared" si="107"/>
        <v>001</v>
      </c>
      <c r="G497" s="385">
        <v>101</v>
      </c>
      <c r="H497" s="161" t="str">
        <f t="shared" si="108"/>
        <v>011</v>
      </c>
      <c r="I497" s="161" t="str">
        <f t="shared" si="109"/>
        <v>001-011</v>
      </c>
      <c r="J497" s="162" t="s">
        <v>491</v>
      </c>
      <c r="K497" s="161" t="s">
        <v>6</v>
      </c>
      <c r="L497" s="418">
        <v>44088</v>
      </c>
      <c r="M497" s="420">
        <v>3362</v>
      </c>
      <c r="N497" s="157">
        <f t="shared" si="110"/>
        <v>101</v>
      </c>
      <c r="O497" s="156">
        <f t="shared" si="114"/>
        <v>47450</v>
      </c>
      <c r="Q497" s="156"/>
      <c r="Y497" s="156">
        <f>SUM(L467:L496)</f>
        <v>3651284</v>
      </c>
      <c r="Z497" s="156">
        <f>SUM(O467:O496)</f>
        <v>256238</v>
      </c>
      <c r="AA497" s="366">
        <f>SUM(AA467:AA496)</f>
        <v>-1011628</v>
      </c>
      <c r="AB497" s="366">
        <f>SUM(AB467:AB496)</f>
        <v>1011628</v>
      </c>
    </row>
    <row r="498" spans="1:28" ht="12.75" hidden="1" customHeight="1">
      <c r="A498" s="161" t="str">
        <f t="shared" si="115"/>
        <v>5Students of Color</v>
      </c>
      <c r="B498" s="161">
        <f t="shared" si="116"/>
        <v>1</v>
      </c>
      <c r="C498" s="163">
        <v>5</v>
      </c>
      <c r="D498" s="163" t="b">
        <v>1</v>
      </c>
      <c r="E498" s="161" t="s">
        <v>18</v>
      </c>
      <c r="F498" s="161" t="str">
        <f t="shared" si="107"/>
        <v>001</v>
      </c>
      <c r="G498" s="385">
        <v>101</v>
      </c>
      <c r="H498" s="161" t="str">
        <f t="shared" si="108"/>
        <v>011</v>
      </c>
      <c r="I498" s="161" t="str">
        <f t="shared" si="109"/>
        <v>001-011</v>
      </c>
      <c r="J498" s="162" t="s">
        <v>491</v>
      </c>
      <c r="K498" s="161" t="s">
        <v>6</v>
      </c>
      <c r="L498" s="418">
        <v>26868</v>
      </c>
      <c r="M498" s="420">
        <v>9292</v>
      </c>
      <c r="N498" s="157">
        <f t="shared" si="110"/>
        <v>101</v>
      </c>
      <c r="O498" s="156">
        <f t="shared" si="114"/>
        <v>36160</v>
      </c>
      <c r="Q498" s="156"/>
    </row>
    <row r="499" spans="1:28" ht="12.75" hidden="1" customHeight="1">
      <c r="A499" s="161" t="str">
        <f t="shared" si="115"/>
        <v>2Students of Color</v>
      </c>
      <c r="B499" s="161">
        <f t="shared" si="116"/>
        <v>1</v>
      </c>
      <c r="C499" s="163">
        <v>2</v>
      </c>
      <c r="D499" s="163" t="b">
        <v>1</v>
      </c>
      <c r="E499" s="161" t="s">
        <v>15</v>
      </c>
      <c r="F499" s="161" t="str">
        <f t="shared" si="107"/>
        <v>001</v>
      </c>
      <c r="G499" s="385">
        <v>101</v>
      </c>
      <c r="H499" s="161" t="str">
        <f t="shared" si="108"/>
        <v>011</v>
      </c>
      <c r="I499" s="161" t="str">
        <f t="shared" si="109"/>
        <v>001-011</v>
      </c>
      <c r="J499" s="162" t="s">
        <v>491</v>
      </c>
      <c r="K499" s="161" t="s">
        <v>6</v>
      </c>
      <c r="L499" s="418">
        <v>10727</v>
      </c>
      <c r="M499" s="420">
        <v>-3497</v>
      </c>
      <c r="N499" s="157">
        <f t="shared" si="110"/>
        <v>101</v>
      </c>
      <c r="O499" s="156">
        <f t="shared" si="114"/>
        <v>7230</v>
      </c>
      <c r="Q499" s="156"/>
    </row>
    <row r="500" spans="1:28" ht="12.75" hidden="1" customHeight="1">
      <c r="A500" s="161" t="str">
        <f t="shared" si="115"/>
        <v>10Students of Color</v>
      </c>
      <c r="B500" s="161">
        <f t="shared" si="116"/>
        <v>1</v>
      </c>
      <c r="C500" s="163">
        <v>10</v>
      </c>
      <c r="D500" s="163" t="b">
        <v>1</v>
      </c>
      <c r="E500" s="161" t="s">
        <v>23</v>
      </c>
      <c r="F500" s="161" t="str">
        <f t="shared" si="107"/>
        <v>001</v>
      </c>
      <c r="G500" s="385">
        <v>101</v>
      </c>
      <c r="H500" s="161" t="str">
        <f t="shared" si="108"/>
        <v>011</v>
      </c>
      <c r="I500" s="161" t="str">
        <f t="shared" si="109"/>
        <v>001-011</v>
      </c>
      <c r="J500" s="162" t="s">
        <v>491</v>
      </c>
      <c r="K500" s="161" t="s">
        <v>6</v>
      </c>
      <c r="L500" s="418">
        <v>30224</v>
      </c>
      <c r="M500" s="420">
        <v>9716</v>
      </c>
      <c r="N500" s="157">
        <f t="shared" si="110"/>
        <v>101</v>
      </c>
      <c r="O500" s="156">
        <f t="shared" si="114"/>
        <v>39940</v>
      </c>
      <c r="Q500" s="156"/>
    </row>
    <row r="501" spans="1:28" ht="12.75" hidden="1" customHeight="1">
      <c r="A501" s="161" t="str">
        <f t="shared" si="115"/>
        <v>9Students of Color</v>
      </c>
      <c r="B501" s="161">
        <f t="shared" si="116"/>
        <v>1</v>
      </c>
      <c r="C501" s="163">
        <v>9</v>
      </c>
      <c r="D501" s="163" t="b">
        <v>1</v>
      </c>
      <c r="E501" s="161" t="s">
        <v>22</v>
      </c>
      <c r="F501" s="161" t="str">
        <f t="shared" si="107"/>
        <v>001</v>
      </c>
      <c r="G501" s="385">
        <v>101</v>
      </c>
      <c r="H501" s="161" t="str">
        <f t="shared" si="108"/>
        <v>011</v>
      </c>
      <c r="I501" s="161" t="str">
        <f t="shared" si="109"/>
        <v>001-011</v>
      </c>
      <c r="J501" s="162" t="s">
        <v>491</v>
      </c>
      <c r="K501" s="161" t="s">
        <v>6</v>
      </c>
      <c r="L501" s="418">
        <v>70114</v>
      </c>
      <c r="M501" s="420">
        <v>11146</v>
      </c>
      <c r="N501" s="157">
        <f t="shared" si="110"/>
        <v>101</v>
      </c>
      <c r="O501" s="156">
        <f t="shared" si="114"/>
        <v>81260</v>
      </c>
      <c r="Q501" s="156"/>
    </row>
    <row r="502" spans="1:28" ht="12.75" hidden="1" customHeight="1">
      <c r="A502" s="161" t="str">
        <f t="shared" si="115"/>
        <v>26Students of Color</v>
      </c>
      <c r="B502" s="161">
        <f t="shared" si="116"/>
        <v>1</v>
      </c>
      <c r="C502" s="163">
        <v>26</v>
      </c>
      <c r="D502" s="163" t="b">
        <v>1</v>
      </c>
      <c r="E502" s="161" t="s">
        <v>39</v>
      </c>
      <c r="F502" s="161" t="str">
        <f t="shared" si="107"/>
        <v>001</v>
      </c>
      <c r="G502" s="385">
        <v>101</v>
      </c>
      <c r="H502" s="161" t="str">
        <f t="shared" si="108"/>
        <v>011</v>
      </c>
      <c r="I502" s="161" t="str">
        <f t="shared" si="109"/>
        <v>001-011</v>
      </c>
      <c r="J502" s="162" t="s">
        <v>491</v>
      </c>
      <c r="K502" s="161" t="s">
        <v>6</v>
      </c>
      <c r="L502" s="418">
        <v>25509</v>
      </c>
      <c r="M502" s="420">
        <v>-6099</v>
      </c>
      <c r="N502" s="157">
        <f t="shared" si="110"/>
        <v>101</v>
      </c>
      <c r="O502" s="156">
        <f t="shared" si="114"/>
        <v>19410</v>
      </c>
      <c r="Q502" s="156"/>
    </row>
    <row r="503" spans="1:28" ht="12.75" hidden="1" customHeight="1">
      <c r="A503" s="161" t="str">
        <f t="shared" si="115"/>
        <v>13Students of Color</v>
      </c>
      <c r="B503" s="161">
        <f t="shared" si="116"/>
        <v>1</v>
      </c>
      <c r="C503" s="163">
        <v>13</v>
      </c>
      <c r="D503" s="163" t="b">
        <v>1</v>
      </c>
      <c r="E503" s="161" t="s">
        <v>26</v>
      </c>
      <c r="F503" s="161" t="str">
        <f t="shared" si="107"/>
        <v>001</v>
      </c>
      <c r="G503" s="385">
        <v>101</v>
      </c>
      <c r="H503" s="161" t="str">
        <f t="shared" si="108"/>
        <v>011</v>
      </c>
      <c r="I503" s="161" t="str">
        <f t="shared" si="109"/>
        <v>001-011</v>
      </c>
      <c r="J503" s="162" t="s">
        <v>491</v>
      </c>
      <c r="K503" s="161" t="s">
        <v>6</v>
      </c>
      <c r="L503" s="418">
        <v>8415</v>
      </c>
      <c r="M503" s="420">
        <v>2915</v>
      </c>
      <c r="N503" s="157">
        <f t="shared" si="110"/>
        <v>101</v>
      </c>
      <c r="O503" s="156">
        <f t="shared" si="114"/>
        <v>11330</v>
      </c>
      <c r="Q503" s="156"/>
    </row>
    <row r="504" spans="1:28" ht="12.75" hidden="1" customHeight="1">
      <c r="A504" s="161" t="str">
        <f t="shared" si="115"/>
        <v>3Students of Color</v>
      </c>
      <c r="B504" s="161">
        <f t="shared" si="116"/>
        <v>1</v>
      </c>
      <c r="C504" s="163">
        <v>3</v>
      </c>
      <c r="D504" s="163" t="b">
        <v>1</v>
      </c>
      <c r="E504" s="161" t="s">
        <v>16</v>
      </c>
      <c r="F504" s="161" t="str">
        <f t="shared" si="107"/>
        <v>001</v>
      </c>
      <c r="G504" s="385">
        <v>101</v>
      </c>
      <c r="H504" s="161" t="str">
        <f t="shared" si="108"/>
        <v>011</v>
      </c>
      <c r="I504" s="161" t="str">
        <f t="shared" si="109"/>
        <v>001-011</v>
      </c>
      <c r="J504" s="162" t="s">
        <v>491</v>
      </c>
      <c r="K504" s="161" t="s">
        <v>6</v>
      </c>
      <c r="L504" s="418">
        <v>27594</v>
      </c>
      <c r="M504" s="420">
        <v>4016</v>
      </c>
      <c r="N504" s="157">
        <f t="shared" si="110"/>
        <v>101</v>
      </c>
      <c r="O504" s="156">
        <f t="shared" si="114"/>
        <v>31610</v>
      </c>
      <c r="Q504" s="156"/>
    </row>
    <row r="505" spans="1:28" ht="12.75" hidden="1" customHeight="1">
      <c r="A505" s="161" t="str">
        <f t="shared" si="115"/>
        <v>1Students of Color</v>
      </c>
      <c r="B505" s="161">
        <f t="shared" si="116"/>
        <v>1</v>
      </c>
      <c r="C505" s="163">
        <v>1</v>
      </c>
      <c r="D505" s="163" t="b">
        <v>1</v>
      </c>
      <c r="E505" s="161" t="s">
        <v>14</v>
      </c>
      <c r="F505" s="161" t="str">
        <f t="shared" si="107"/>
        <v>001</v>
      </c>
      <c r="G505" s="385">
        <v>101</v>
      </c>
      <c r="H505" s="161" t="str">
        <f t="shared" si="108"/>
        <v>011</v>
      </c>
      <c r="I505" s="161" t="str">
        <f t="shared" si="109"/>
        <v>001-011</v>
      </c>
      <c r="J505" s="162" t="s">
        <v>491</v>
      </c>
      <c r="K505" s="161" t="s">
        <v>6</v>
      </c>
      <c r="L505" s="418">
        <v>7799</v>
      </c>
      <c r="M505" s="420">
        <v>-9</v>
      </c>
      <c r="N505" s="157">
        <f t="shared" si="110"/>
        <v>101</v>
      </c>
      <c r="O505" s="156">
        <f t="shared" si="114"/>
        <v>7790</v>
      </c>
      <c r="Q505" s="156"/>
    </row>
    <row r="506" spans="1:28" ht="12.75" hidden="1" customHeight="1">
      <c r="A506" s="161" t="str">
        <f t="shared" si="115"/>
        <v>11Students of Color</v>
      </c>
      <c r="B506" s="161">
        <f t="shared" si="116"/>
        <v>1</v>
      </c>
      <c r="C506" s="163">
        <v>11</v>
      </c>
      <c r="D506" s="163" t="b">
        <v>1</v>
      </c>
      <c r="E506" s="161" t="s">
        <v>24</v>
      </c>
      <c r="F506" s="161" t="str">
        <f t="shared" si="107"/>
        <v>001</v>
      </c>
      <c r="G506" s="385">
        <v>101</v>
      </c>
      <c r="H506" s="161" t="str">
        <f t="shared" si="108"/>
        <v>011</v>
      </c>
      <c r="I506" s="161" t="str">
        <f t="shared" si="109"/>
        <v>001-011</v>
      </c>
      <c r="J506" s="162" t="s">
        <v>491</v>
      </c>
      <c r="K506" s="161" t="s">
        <v>6</v>
      </c>
      <c r="L506" s="418">
        <v>42021</v>
      </c>
      <c r="M506" s="420">
        <v>3979</v>
      </c>
      <c r="N506" s="157">
        <f t="shared" si="110"/>
        <v>101</v>
      </c>
      <c r="O506" s="156">
        <f t="shared" si="114"/>
        <v>46000</v>
      </c>
      <c r="Q506" s="156"/>
    </row>
    <row r="507" spans="1:28" ht="12.75" hidden="1" customHeight="1">
      <c r="A507" s="161" t="str">
        <f t="shared" si="115"/>
        <v>27Students of Color</v>
      </c>
      <c r="B507" s="161">
        <f t="shared" si="116"/>
        <v>1</v>
      </c>
      <c r="C507" s="163">
        <v>27</v>
      </c>
      <c r="D507" s="163" t="b">
        <v>1</v>
      </c>
      <c r="E507" s="161" t="s">
        <v>40</v>
      </c>
      <c r="F507" s="161" t="str">
        <f t="shared" si="107"/>
        <v>001</v>
      </c>
      <c r="G507" s="385">
        <v>101</v>
      </c>
      <c r="H507" s="161" t="str">
        <f t="shared" si="108"/>
        <v>011</v>
      </c>
      <c r="I507" s="161" t="str">
        <f t="shared" si="109"/>
        <v>001-011</v>
      </c>
      <c r="J507" s="162" t="s">
        <v>491</v>
      </c>
      <c r="K507" s="161" t="s">
        <v>6</v>
      </c>
      <c r="L507" s="418">
        <v>46900</v>
      </c>
      <c r="M507" s="420">
        <v>-12320</v>
      </c>
      <c r="N507" s="157">
        <f t="shared" si="110"/>
        <v>101</v>
      </c>
      <c r="O507" s="156">
        <f t="shared" si="114"/>
        <v>34580</v>
      </c>
      <c r="Q507" s="156"/>
    </row>
    <row r="508" spans="1:28" ht="12.75" hidden="1" customHeight="1">
      <c r="A508" s="161" t="str">
        <f t="shared" si="115"/>
        <v>6Students of Color</v>
      </c>
      <c r="B508" s="161">
        <f t="shared" si="116"/>
        <v>1</v>
      </c>
      <c r="C508" s="163">
        <v>6</v>
      </c>
      <c r="D508" s="163" t="b">
        <v>1</v>
      </c>
      <c r="E508" s="161" t="s">
        <v>19</v>
      </c>
      <c r="F508" s="161" t="str">
        <f t="shared" si="107"/>
        <v>001</v>
      </c>
      <c r="G508" s="385">
        <v>101</v>
      </c>
      <c r="H508" s="161" t="str">
        <f t="shared" si="108"/>
        <v>011</v>
      </c>
      <c r="I508" s="161" t="str">
        <f t="shared" si="109"/>
        <v>001-011</v>
      </c>
      <c r="J508" s="162" t="s">
        <v>491</v>
      </c>
      <c r="K508" s="161" t="s">
        <v>6</v>
      </c>
      <c r="L508" s="418">
        <v>180554</v>
      </c>
      <c r="M508" s="420">
        <v>-50964</v>
      </c>
      <c r="N508" s="157">
        <f t="shared" si="110"/>
        <v>101</v>
      </c>
      <c r="O508" s="156">
        <f t="shared" si="114"/>
        <v>129590</v>
      </c>
      <c r="Q508" s="156"/>
    </row>
    <row r="509" spans="1:28" ht="12.75" hidden="1" customHeight="1">
      <c r="A509" s="161" t="str">
        <f t="shared" si="115"/>
        <v>7Students of Color</v>
      </c>
      <c r="B509" s="161">
        <f t="shared" si="116"/>
        <v>1</v>
      </c>
      <c r="C509" s="163">
        <v>7</v>
      </c>
      <c r="D509" s="163" t="b">
        <v>1</v>
      </c>
      <c r="E509" s="161" t="s">
        <v>20</v>
      </c>
      <c r="F509" s="161" t="str">
        <f t="shared" si="107"/>
        <v>001</v>
      </c>
      <c r="G509" s="385">
        <v>101</v>
      </c>
      <c r="H509" s="161" t="str">
        <f t="shared" si="108"/>
        <v>011</v>
      </c>
      <c r="I509" s="161" t="str">
        <f t="shared" si="109"/>
        <v>001-011</v>
      </c>
      <c r="J509" s="162" t="s">
        <v>491</v>
      </c>
      <c r="K509" s="161" t="s">
        <v>6</v>
      </c>
      <c r="L509" s="418">
        <v>37777</v>
      </c>
      <c r="M509" s="420">
        <v>-7487</v>
      </c>
      <c r="N509" s="157">
        <f t="shared" si="110"/>
        <v>101</v>
      </c>
      <c r="O509" s="156">
        <f t="shared" si="114"/>
        <v>30290</v>
      </c>
      <c r="Q509" s="156"/>
    </row>
    <row r="510" spans="1:28" ht="12.75" hidden="1" customHeight="1">
      <c r="A510" s="161" t="str">
        <f t="shared" si="115"/>
        <v>4Students of Color</v>
      </c>
      <c r="B510" s="161">
        <f t="shared" si="116"/>
        <v>1</v>
      </c>
      <c r="C510" s="163">
        <v>4</v>
      </c>
      <c r="D510" s="163" t="b">
        <v>1</v>
      </c>
      <c r="E510" s="161" t="s">
        <v>17</v>
      </c>
      <c r="F510" s="161" t="str">
        <f t="shared" si="107"/>
        <v>001</v>
      </c>
      <c r="G510" s="385">
        <v>101</v>
      </c>
      <c r="H510" s="161" t="str">
        <f t="shared" si="108"/>
        <v>011</v>
      </c>
      <c r="I510" s="161" t="str">
        <f t="shared" si="109"/>
        <v>001-011</v>
      </c>
      <c r="J510" s="162" t="s">
        <v>491</v>
      </c>
      <c r="K510" s="161" t="s">
        <v>6</v>
      </c>
      <c r="L510" s="418">
        <v>26343</v>
      </c>
      <c r="M510" s="420">
        <v>-2423</v>
      </c>
      <c r="N510" s="157">
        <f t="shared" si="110"/>
        <v>101</v>
      </c>
      <c r="O510" s="156">
        <f t="shared" si="114"/>
        <v>23920</v>
      </c>
      <c r="Q510" s="156"/>
    </row>
    <row r="511" spans="1:28" ht="12.75" hidden="1" customHeight="1">
      <c r="A511" s="161" t="str">
        <f t="shared" si="115"/>
        <v>24Students of Color</v>
      </c>
      <c r="B511" s="161">
        <f t="shared" si="116"/>
        <v>1</v>
      </c>
      <c r="C511" s="163">
        <v>24</v>
      </c>
      <c r="D511" s="163" t="b">
        <v>1</v>
      </c>
      <c r="E511" s="161" t="s">
        <v>37</v>
      </c>
      <c r="F511" s="161" t="str">
        <f t="shared" si="107"/>
        <v>001</v>
      </c>
      <c r="G511" s="385">
        <v>101</v>
      </c>
      <c r="H511" s="161" t="str">
        <f t="shared" si="108"/>
        <v>011</v>
      </c>
      <c r="I511" s="161" t="str">
        <f t="shared" si="109"/>
        <v>001-011</v>
      </c>
      <c r="J511" s="162" t="s">
        <v>491</v>
      </c>
      <c r="K511" s="161" t="s">
        <v>6</v>
      </c>
      <c r="L511" s="418">
        <v>17646</v>
      </c>
      <c r="M511" s="420">
        <v>3324</v>
      </c>
      <c r="N511" s="157">
        <f t="shared" si="110"/>
        <v>101</v>
      </c>
      <c r="O511" s="156">
        <f t="shared" si="114"/>
        <v>20970</v>
      </c>
      <c r="Q511" s="156"/>
    </row>
    <row r="512" spans="1:28" ht="12.75" hidden="1" customHeight="1">
      <c r="A512" s="161" t="str">
        <f t="shared" si="115"/>
        <v>17Students of Color</v>
      </c>
      <c r="B512" s="161">
        <f t="shared" si="116"/>
        <v>1</v>
      </c>
      <c r="C512" s="163">
        <v>17</v>
      </c>
      <c r="D512" s="163" t="b">
        <v>1</v>
      </c>
      <c r="E512" s="161" t="s">
        <v>30</v>
      </c>
      <c r="F512" s="161" t="str">
        <f t="shared" si="107"/>
        <v>001</v>
      </c>
      <c r="G512" s="385">
        <v>101</v>
      </c>
      <c r="H512" s="161" t="str">
        <f t="shared" si="108"/>
        <v>011</v>
      </c>
      <c r="I512" s="161" t="str">
        <f t="shared" si="109"/>
        <v>001-011</v>
      </c>
      <c r="J512" s="162" t="s">
        <v>491</v>
      </c>
      <c r="K512" s="161" t="s">
        <v>6</v>
      </c>
      <c r="L512" s="418">
        <v>44569</v>
      </c>
      <c r="M512" s="420">
        <v>1911</v>
      </c>
      <c r="N512" s="157">
        <f t="shared" si="110"/>
        <v>101</v>
      </c>
      <c r="O512" s="156">
        <f t="shared" si="114"/>
        <v>46480</v>
      </c>
      <c r="Q512" s="156"/>
    </row>
    <row r="513" spans="1:17" ht="12.75" hidden="1" customHeight="1">
      <c r="A513" s="161" t="str">
        <f t="shared" si="115"/>
        <v>22Students of Color</v>
      </c>
      <c r="B513" s="161">
        <f t="shared" si="116"/>
        <v>1</v>
      </c>
      <c r="C513" s="163">
        <v>22</v>
      </c>
      <c r="D513" s="163" t="b">
        <v>1</v>
      </c>
      <c r="E513" s="161" t="s">
        <v>35</v>
      </c>
      <c r="F513" s="161" t="str">
        <f t="shared" si="107"/>
        <v>001</v>
      </c>
      <c r="G513" s="385">
        <v>101</v>
      </c>
      <c r="H513" s="161" t="str">
        <f t="shared" si="108"/>
        <v>011</v>
      </c>
      <c r="I513" s="161" t="str">
        <f t="shared" si="109"/>
        <v>001-011</v>
      </c>
      <c r="J513" s="162" t="s">
        <v>491</v>
      </c>
      <c r="K513" s="161" t="s">
        <v>6</v>
      </c>
      <c r="L513" s="418">
        <v>37678</v>
      </c>
      <c r="M513" s="420">
        <v>1032</v>
      </c>
      <c r="N513" s="157">
        <f t="shared" si="110"/>
        <v>101</v>
      </c>
      <c r="O513" s="156">
        <f t="shared" si="114"/>
        <v>38710</v>
      </c>
      <c r="Q513" s="156"/>
    </row>
    <row r="514" spans="1:17" ht="12.75" hidden="1" customHeight="1">
      <c r="A514" s="161" t="str">
        <f t="shared" si="115"/>
        <v>20Students of Color</v>
      </c>
      <c r="B514" s="161">
        <f t="shared" si="116"/>
        <v>1</v>
      </c>
      <c r="C514" s="163">
        <v>20</v>
      </c>
      <c r="D514" s="163" t="b">
        <v>1</v>
      </c>
      <c r="E514" s="161" t="s">
        <v>33</v>
      </c>
      <c r="F514" s="161" t="str">
        <f t="shared" ref="F514:F577" si="117">LEFT(J514,3)</f>
        <v>001</v>
      </c>
      <c r="G514" s="385">
        <v>101</v>
      </c>
      <c r="H514" s="161" t="str">
        <f t="shared" ref="H514:H577" si="118">RIGHT(J514,3)</f>
        <v>011</v>
      </c>
      <c r="I514" s="161" t="str">
        <f t="shared" ref="I514:I577" si="119">F514&amp;"-"&amp;H514</f>
        <v>001-011</v>
      </c>
      <c r="J514" s="162" t="s">
        <v>491</v>
      </c>
      <c r="K514" s="161" t="s">
        <v>6</v>
      </c>
      <c r="L514" s="418">
        <v>16911</v>
      </c>
      <c r="M514" s="420">
        <v>-651</v>
      </c>
      <c r="N514" s="157">
        <f t="shared" ref="N514:N577" si="120">VLOOKUP(H514,Approp,2,FALSE)</f>
        <v>101</v>
      </c>
      <c r="O514" s="156">
        <f t="shared" si="114"/>
        <v>16260</v>
      </c>
      <c r="Q514" s="156"/>
    </row>
    <row r="515" spans="1:17" ht="12.75" hidden="1" customHeight="1">
      <c r="A515" s="161" t="str">
        <f t="shared" si="115"/>
        <v>15Students of Color</v>
      </c>
      <c r="B515" s="161">
        <f t="shared" si="116"/>
        <v>1</v>
      </c>
      <c r="C515" s="163">
        <v>15</v>
      </c>
      <c r="D515" s="163" t="b">
        <v>1</v>
      </c>
      <c r="E515" s="161" t="s">
        <v>28</v>
      </c>
      <c r="F515" s="161" t="str">
        <f t="shared" si="117"/>
        <v>001</v>
      </c>
      <c r="G515" s="385">
        <v>101</v>
      </c>
      <c r="H515" s="161" t="str">
        <f t="shared" si="118"/>
        <v>011</v>
      </c>
      <c r="I515" s="161" t="str">
        <f t="shared" si="119"/>
        <v>001-011</v>
      </c>
      <c r="J515" s="162" t="s">
        <v>491</v>
      </c>
      <c r="K515" s="161" t="s">
        <v>6</v>
      </c>
      <c r="L515" s="418">
        <v>20856</v>
      </c>
      <c r="M515" s="420">
        <v>4504</v>
      </c>
      <c r="N515" s="157">
        <f t="shared" si="120"/>
        <v>101</v>
      </c>
      <c r="O515" s="156">
        <f t="shared" si="114"/>
        <v>25360</v>
      </c>
      <c r="Q515" s="156"/>
    </row>
    <row r="516" spans="1:17" ht="12.75" hidden="1" customHeight="1">
      <c r="A516" s="161" t="str">
        <f t="shared" si="115"/>
        <v>21Students of Color</v>
      </c>
      <c r="B516" s="161">
        <f t="shared" si="116"/>
        <v>1</v>
      </c>
      <c r="C516" s="163">
        <v>21</v>
      </c>
      <c r="D516" s="163" t="b">
        <v>1</v>
      </c>
      <c r="E516" s="161" t="s">
        <v>34</v>
      </c>
      <c r="F516" s="161" t="str">
        <f t="shared" si="117"/>
        <v>001</v>
      </c>
      <c r="G516" s="385">
        <v>101</v>
      </c>
      <c r="H516" s="161" t="str">
        <f t="shared" si="118"/>
        <v>011</v>
      </c>
      <c r="I516" s="161" t="str">
        <f t="shared" si="119"/>
        <v>001-011</v>
      </c>
      <c r="J516" s="162" t="s">
        <v>491</v>
      </c>
      <c r="K516" s="161" t="s">
        <v>6</v>
      </c>
      <c r="L516" s="418">
        <v>10556</v>
      </c>
      <c r="M516" s="420">
        <v>5604</v>
      </c>
      <c r="N516" s="157">
        <f t="shared" si="120"/>
        <v>101</v>
      </c>
      <c r="O516" s="156">
        <f t="shared" si="114"/>
        <v>16160</v>
      </c>
      <c r="Q516" s="156"/>
    </row>
    <row r="517" spans="1:17" ht="12.75" hidden="1" customHeight="1">
      <c r="A517" s="161" t="str">
        <f t="shared" si="115"/>
        <v>16Students of Color</v>
      </c>
      <c r="B517" s="161">
        <f t="shared" si="116"/>
        <v>1</v>
      </c>
      <c r="C517" s="163">
        <v>16</v>
      </c>
      <c r="D517" s="163" t="b">
        <v>1</v>
      </c>
      <c r="E517" s="161" t="s">
        <v>29</v>
      </c>
      <c r="F517" s="161" t="str">
        <f t="shared" si="117"/>
        <v>001</v>
      </c>
      <c r="G517" s="385">
        <v>101</v>
      </c>
      <c r="H517" s="161" t="str">
        <f t="shared" si="118"/>
        <v>011</v>
      </c>
      <c r="I517" s="161" t="str">
        <f t="shared" si="119"/>
        <v>001-011</v>
      </c>
      <c r="J517" s="162" t="s">
        <v>491</v>
      </c>
      <c r="K517" s="161" t="s">
        <v>6</v>
      </c>
      <c r="L517" s="418">
        <v>56747</v>
      </c>
      <c r="M517" s="418">
        <v>-11857</v>
      </c>
      <c r="N517" s="157">
        <f t="shared" si="120"/>
        <v>101</v>
      </c>
      <c r="O517" s="156">
        <f t="shared" si="114"/>
        <v>44890</v>
      </c>
      <c r="Q517" s="156"/>
    </row>
    <row r="518" spans="1:17" ht="12.75" hidden="1" customHeight="1">
      <c r="A518" s="161" t="str">
        <f t="shared" si="115"/>
        <v>28Supplemental Retirement Payments</v>
      </c>
      <c r="B518" s="161">
        <f t="shared" si="116"/>
        <v>1</v>
      </c>
      <c r="C518" s="163">
        <v>28</v>
      </c>
      <c r="D518" s="163" t="b">
        <v>1</v>
      </c>
      <c r="E518" s="161" t="s">
        <v>41</v>
      </c>
      <c r="F518" s="161" t="str">
        <f t="shared" si="117"/>
        <v>001</v>
      </c>
      <c r="G518" s="385">
        <v>101</v>
      </c>
      <c r="H518" s="161" t="str">
        <f t="shared" si="118"/>
        <v>011</v>
      </c>
      <c r="I518" s="161" t="str">
        <f t="shared" si="119"/>
        <v>001-011</v>
      </c>
      <c r="J518" s="162" t="s">
        <v>491</v>
      </c>
      <c r="K518" s="161" t="s">
        <v>203</v>
      </c>
      <c r="L518" s="420"/>
      <c r="M518" s="418">
        <v>-4659</v>
      </c>
      <c r="N518" s="157">
        <f t="shared" si="120"/>
        <v>101</v>
      </c>
      <c r="O518" s="156">
        <f t="shared" ref="O518:O528" si="121">SUM(M518:M518)</f>
        <v>-4659</v>
      </c>
      <c r="Q518" s="156"/>
    </row>
    <row r="519" spans="1:17" ht="12.75" hidden="1" customHeight="1">
      <c r="A519" s="161" t="str">
        <f t="shared" si="115"/>
        <v>8Supplemental Retirement Payments</v>
      </c>
      <c r="B519" s="161">
        <f t="shared" si="116"/>
        <v>1</v>
      </c>
      <c r="C519" s="163">
        <v>8</v>
      </c>
      <c r="D519" s="163" t="b">
        <v>1</v>
      </c>
      <c r="E519" s="161" t="s">
        <v>21</v>
      </c>
      <c r="F519" s="161" t="str">
        <f t="shared" si="117"/>
        <v>001</v>
      </c>
      <c r="G519" s="385">
        <v>101</v>
      </c>
      <c r="H519" s="161" t="str">
        <f t="shared" si="118"/>
        <v>011</v>
      </c>
      <c r="I519" s="161" t="str">
        <f t="shared" si="119"/>
        <v>001-011</v>
      </c>
      <c r="J519" s="162" t="s">
        <v>491</v>
      </c>
      <c r="K519" s="161" t="s">
        <v>203</v>
      </c>
      <c r="L519" s="420"/>
      <c r="M519" s="418">
        <v>-6756</v>
      </c>
      <c r="N519" s="157">
        <f t="shared" si="120"/>
        <v>101</v>
      </c>
      <c r="O519" s="156">
        <f t="shared" si="121"/>
        <v>-6756</v>
      </c>
      <c r="Q519" s="156"/>
    </row>
    <row r="520" spans="1:17" ht="12.75" hidden="1" customHeight="1">
      <c r="A520" s="161" t="str">
        <f t="shared" si="115"/>
        <v>25Supplemental Retirement Payments</v>
      </c>
      <c r="B520" s="161">
        <f t="shared" si="116"/>
        <v>1</v>
      </c>
      <c r="C520" s="163">
        <v>25</v>
      </c>
      <c r="D520" s="163" t="b">
        <v>1</v>
      </c>
      <c r="E520" s="161" t="s">
        <v>38</v>
      </c>
      <c r="F520" s="161" t="str">
        <f t="shared" si="117"/>
        <v>001</v>
      </c>
      <c r="G520" s="385">
        <v>101</v>
      </c>
      <c r="H520" s="161" t="str">
        <f t="shared" si="118"/>
        <v>011</v>
      </c>
      <c r="I520" s="161" t="str">
        <f t="shared" si="119"/>
        <v>001-011</v>
      </c>
      <c r="J520" s="162" t="s">
        <v>491</v>
      </c>
      <c r="K520" s="161" t="s">
        <v>203</v>
      </c>
      <c r="L520" s="420"/>
      <c r="M520" s="418">
        <v>-2616</v>
      </c>
      <c r="N520" s="157">
        <f t="shared" si="120"/>
        <v>101</v>
      </c>
      <c r="O520" s="156">
        <f t="shared" si="121"/>
        <v>-2616</v>
      </c>
      <c r="Q520" s="156"/>
    </row>
    <row r="521" spans="1:17" ht="12.75" hidden="1" customHeight="1">
      <c r="A521" s="161" t="str">
        <f t="shared" si="115"/>
        <v>18Supplemental Retirement Payments</v>
      </c>
      <c r="B521" s="161">
        <f t="shared" si="116"/>
        <v>1</v>
      </c>
      <c r="C521" s="163">
        <v>18</v>
      </c>
      <c r="D521" s="163" t="b">
        <v>1</v>
      </c>
      <c r="E521" s="161" t="s">
        <v>31</v>
      </c>
      <c r="F521" s="161" t="str">
        <f t="shared" si="117"/>
        <v>001</v>
      </c>
      <c r="G521" s="385">
        <v>101</v>
      </c>
      <c r="H521" s="161" t="str">
        <f t="shared" si="118"/>
        <v>011</v>
      </c>
      <c r="I521" s="161" t="str">
        <f t="shared" si="119"/>
        <v>001-011</v>
      </c>
      <c r="J521" s="162" t="s">
        <v>491</v>
      </c>
      <c r="K521" s="161" t="s">
        <v>203</v>
      </c>
      <c r="L521" s="420"/>
      <c r="M521" s="418">
        <v>-2203</v>
      </c>
      <c r="N521" s="157">
        <f t="shared" si="120"/>
        <v>101</v>
      </c>
      <c r="O521" s="156">
        <f t="shared" si="121"/>
        <v>-2203</v>
      </c>
      <c r="Q521" s="156"/>
    </row>
    <row r="522" spans="1:17" ht="12.75" hidden="1" customHeight="1">
      <c r="A522" s="161" t="str">
        <f t="shared" si="115"/>
        <v>30Supplemental Retirement Payments</v>
      </c>
      <c r="B522" s="161">
        <f t="shared" si="116"/>
        <v>1</v>
      </c>
      <c r="C522" s="163">
        <v>30</v>
      </c>
      <c r="D522" s="163" t="b">
        <v>1</v>
      </c>
      <c r="E522" s="161" t="s">
        <v>43</v>
      </c>
      <c r="F522" s="161" t="str">
        <f t="shared" si="117"/>
        <v>001</v>
      </c>
      <c r="G522" s="385">
        <v>101</v>
      </c>
      <c r="H522" s="161" t="str">
        <f t="shared" si="118"/>
        <v>011</v>
      </c>
      <c r="I522" s="161" t="str">
        <f t="shared" si="119"/>
        <v>001-011</v>
      </c>
      <c r="J522" s="162" t="s">
        <v>491</v>
      </c>
      <c r="K522" s="161" t="s">
        <v>203</v>
      </c>
      <c r="L522" s="420"/>
      <c r="M522" s="418">
        <v>-2123</v>
      </c>
      <c r="N522" s="157">
        <f t="shared" si="120"/>
        <v>101</v>
      </c>
      <c r="O522" s="156">
        <f t="shared" si="121"/>
        <v>-2123</v>
      </c>
      <c r="Q522" s="156"/>
    </row>
    <row r="523" spans="1:17" ht="12.75" hidden="1" customHeight="1">
      <c r="A523" s="161" t="str">
        <f t="shared" si="115"/>
        <v>12Supplemental Retirement Payments</v>
      </c>
      <c r="B523" s="161">
        <f t="shared" si="116"/>
        <v>1</v>
      </c>
      <c r="C523" s="163">
        <v>12</v>
      </c>
      <c r="D523" s="163" t="b">
        <v>1</v>
      </c>
      <c r="E523" s="161" t="s">
        <v>25</v>
      </c>
      <c r="F523" s="161" t="str">
        <f t="shared" si="117"/>
        <v>001</v>
      </c>
      <c r="G523" s="385">
        <v>101</v>
      </c>
      <c r="H523" s="161" t="str">
        <f t="shared" si="118"/>
        <v>011</v>
      </c>
      <c r="I523" s="161" t="str">
        <f t="shared" si="119"/>
        <v>001-011</v>
      </c>
      <c r="J523" s="162" t="s">
        <v>491</v>
      </c>
      <c r="K523" s="161" t="s">
        <v>203</v>
      </c>
      <c r="L523" s="420"/>
      <c r="M523" s="418">
        <v>-2504</v>
      </c>
      <c r="N523" s="157">
        <f t="shared" si="120"/>
        <v>101</v>
      </c>
      <c r="O523" s="156">
        <f t="shared" si="121"/>
        <v>-2504</v>
      </c>
      <c r="Q523" s="156"/>
    </row>
    <row r="524" spans="1:17" ht="12.75" hidden="1" customHeight="1">
      <c r="A524" s="161" t="str">
        <f t="shared" si="115"/>
        <v>14Supplemental Retirement Payments</v>
      </c>
      <c r="B524" s="161">
        <f t="shared" si="116"/>
        <v>1</v>
      </c>
      <c r="C524" s="163">
        <v>14</v>
      </c>
      <c r="D524" s="163" t="b">
        <v>1</v>
      </c>
      <c r="E524" s="161" t="s">
        <v>27</v>
      </c>
      <c r="F524" s="161" t="str">
        <f t="shared" si="117"/>
        <v>001</v>
      </c>
      <c r="G524" s="385">
        <v>101</v>
      </c>
      <c r="H524" s="161" t="str">
        <f t="shared" si="118"/>
        <v>011</v>
      </c>
      <c r="I524" s="161" t="str">
        <f t="shared" si="119"/>
        <v>001-011</v>
      </c>
      <c r="J524" s="162" t="s">
        <v>491</v>
      </c>
      <c r="K524" s="161" t="s">
        <v>203</v>
      </c>
      <c r="L524" s="420"/>
      <c r="M524" s="418">
        <v>-6556</v>
      </c>
      <c r="N524" s="157">
        <f t="shared" si="120"/>
        <v>101</v>
      </c>
      <c r="O524" s="156">
        <f t="shared" si="121"/>
        <v>-6556</v>
      </c>
      <c r="Q524" s="156"/>
    </row>
    <row r="525" spans="1:17" ht="12.75" hidden="1" customHeight="1">
      <c r="A525" s="161" t="str">
        <f t="shared" si="115"/>
        <v>29Supplemental Retirement Payments</v>
      </c>
      <c r="B525" s="161">
        <f t="shared" si="116"/>
        <v>1</v>
      </c>
      <c r="C525" s="163">
        <v>29</v>
      </c>
      <c r="D525" s="163" t="b">
        <v>1</v>
      </c>
      <c r="E525" s="161" t="s">
        <v>42</v>
      </c>
      <c r="F525" s="161" t="str">
        <f t="shared" si="117"/>
        <v>001</v>
      </c>
      <c r="G525" s="385">
        <v>101</v>
      </c>
      <c r="H525" s="161" t="str">
        <f t="shared" si="118"/>
        <v>011</v>
      </c>
      <c r="I525" s="161" t="str">
        <f t="shared" si="119"/>
        <v>001-011</v>
      </c>
      <c r="J525" s="162" t="s">
        <v>491</v>
      </c>
      <c r="K525" s="161" t="s">
        <v>203</v>
      </c>
      <c r="L525" s="420"/>
      <c r="M525" s="418">
        <v>-4320</v>
      </c>
      <c r="N525" s="157">
        <f t="shared" si="120"/>
        <v>101</v>
      </c>
      <c r="O525" s="156">
        <f t="shared" si="121"/>
        <v>-4320</v>
      </c>
      <c r="Q525" s="156"/>
    </row>
    <row r="526" spans="1:17" ht="12.75" hidden="1" customHeight="1">
      <c r="A526" s="161" t="str">
        <f t="shared" si="115"/>
        <v>19Supplemental Retirement Payments</v>
      </c>
      <c r="B526" s="161">
        <f t="shared" si="116"/>
        <v>1</v>
      </c>
      <c r="C526" s="163">
        <v>19</v>
      </c>
      <c r="D526" s="163" t="b">
        <v>1</v>
      </c>
      <c r="E526" s="161" t="s">
        <v>32</v>
      </c>
      <c r="F526" s="161" t="str">
        <f t="shared" si="117"/>
        <v>001</v>
      </c>
      <c r="G526" s="385">
        <v>101</v>
      </c>
      <c r="H526" s="161" t="str">
        <f t="shared" si="118"/>
        <v>011</v>
      </c>
      <c r="I526" s="161" t="str">
        <f t="shared" si="119"/>
        <v>001-011</v>
      </c>
      <c r="J526" s="162" t="s">
        <v>491</v>
      </c>
      <c r="K526" s="161" t="s">
        <v>203</v>
      </c>
      <c r="L526" s="420"/>
      <c r="M526" s="418">
        <v>-4541</v>
      </c>
      <c r="N526" s="157">
        <f t="shared" si="120"/>
        <v>101</v>
      </c>
      <c r="O526" s="156">
        <f t="shared" si="121"/>
        <v>-4541</v>
      </c>
      <c r="Q526" s="156"/>
    </row>
    <row r="527" spans="1:17" ht="12.75" hidden="1" customHeight="1">
      <c r="A527" s="161" t="str">
        <f t="shared" si="115"/>
        <v>23Supplemental Retirement Payments</v>
      </c>
      <c r="B527" s="161">
        <f t="shared" si="116"/>
        <v>1</v>
      </c>
      <c r="C527" s="163">
        <v>23</v>
      </c>
      <c r="D527" s="163" t="b">
        <v>1</v>
      </c>
      <c r="E527" s="161" t="s">
        <v>36</v>
      </c>
      <c r="F527" s="161" t="str">
        <f t="shared" si="117"/>
        <v>001</v>
      </c>
      <c r="G527" s="385">
        <v>101</v>
      </c>
      <c r="H527" s="161" t="str">
        <f t="shared" si="118"/>
        <v>011</v>
      </c>
      <c r="I527" s="161" t="str">
        <f t="shared" si="119"/>
        <v>001-011</v>
      </c>
      <c r="J527" s="162" t="s">
        <v>491</v>
      </c>
      <c r="K527" s="161" t="s">
        <v>203</v>
      </c>
      <c r="L527" s="420"/>
      <c r="M527" s="418">
        <v>-5535</v>
      </c>
      <c r="N527" s="157">
        <f t="shared" si="120"/>
        <v>101</v>
      </c>
      <c r="O527" s="156">
        <f t="shared" si="121"/>
        <v>-5535</v>
      </c>
      <c r="Q527" s="156"/>
    </row>
    <row r="528" spans="1:17" ht="12.75" hidden="1" customHeight="1">
      <c r="A528" s="161" t="str">
        <f t="shared" si="115"/>
        <v>5Supplemental Retirement Payments</v>
      </c>
      <c r="B528" s="161">
        <f t="shared" si="116"/>
        <v>1</v>
      </c>
      <c r="C528" s="163">
        <v>5</v>
      </c>
      <c r="D528" s="163" t="b">
        <v>1</v>
      </c>
      <c r="E528" s="161" t="s">
        <v>18</v>
      </c>
      <c r="F528" s="161" t="str">
        <f t="shared" si="117"/>
        <v>001</v>
      </c>
      <c r="G528" s="385">
        <v>101</v>
      </c>
      <c r="H528" s="161" t="str">
        <f t="shared" si="118"/>
        <v>011</v>
      </c>
      <c r="I528" s="161" t="str">
        <f t="shared" si="119"/>
        <v>001-011</v>
      </c>
      <c r="J528" s="162" t="s">
        <v>491</v>
      </c>
      <c r="K528" s="161" t="s">
        <v>203</v>
      </c>
      <c r="L528" s="420"/>
      <c r="M528" s="418">
        <v>-5392</v>
      </c>
      <c r="N528" s="157">
        <f t="shared" si="120"/>
        <v>101</v>
      </c>
      <c r="O528" s="156">
        <f t="shared" si="121"/>
        <v>-5392</v>
      </c>
      <c r="Q528" s="156"/>
    </row>
    <row r="529" spans="1:17" ht="12.75" hidden="1" customHeight="1">
      <c r="A529" s="161" t="str">
        <f t="shared" si="115"/>
        <v>00Supplemental Retirement Payments</v>
      </c>
      <c r="B529" s="161">
        <f t="shared" si="116"/>
        <v>1</v>
      </c>
      <c r="C529" s="163" t="s">
        <v>180</v>
      </c>
      <c r="D529" s="163" t="b">
        <v>1</v>
      </c>
      <c r="E529" s="161" t="s">
        <v>181</v>
      </c>
      <c r="F529" s="161" t="str">
        <f t="shared" si="117"/>
        <v>001</v>
      </c>
      <c r="G529" s="385">
        <v>101</v>
      </c>
      <c r="H529" s="161" t="str">
        <f t="shared" si="118"/>
        <v>011</v>
      </c>
      <c r="I529" s="161" t="str">
        <f t="shared" si="119"/>
        <v>001-011</v>
      </c>
      <c r="J529" s="162" t="s">
        <v>491</v>
      </c>
      <c r="K529" s="161" t="s">
        <v>203</v>
      </c>
      <c r="L529" s="418">
        <v>500000</v>
      </c>
      <c r="M529" s="420">
        <v>145000</v>
      </c>
      <c r="N529" s="157">
        <f t="shared" si="120"/>
        <v>101</v>
      </c>
      <c r="O529" s="156">
        <f>SUM(L529:M529)</f>
        <v>645000</v>
      </c>
      <c r="Q529" s="156"/>
    </row>
    <row r="530" spans="1:17" ht="12.75" hidden="1" customHeight="1">
      <c r="A530" s="161" t="str">
        <f t="shared" si="115"/>
        <v>2Supplemental Retirement Payments</v>
      </c>
      <c r="B530" s="161">
        <f t="shared" si="116"/>
        <v>1</v>
      </c>
      <c r="C530" s="163">
        <v>2</v>
      </c>
      <c r="D530" s="163" t="b">
        <v>1</v>
      </c>
      <c r="E530" s="161" t="s">
        <v>15</v>
      </c>
      <c r="F530" s="161" t="str">
        <f t="shared" si="117"/>
        <v>001</v>
      </c>
      <c r="G530" s="385">
        <v>101</v>
      </c>
      <c r="H530" s="161" t="str">
        <f t="shared" si="118"/>
        <v>011</v>
      </c>
      <c r="I530" s="161" t="str">
        <f t="shared" si="119"/>
        <v>001-011</v>
      </c>
      <c r="J530" s="162" t="s">
        <v>491</v>
      </c>
      <c r="K530" s="161" t="s">
        <v>203</v>
      </c>
      <c r="L530" s="420"/>
      <c r="M530" s="418">
        <v>-2006</v>
      </c>
      <c r="N530" s="157">
        <f t="shared" si="120"/>
        <v>101</v>
      </c>
      <c r="O530" s="156">
        <f t="shared" ref="O530:O549" si="122">SUM(M530:M530)</f>
        <v>-2006</v>
      </c>
      <c r="Q530" s="156"/>
    </row>
    <row r="531" spans="1:17" ht="12.75" hidden="1" customHeight="1">
      <c r="A531" s="161" t="str">
        <f t="shared" si="115"/>
        <v>10Supplemental Retirement Payments</v>
      </c>
      <c r="B531" s="161">
        <f t="shared" si="116"/>
        <v>1</v>
      </c>
      <c r="C531" s="163">
        <v>10</v>
      </c>
      <c r="D531" s="163" t="b">
        <v>1</v>
      </c>
      <c r="E531" s="161" t="s">
        <v>23</v>
      </c>
      <c r="F531" s="161" t="str">
        <f t="shared" si="117"/>
        <v>001</v>
      </c>
      <c r="G531" s="385">
        <v>101</v>
      </c>
      <c r="H531" s="161" t="str">
        <f t="shared" si="118"/>
        <v>011</v>
      </c>
      <c r="I531" s="161" t="str">
        <f t="shared" si="119"/>
        <v>001-011</v>
      </c>
      <c r="J531" s="162" t="s">
        <v>491</v>
      </c>
      <c r="K531" s="161" t="s">
        <v>203</v>
      </c>
      <c r="L531" s="420"/>
      <c r="M531" s="418">
        <v>-5500</v>
      </c>
      <c r="N531" s="157">
        <f t="shared" si="120"/>
        <v>101</v>
      </c>
      <c r="O531" s="156">
        <f t="shared" si="122"/>
        <v>-5500</v>
      </c>
      <c r="Q531" s="156"/>
    </row>
    <row r="532" spans="1:17" ht="12.75" hidden="1" customHeight="1">
      <c r="A532" s="161" t="str">
        <f t="shared" si="115"/>
        <v>9Supplemental Retirement Payments</v>
      </c>
      <c r="B532" s="161">
        <f t="shared" si="116"/>
        <v>1</v>
      </c>
      <c r="C532" s="163">
        <v>9</v>
      </c>
      <c r="D532" s="163" t="b">
        <v>1</v>
      </c>
      <c r="E532" s="161" t="s">
        <v>22</v>
      </c>
      <c r="F532" s="161" t="str">
        <f t="shared" si="117"/>
        <v>001</v>
      </c>
      <c r="G532" s="385">
        <v>101</v>
      </c>
      <c r="H532" s="161" t="str">
        <f t="shared" si="118"/>
        <v>011</v>
      </c>
      <c r="I532" s="161" t="str">
        <f t="shared" si="119"/>
        <v>001-011</v>
      </c>
      <c r="J532" s="162" t="s">
        <v>491</v>
      </c>
      <c r="K532" s="161" t="s">
        <v>203</v>
      </c>
      <c r="L532" s="420"/>
      <c r="M532" s="418">
        <v>-5404</v>
      </c>
      <c r="N532" s="157">
        <f t="shared" si="120"/>
        <v>101</v>
      </c>
      <c r="O532" s="156">
        <f t="shared" si="122"/>
        <v>-5404</v>
      </c>
      <c r="Q532" s="156"/>
    </row>
    <row r="533" spans="1:17" ht="12.75" hidden="1" customHeight="1">
      <c r="A533" s="161" t="str">
        <f t="shared" si="115"/>
        <v>26Supplemental Retirement Payments</v>
      </c>
      <c r="B533" s="161">
        <f t="shared" si="116"/>
        <v>1</v>
      </c>
      <c r="C533" s="163">
        <v>26</v>
      </c>
      <c r="D533" s="163" t="b">
        <v>1</v>
      </c>
      <c r="E533" s="161" t="s">
        <v>39</v>
      </c>
      <c r="F533" s="161" t="str">
        <f t="shared" si="117"/>
        <v>001</v>
      </c>
      <c r="G533" s="385">
        <v>101</v>
      </c>
      <c r="H533" s="161" t="str">
        <f t="shared" si="118"/>
        <v>011</v>
      </c>
      <c r="I533" s="161" t="str">
        <f t="shared" si="119"/>
        <v>001-011</v>
      </c>
      <c r="J533" s="162" t="s">
        <v>491</v>
      </c>
      <c r="K533" s="161" t="s">
        <v>203</v>
      </c>
      <c r="L533" s="420"/>
      <c r="M533" s="418">
        <v>-3337</v>
      </c>
      <c r="N533" s="157">
        <f t="shared" si="120"/>
        <v>101</v>
      </c>
      <c r="O533" s="156">
        <f t="shared" si="122"/>
        <v>-3337</v>
      </c>
      <c r="Q533" s="156"/>
    </row>
    <row r="534" spans="1:17" ht="12.75" hidden="1" customHeight="1">
      <c r="A534" s="161" t="str">
        <f t="shared" si="115"/>
        <v>13Supplemental Retirement Payments</v>
      </c>
      <c r="B534" s="161">
        <f t="shared" si="116"/>
        <v>1</v>
      </c>
      <c r="C534" s="163">
        <v>13</v>
      </c>
      <c r="D534" s="163" t="b">
        <v>1</v>
      </c>
      <c r="E534" s="161" t="s">
        <v>26</v>
      </c>
      <c r="F534" s="161" t="str">
        <f t="shared" si="117"/>
        <v>001</v>
      </c>
      <c r="G534" s="385">
        <v>101</v>
      </c>
      <c r="H534" s="161" t="str">
        <f t="shared" si="118"/>
        <v>011</v>
      </c>
      <c r="I534" s="161" t="str">
        <f t="shared" si="119"/>
        <v>001-011</v>
      </c>
      <c r="J534" s="162" t="s">
        <v>491</v>
      </c>
      <c r="K534" s="161" t="s">
        <v>203</v>
      </c>
      <c r="L534" s="420"/>
      <c r="M534" s="418">
        <v>-2912</v>
      </c>
      <c r="N534" s="157">
        <f t="shared" si="120"/>
        <v>101</v>
      </c>
      <c r="O534" s="156">
        <f t="shared" si="122"/>
        <v>-2912</v>
      </c>
      <c r="Q534" s="156"/>
    </row>
    <row r="535" spans="1:17" ht="12.75" hidden="1" customHeight="1">
      <c r="A535" s="161" t="str">
        <f t="shared" si="115"/>
        <v>3Supplemental Retirement Payments</v>
      </c>
      <c r="B535" s="161">
        <f t="shared" si="116"/>
        <v>1</v>
      </c>
      <c r="C535" s="163">
        <v>3</v>
      </c>
      <c r="D535" s="163" t="b">
        <v>1</v>
      </c>
      <c r="E535" s="161" t="s">
        <v>16</v>
      </c>
      <c r="F535" s="161" t="str">
        <f t="shared" si="117"/>
        <v>001</v>
      </c>
      <c r="G535" s="385">
        <v>101</v>
      </c>
      <c r="H535" s="161" t="str">
        <f t="shared" si="118"/>
        <v>011</v>
      </c>
      <c r="I535" s="161" t="str">
        <f t="shared" si="119"/>
        <v>001-011</v>
      </c>
      <c r="J535" s="162" t="s">
        <v>491</v>
      </c>
      <c r="K535" s="161" t="s">
        <v>203</v>
      </c>
      <c r="L535" s="420"/>
      <c r="M535" s="418">
        <v>-4553</v>
      </c>
      <c r="N535" s="157">
        <f t="shared" si="120"/>
        <v>101</v>
      </c>
      <c r="O535" s="156">
        <f t="shared" si="122"/>
        <v>-4553</v>
      </c>
      <c r="Q535" s="156"/>
    </row>
    <row r="536" spans="1:17" ht="12.75" hidden="1" customHeight="1">
      <c r="A536" s="161" t="str">
        <f t="shared" si="115"/>
        <v>1Supplemental Retirement Payments</v>
      </c>
      <c r="B536" s="161">
        <f t="shared" si="116"/>
        <v>1</v>
      </c>
      <c r="C536" s="163">
        <v>1</v>
      </c>
      <c r="D536" s="163" t="b">
        <v>1</v>
      </c>
      <c r="E536" s="161" t="s">
        <v>14</v>
      </c>
      <c r="F536" s="161" t="str">
        <f t="shared" si="117"/>
        <v>001</v>
      </c>
      <c r="G536" s="385">
        <v>101</v>
      </c>
      <c r="H536" s="161" t="str">
        <f t="shared" si="118"/>
        <v>011</v>
      </c>
      <c r="I536" s="161" t="str">
        <f t="shared" si="119"/>
        <v>001-011</v>
      </c>
      <c r="J536" s="162" t="s">
        <v>491</v>
      </c>
      <c r="K536" s="161" t="s">
        <v>203</v>
      </c>
      <c r="L536" s="420"/>
      <c r="M536" s="418">
        <v>-2354</v>
      </c>
      <c r="N536" s="157">
        <f t="shared" si="120"/>
        <v>101</v>
      </c>
      <c r="O536" s="156">
        <f t="shared" si="122"/>
        <v>-2354</v>
      </c>
      <c r="Q536" s="156"/>
    </row>
    <row r="537" spans="1:17" ht="12.75" hidden="1" customHeight="1">
      <c r="A537" s="161" t="str">
        <f t="shared" si="115"/>
        <v>11Supplemental Retirement Payments</v>
      </c>
      <c r="B537" s="161">
        <f t="shared" si="116"/>
        <v>1</v>
      </c>
      <c r="C537" s="163">
        <v>11</v>
      </c>
      <c r="D537" s="163" t="b">
        <v>1</v>
      </c>
      <c r="E537" s="161" t="s">
        <v>24</v>
      </c>
      <c r="F537" s="161" t="str">
        <f t="shared" si="117"/>
        <v>001</v>
      </c>
      <c r="G537" s="385">
        <v>101</v>
      </c>
      <c r="H537" s="161" t="str">
        <f t="shared" si="118"/>
        <v>011</v>
      </c>
      <c r="I537" s="161" t="str">
        <f t="shared" si="119"/>
        <v>001-011</v>
      </c>
      <c r="J537" s="162" t="s">
        <v>491</v>
      </c>
      <c r="K537" s="161" t="s">
        <v>203</v>
      </c>
      <c r="L537" s="420"/>
      <c r="M537" s="418">
        <v>-5504</v>
      </c>
      <c r="N537" s="157">
        <f t="shared" si="120"/>
        <v>101</v>
      </c>
      <c r="O537" s="156">
        <f t="shared" si="122"/>
        <v>-5504</v>
      </c>
      <c r="Q537" s="156"/>
    </row>
    <row r="538" spans="1:17" ht="12.75" hidden="1" customHeight="1">
      <c r="A538" s="161" t="str">
        <f t="shared" si="115"/>
        <v>27Supplemental Retirement Payments</v>
      </c>
      <c r="B538" s="161">
        <f t="shared" si="116"/>
        <v>1</v>
      </c>
      <c r="C538" s="163">
        <v>27</v>
      </c>
      <c r="D538" s="163" t="b">
        <v>1</v>
      </c>
      <c r="E538" s="161" t="s">
        <v>40</v>
      </c>
      <c r="F538" s="161" t="str">
        <f t="shared" si="117"/>
        <v>001</v>
      </c>
      <c r="G538" s="385">
        <v>101</v>
      </c>
      <c r="H538" s="161" t="str">
        <f t="shared" si="118"/>
        <v>011</v>
      </c>
      <c r="I538" s="161" t="str">
        <f t="shared" si="119"/>
        <v>001-011</v>
      </c>
      <c r="J538" s="162" t="s">
        <v>491</v>
      </c>
      <c r="K538" s="161" t="s">
        <v>203</v>
      </c>
      <c r="L538" s="420"/>
      <c r="M538" s="418">
        <v>-3658</v>
      </c>
      <c r="N538" s="157">
        <f t="shared" si="120"/>
        <v>101</v>
      </c>
      <c r="O538" s="156">
        <f t="shared" si="122"/>
        <v>-3658</v>
      </c>
      <c r="Q538" s="156"/>
    </row>
    <row r="539" spans="1:17" ht="12.75" hidden="1" customHeight="1">
      <c r="A539" s="161" t="str">
        <f t="shared" si="115"/>
        <v>89Supplemental Retirement Payments</v>
      </c>
      <c r="B539" s="161">
        <f t="shared" si="116"/>
        <v>1</v>
      </c>
      <c r="C539" s="160" t="s">
        <v>144</v>
      </c>
      <c r="D539" s="163" t="b">
        <v>1</v>
      </c>
      <c r="E539" s="161" t="s">
        <v>204</v>
      </c>
      <c r="F539" s="161" t="str">
        <f t="shared" si="117"/>
        <v>001</v>
      </c>
      <c r="G539" s="161" t="str">
        <f t="shared" ref="G539" si="123">IF(RIGHT(J539,3)="012","201",IF(RIGHT(J539,3)="232","123",IF(RIGHT(J539,3)="1E2","215",RIGHT(J539,3))))</f>
        <v>011</v>
      </c>
      <c r="H539" s="161" t="str">
        <f t="shared" si="118"/>
        <v>011</v>
      </c>
      <c r="I539" s="161" t="str">
        <f t="shared" si="119"/>
        <v>001-011</v>
      </c>
      <c r="J539" s="162" t="s">
        <v>491</v>
      </c>
      <c r="K539" s="161" t="s">
        <v>203</v>
      </c>
      <c r="L539" s="420"/>
      <c r="M539" s="418">
        <v>-4448</v>
      </c>
      <c r="N539" s="157">
        <f t="shared" si="120"/>
        <v>101</v>
      </c>
      <c r="O539" s="156">
        <f t="shared" si="122"/>
        <v>-4448</v>
      </c>
      <c r="Q539" s="156"/>
    </row>
    <row r="540" spans="1:17" ht="12.75" hidden="1" customHeight="1">
      <c r="A540" s="161" t="str">
        <f t="shared" si="115"/>
        <v>6Supplemental Retirement Payments</v>
      </c>
      <c r="B540" s="161">
        <f t="shared" si="116"/>
        <v>1</v>
      </c>
      <c r="C540" s="163">
        <v>6</v>
      </c>
      <c r="D540" s="163" t="b">
        <v>1</v>
      </c>
      <c r="E540" s="161" t="s">
        <v>19</v>
      </c>
      <c r="F540" s="161" t="str">
        <f t="shared" si="117"/>
        <v>001</v>
      </c>
      <c r="G540" s="385">
        <v>101</v>
      </c>
      <c r="H540" s="161" t="str">
        <f t="shared" si="118"/>
        <v>011</v>
      </c>
      <c r="I540" s="161" t="str">
        <f t="shared" si="119"/>
        <v>001-011</v>
      </c>
      <c r="J540" s="162" t="s">
        <v>491</v>
      </c>
      <c r="K540" s="161" t="s">
        <v>203</v>
      </c>
      <c r="L540" s="420"/>
      <c r="M540" s="418">
        <v>-15168</v>
      </c>
      <c r="N540" s="157">
        <f t="shared" si="120"/>
        <v>101</v>
      </c>
      <c r="O540" s="156">
        <f t="shared" si="122"/>
        <v>-15168</v>
      </c>
      <c r="Q540" s="156"/>
    </row>
    <row r="541" spans="1:17" ht="12.75" hidden="1" customHeight="1">
      <c r="A541" s="161" t="str">
        <f t="shared" si="115"/>
        <v>7Supplemental Retirement Payments</v>
      </c>
      <c r="B541" s="161">
        <f t="shared" si="116"/>
        <v>1</v>
      </c>
      <c r="C541" s="163">
        <v>7</v>
      </c>
      <c r="D541" s="163" t="b">
        <v>1</v>
      </c>
      <c r="E541" s="161" t="s">
        <v>20</v>
      </c>
      <c r="F541" s="161" t="str">
        <f t="shared" si="117"/>
        <v>001</v>
      </c>
      <c r="G541" s="385">
        <v>101</v>
      </c>
      <c r="H541" s="161" t="str">
        <f t="shared" si="118"/>
        <v>011</v>
      </c>
      <c r="I541" s="161" t="str">
        <f t="shared" si="119"/>
        <v>001-011</v>
      </c>
      <c r="J541" s="162" t="s">
        <v>491</v>
      </c>
      <c r="K541" s="161" t="s">
        <v>203</v>
      </c>
      <c r="L541" s="420"/>
      <c r="M541" s="418">
        <v>-4758</v>
      </c>
      <c r="N541" s="157">
        <f t="shared" si="120"/>
        <v>101</v>
      </c>
      <c r="O541" s="156">
        <f t="shared" si="122"/>
        <v>-4758</v>
      </c>
      <c r="Q541" s="156"/>
    </row>
    <row r="542" spans="1:17" ht="12.75" hidden="1" customHeight="1">
      <c r="A542" s="161" t="str">
        <f t="shared" si="115"/>
        <v>4Supplemental Retirement Payments</v>
      </c>
      <c r="B542" s="161">
        <f t="shared" si="116"/>
        <v>1</v>
      </c>
      <c r="C542" s="163">
        <v>4</v>
      </c>
      <c r="D542" s="163" t="b">
        <v>1</v>
      </c>
      <c r="E542" s="161" t="s">
        <v>17</v>
      </c>
      <c r="F542" s="161" t="str">
        <f t="shared" si="117"/>
        <v>001</v>
      </c>
      <c r="G542" s="385">
        <v>101</v>
      </c>
      <c r="H542" s="161" t="str">
        <f t="shared" si="118"/>
        <v>011</v>
      </c>
      <c r="I542" s="161" t="str">
        <f t="shared" si="119"/>
        <v>001-011</v>
      </c>
      <c r="J542" s="162" t="s">
        <v>491</v>
      </c>
      <c r="K542" s="161" t="s">
        <v>203</v>
      </c>
      <c r="L542" s="420"/>
      <c r="M542" s="418">
        <v>-4055</v>
      </c>
      <c r="N542" s="157">
        <f t="shared" si="120"/>
        <v>101</v>
      </c>
      <c r="O542" s="156">
        <f t="shared" si="122"/>
        <v>-4055</v>
      </c>
      <c r="Q542" s="156"/>
    </row>
    <row r="543" spans="1:17" ht="12.75" hidden="1" customHeight="1">
      <c r="A543" s="161" t="str">
        <f t="shared" si="115"/>
        <v>24Supplemental Retirement Payments</v>
      </c>
      <c r="B543" s="161">
        <f t="shared" si="116"/>
        <v>1</v>
      </c>
      <c r="C543" s="163">
        <v>24</v>
      </c>
      <c r="D543" s="163" t="b">
        <v>1</v>
      </c>
      <c r="E543" s="161" t="s">
        <v>37</v>
      </c>
      <c r="F543" s="161" t="str">
        <f t="shared" si="117"/>
        <v>001</v>
      </c>
      <c r="G543" s="385">
        <v>101</v>
      </c>
      <c r="H543" s="161" t="str">
        <f t="shared" si="118"/>
        <v>011</v>
      </c>
      <c r="I543" s="161" t="str">
        <f t="shared" si="119"/>
        <v>001-011</v>
      </c>
      <c r="J543" s="162" t="s">
        <v>491</v>
      </c>
      <c r="K543" s="161" t="s">
        <v>203</v>
      </c>
      <c r="L543" s="420"/>
      <c r="M543" s="418">
        <v>-3648</v>
      </c>
      <c r="N543" s="157">
        <f t="shared" si="120"/>
        <v>101</v>
      </c>
      <c r="O543" s="156">
        <f t="shared" si="122"/>
        <v>-3648</v>
      </c>
      <c r="Q543" s="156"/>
    </row>
    <row r="544" spans="1:17" ht="12.75" hidden="1" customHeight="1">
      <c r="A544" s="161" t="str">
        <f t="shared" si="115"/>
        <v>17Supplemental Retirement Payments</v>
      </c>
      <c r="B544" s="161">
        <f t="shared" si="116"/>
        <v>1</v>
      </c>
      <c r="C544" s="163">
        <v>17</v>
      </c>
      <c r="D544" s="163" t="b">
        <v>1</v>
      </c>
      <c r="E544" s="161" t="s">
        <v>30</v>
      </c>
      <c r="F544" s="161" t="str">
        <f t="shared" si="117"/>
        <v>001</v>
      </c>
      <c r="G544" s="385">
        <v>101</v>
      </c>
      <c r="H544" s="161" t="str">
        <f t="shared" si="118"/>
        <v>011</v>
      </c>
      <c r="I544" s="161" t="str">
        <f t="shared" si="119"/>
        <v>001-011</v>
      </c>
      <c r="J544" s="162" t="s">
        <v>491</v>
      </c>
      <c r="K544" s="161" t="s">
        <v>203</v>
      </c>
      <c r="L544" s="420"/>
      <c r="M544" s="418">
        <v>-12781</v>
      </c>
      <c r="N544" s="157">
        <f t="shared" si="120"/>
        <v>101</v>
      </c>
      <c r="O544" s="156">
        <f t="shared" si="122"/>
        <v>-12781</v>
      </c>
      <c r="Q544" s="156"/>
    </row>
    <row r="545" spans="1:17" ht="12.75" hidden="1" customHeight="1">
      <c r="A545" s="161" t="str">
        <f t="shared" si="115"/>
        <v>22Supplemental Retirement Payments</v>
      </c>
      <c r="B545" s="161">
        <f t="shared" si="116"/>
        <v>1</v>
      </c>
      <c r="C545" s="163">
        <v>22</v>
      </c>
      <c r="D545" s="163" t="b">
        <v>1</v>
      </c>
      <c r="E545" s="161" t="s">
        <v>35</v>
      </c>
      <c r="F545" s="161" t="str">
        <f t="shared" si="117"/>
        <v>001</v>
      </c>
      <c r="G545" s="385">
        <v>101</v>
      </c>
      <c r="H545" s="161" t="str">
        <f t="shared" si="118"/>
        <v>011</v>
      </c>
      <c r="I545" s="161" t="str">
        <f t="shared" si="119"/>
        <v>001-011</v>
      </c>
      <c r="J545" s="162" t="s">
        <v>491</v>
      </c>
      <c r="K545" s="161" t="s">
        <v>203</v>
      </c>
      <c r="L545" s="420"/>
      <c r="M545" s="418">
        <v>-4519</v>
      </c>
      <c r="N545" s="157">
        <f t="shared" si="120"/>
        <v>101</v>
      </c>
      <c r="O545" s="156">
        <f t="shared" si="122"/>
        <v>-4519</v>
      </c>
      <c r="Q545" s="156"/>
    </row>
    <row r="546" spans="1:17" ht="12.75" hidden="1" customHeight="1">
      <c r="A546" s="161" t="str">
        <f t="shared" si="115"/>
        <v>20Supplemental Retirement Payments</v>
      </c>
      <c r="B546" s="161">
        <f t="shared" si="116"/>
        <v>1</v>
      </c>
      <c r="C546" s="163">
        <v>20</v>
      </c>
      <c r="D546" s="163" t="b">
        <v>1</v>
      </c>
      <c r="E546" s="161" t="s">
        <v>33</v>
      </c>
      <c r="F546" s="161" t="str">
        <f t="shared" si="117"/>
        <v>001</v>
      </c>
      <c r="G546" s="385">
        <v>101</v>
      </c>
      <c r="H546" s="161" t="str">
        <f t="shared" si="118"/>
        <v>011</v>
      </c>
      <c r="I546" s="161" t="str">
        <f t="shared" si="119"/>
        <v>001-011</v>
      </c>
      <c r="J546" s="162" t="s">
        <v>491</v>
      </c>
      <c r="K546" s="161" t="s">
        <v>203</v>
      </c>
      <c r="L546" s="420"/>
      <c r="M546" s="418">
        <v>-3442</v>
      </c>
      <c r="N546" s="157">
        <f t="shared" si="120"/>
        <v>101</v>
      </c>
      <c r="O546" s="156">
        <f t="shared" si="122"/>
        <v>-3442</v>
      </c>
      <c r="Q546" s="156"/>
    </row>
    <row r="547" spans="1:17" ht="12.75" hidden="1" customHeight="1">
      <c r="A547" s="161" t="str">
        <f t="shared" si="115"/>
        <v>15Supplemental Retirement Payments</v>
      </c>
      <c r="B547" s="161">
        <f t="shared" si="116"/>
        <v>1</v>
      </c>
      <c r="C547" s="163">
        <v>15</v>
      </c>
      <c r="D547" s="163" t="b">
        <v>1</v>
      </c>
      <c r="E547" s="161" t="s">
        <v>28</v>
      </c>
      <c r="F547" s="161" t="str">
        <f t="shared" si="117"/>
        <v>001</v>
      </c>
      <c r="G547" s="385">
        <v>101</v>
      </c>
      <c r="H547" s="161" t="str">
        <f t="shared" si="118"/>
        <v>011</v>
      </c>
      <c r="I547" s="161" t="str">
        <f t="shared" si="119"/>
        <v>001-011</v>
      </c>
      <c r="J547" s="162" t="s">
        <v>491</v>
      </c>
      <c r="K547" s="161" t="s">
        <v>203</v>
      </c>
      <c r="L547" s="420"/>
      <c r="M547" s="418">
        <v>-2769</v>
      </c>
      <c r="N547" s="157">
        <f t="shared" si="120"/>
        <v>101</v>
      </c>
      <c r="O547" s="156">
        <f t="shared" si="122"/>
        <v>-2769</v>
      </c>
      <c r="Q547" s="156"/>
    </row>
    <row r="548" spans="1:17" ht="12.75" hidden="1" customHeight="1">
      <c r="A548" s="161" t="str">
        <f t="shared" si="115"/>
        <v>21Supplemental Retirement Payments</v>
      </c>
      <c r="B548" s="161">
        <f t="shared" si="116"/>
        <v>1</v>
      </c>
      <c r="C548" s="163">
        <v>21</v>
      </c>
      <c r="D548" s="163" t="b">
        <v>1</v>
      </c>
      <c r="E548" s="161" t="s">
        <v>34</v>
      </c>
      <c r="F548" s="161" t="str">
        <f t="shared" si="117"/>
        <v>001</v>
      </c>
      <c r="G548" s="385">
        <v>101</v>
      </c>
      <c r="H548" s="161" t="str">
        <f t="shared" si="118"/>
        <v>011</v>
      </c>
      <c r="I548" s="161" t="str">
        <f t="shared" si="119"/>
        <v>001-011</v>
      </c>
      <c r="J548" s="162" t="s">
        <v>491</v>
      </c>
      <c r="K548" s="161" t="s">
        <v>203</v>
      </c>
      <c r="L548" s="420"/>
      <c r="M548" s="418">
        <v>-2767</v>
      </c>
      <c r="N548" s="157">
        <f t="shared" si="120"/>
        <v>101</v>
      </c>
      <c r="O548" s="156">
        <f t="shared" si="122"/>
        <v>-2767</v>
      </c>
      <c r="Q548" s="156"/>
    </row>
    <row r="549" spans="1:17" ht="12.75" hidden="1" customHeight="1">
      <c r="A549" s="161" t="str">
        <f t="shared" si="115"/>
        <v>16Supplemental Retirement Payments</v>
      </c>
      <c r="B549" s="161">
        <f t="shared" si="116"/>
        <v>1</v>
      </c>
      <c r="C549" s="163">
        <v>16</v>
      </c>
      <c r="D549" s="163" t="b">
        <v>1</v>
      </c>
      <c r="E549" s="161" t="s">
        <v>29</v>
      </c>
      <c r="F549" s="161" t="str">
        <f t="shared" si="117"/>
        <v>001</v>
      </c>
      <c r="G549" s="385">
        <v>101</v>
      </c>
      <c r="H549" s="161" t="str">
        <f t="shared" si="118"/>
        <v>011</v>
      </c>
      <c r="I549" s="161" t="str">
        <f t="shared" si="119"/>
        <v>001-011</v>
      </c>
      <c r="J549" s="162" t="s">
        <v>491</v>
      </c>
      <c r="K549" s="161" t="s">
        <v>203</v>
      </c>
      <c r="L549" s="420"/>
      <c r="M549" s="418">
        <v>-4212</v>
      </c>
      <c r="N549" s="157">
        <f t="shared" si="120"/>
        <v>101</v>
      </c>
      <c r="O549" s="156">
        <f t="shared" si="122"/>
        <v>-4212</v>
      </c>
      <c r="Q549" s="156"/>
    </row>
    <row r="550" spans="1:17" ht="12.75" hidden="1" customHeight="1">
      <c r="A550" s="161" t="str">
        <f t="shared" si="115"/>
        <v>89Technology Transformation</v>
      </c>
      <c r="B550" s="161">
        <f t="shared" si="116"/>
        <v>1</v>
      </c>
      <c r="C550" s="160" t="s">
        <v>144</v>
      </c>
      <c r="D550" s="163" t="b">
        <v>1</v>
      </c>
      <c r="E550" s="161" t="s">
        <v>204</v>
      </c>
      <c r="F550" s="161" t="str">
        <f t="shared" si="117"/>
        <v>001</v>
      </c>
      <c r="G550" s="161" t="str">
        <f t="shared" ref="G550:G551" si="124">IF(RIGHT(J550,3)="012","201",IF(RIGHT(J550,3)="232","123",IF(RIGHT(J550,3)="1E2","215",RIGHT(J550,3))))</f>
        <v>011</v>
      </c>
      <c r="H550" s="161" t="str">
        <f t="shared" si="118"/>
        <v>011</v>
      </c>
      <c r="I550" s="161" t="str">
        <f t="shared" si="119"/>
        <v>001-011</v>
      </c>
      <c r="J550" s="162" t="s">
        <v>491</v>
      </c>
      <c r="K550" s="161" t="s">
        <v>221</v>
      </c>
      <c r="L550" s="418">
        <v>1009270</v>
      </c>
      <c r="M550" s="420">
        <v>-1009270</v>
      </c>
      <c r="N550" s="157">
        <f t="shared" si="120"/>
        <v>101</v>
      </c>
      <c r="O550" s="156">
        <f t="shared" ref="O550:O581" si="125">SUM(L550:M550)</f>
        <v>0</v>
      </c>
      <c r="Q550" s="156"/>
    </row>
    <row r="551" spans="1:17" ht="12.75" hidden="1" customHeight="1">
      <c r="A551" s="161" t="str">
        <f t="shared" si="115"/>
        <v>90UCNPS Transfer</v>
      </c>
      <c r="B551" s="161">
        <f t="shared" si="116"/>
        <v>1</v>
      </c>
      <c r="C551" s="160">
        <v>90</v>
      </c>
      <c r="D551" s="163" t="b">
        <v>1</v>
      </c>
      <c r="E551" s="161" t="s">
        <v>205</v>
      </c>
      <c r="F551" s="161" t="str">
        <f t="shared" si="117"/>
        <v>001</v>
      </c>
      <c r="G551" s="161" t="str">
        <f t="shared" si="124"/>
        <v>011</v>
      </c>
      <c r="H551" s="161" t="str">
        <f t="shared" si="118"/>
        <v>011</v>
      </c>
      <c r="I551" s="161" t="str">
        <f t="shared" si="119"/>
        <v>001-011</v>
      </c>
      <c r="J551" s="162" t="s">
        <v>491</v>
      </c>
      <c r="K551" s="161" t="s">
        <v>343</v>
      </c>
      <c r="L551" s="418">
        <v>1989000</v>
      </c>
      <c r="M551" s="419">
        <v>-1989000</v>
      </c>
      <c r="N551" s="157">
        <f t="shared" si="120"/>
        <v>101</v>
      </c>
      <c r="O551" s="156">
        <f t="shared" si="125"/>
        <v>0</v>
      </c>
      <c r="Q551" s="156"/>
    </row>
    <row r="552" spans="1:17" ht="12.75" hidden="1" customHeight="1">
      <c r="A552" s="161" t="str">
        <f t="shared" si="115"/>
        <v>14University Contracts (ELTA)</v>
      </c>
      <c r="B552" s="161">
        <f t="shared" si="116"/>
        <v>1</v>
      </c>
      <c r="C552" s="163">
        <v>14</v>
      </c>
      <c r="D552" s="163" t="b">
        <v>1</v>
      </c>
      <c r="E552" s="161" t="s">
        <v>27</v>
      </c>
      <c r="F552" s="161" t="str">
        <f t="shared" si="117"/>
        <v>08A</v>
      </c>
      <c r="G552" s="161" t="str">
        <f t="shared" ref="G552:G558" si="126">IF(RIGHT(J552,3)="012","201",IF(RIGHT(J552,3)="232","123",IF(RIGHT(J552,3)="1E2","215",RIGHT(J552,3))))</f>
        <v>3E0</v>
      </c>
      <c r="H552" s="161" t="str">
        <f t="shared" si="118"/>
        <v>3E0</v>
      </c>
      <c r="I552" s="161" t="str">
        <f t="shared" si="119"/>
        <v>08A-3E0</v>
      </c>
      <c r="J552" s="162" t="s">
        <v>149</v>
      </c>
      <c r="K552" s="161" t="s">
        <v>66</v>
      </c>
      <c r="L552" s="418">
        <v>83514</v>
      </c>
      <c r="M552" s="419"/>
      <c r="N552" s="157" t="str">
        <f t="shared" si="120"/>
        <v>3E0</v>
      </c>
      <c r="O552" s="156">
        <f t="shared" si="125"/>
        <v>83514</v>
      </c>
      <c r="Q552" s="156"/>
    </row>
    <row r="553" spans="1:17" ht="12.75" hidden="1" customHeight="1">
      <c r="A553" s="161" t="str">
        <f t="shared" si="115"/>
        <v>23University Contracts (ELTA)</v>
      </c>
      <c r="B553" s="161">
        <f t="shared" si="116"/>
        <v>1</v>
      </c>
      <c r="C553" s="163">
        <v>23</v>
      </c>
      <c r="D553" s="163" t="b">
        <v>1</v>
      </c>
      <c r="E553" s="161" t="s">
        <v>36</v>
      </c>
      <c r="F553" s="161" t="str">
        <f t="shared" si="117"/>
        <v>08A</v>
      </c>
      <c r="G553" s="161" t="str">
        <f t="shared" si="126"/>
        <v>3E0</v>
      </c>
      <c r="H553" s="161" t="str">
        <f t="shared" si="118"/>
        <v>3E0</v>
      </c>
      <c r="I553" s="161" t="str">
        <f t="shared" si="119"/>
        <v>08A-3E0</v>
      </c>
      <c r="J553" s="162" t="s">
        <v>149</v>
      </c>
      <c r="K553" s="161" t="s">
        <v>66</v>
      </c>
      <c r="L553" s="418">
        <v>99529</v>
      </c>
      <c r="M553" s="419"/>
      <c r="N553" s="157" t="str">
        <f t="shared" si="120"/>
        <v>3E0</v>
      </c>
      <c r="O553" s="156">
        <f t="shared" si="125"/>
        <v>99529</v>
      </c>
      <c r="Q553" s="156"/>
    </row>
    <row r="554" spans="1:17" ht="12.75" hidden="1" customHeight="1">
      <c r="A554" s="161" t="str">
        <f t="shared" si="115"/>
        <v>5University Contracts (ELTA)</v>
      </c>
      <c r="B554" s="161">
        <f t="shared" si="116"/>
        <v>1</v>
      </c>
      <c r="C554" s="163">
        <v>5</v>
      </c>
      <c r="D554" s="163" t="b">
        <v>1</v>
      </c>
      <c r="E554" s="161" t="s">
        <v>18</v>
      </c>
      <c r="F554" s="161" t="str">
        <f t="shared" si="117"/>
        <v>08A</v>
      </c>
      <c r="G554" s="161" t="str">
        <f t="shared" si="126"/>
        <v>3E0</v>
      </c>
      <c r="H554" s="161" t="str">
        <f t="shared" si="118"/>
        <v>3E0</v>
      </c>
      <c r="I554" s="161" t="str">
        <f t="shared" si="119"/>
        <v>08A-3E0</v>
      </c>
      <c r="J554" s="162" t="s">
        <v>149</v>
      </c>
      <c r="K554" s="161" t="s">
        <v>66</v>
      </c>
      <c r="L554" s="418">
        <v>0</v>
      </c>
      <c r="M554" s="419"/>
      <c r="N554" s="157" t="str">
        <f t="shared" si="120"/>
        <v>3E0</v>
      </c>
      <c r="O554" s="156">
        <f t="shared" si="125"/>
        <v>0</v>
      </c>
      <c r="Q554" s="156"/>
    </row>
    <row r="555" spans="1:17" ht="12.75" hidden="1" customHeight="1">
      <c r="A555" s="161" t="str">
        <f t="shared" ref="A555:A618" si="127">C555&amp;K555</f>
        <v>00University Contracts (ELTA)</v>
      </c>
      <c r="B555" s="161">
        <f t="shared" si="116"/>
        <v>1</v>
      </c>
      <c r="C555" s="163" t="s">
        <v>180</v>
      </c>
      <c r="D555" s="163" t="b">
        <v>1</v>
      </c>
      <c r="E555" s="161" t="s">
        <v>181</v>
      </c>
      <c r="F555" s="161" t="str">
        <f t="shared" si="117"/>
        <v>08A</v>
      </c>
      <c r="G555" s="161" t="str">
        <f t="shared" si="126"/>
        <v>3E0</v>
      </c>
      <c r="H555" s="161" t="str">
        <f t="shared" si="118"/>
        <v>3E0</v>
      </c>
      <c r="I555" s="161" t="str">
        <f t="shared" si="119"/>
        <v>08A-3E0</v>
      </c>
      <c r="J555" s="162" t="s">
        <v>149</v>
      </c>
      <c r="K555" s="161" t="s">
        <v>66</v>
      </c>
      <c r="L555" s="418">
        <v>0</v>
      </c>
      <c r="M555" s="420">
        <v>0</v>
      </c>
      <c r="N555" s="157" t="str">
        <f t="shared" si="120"/>
        <v>3E0</v>
      </c>
      <c r="O555" s="156">
        <f t="shared" si="125"/>
        <v>0</v>
      </c>
      <c r="Q555" s="156"/>
    </row>
    <row r="556" spans="1:17" ht="12.75" hidden="1" customHeight="1">
      <c r="A556" s="161" t="str">
        <f t="shared" si="127"/>
        <v>3University Contracts (ELTA)</v>
      </c>
      <c r="B556" s="161">
        <f t="shared" ref="B556:B619" si="128">B555</f>
        <v>1</v>
      </c>
      <c r="C556" s="163">
        <v>3</v>
      </c>
      <c r="D556" s="163" t="b">
        <v>1</v>
      </c>
      <c r="E556" s="161" t="s">
        <v>16</v>
      </c>
      <c r="F556" s="161" t="str">
        <f t="shared" si="117"/>
        <v>08A</v>
      </c>
      <c r="G556" s="161" t="str">
        <f t="shared" si="126"/>
        <v>3E0</v>
      </c>
      <c r="H556" s="161" t="str">
        <f t="shared" si="118"/>
        <v>3E0</v>
      </c>
      <c r="I556" s="161" t="str">
        <f t="shared" si="119"/>
        <v>08A-3E0</v>
      </c>
      <c r="J556" s="162" t="s">
        <v>149</v>
      </c>
      <c r="K556" s="161" t="s">
        <v>66</v>
      </c>
      <c r="L556" s="418">
        <v>182812</v>
      </c>
      <c r="M556" s="419"/>
      <c r="N556" s="157" t="str">
        <f t="shared" si="120"/>
        <v>3E0</v>
      </c>
      <c r="O556" s="156">
        <f t="shared" si="125"/>
        <v>182812</v>
      </c>
      <c r="Q556" s="156"/>
    </row>
    <row r="557" spans="1:17" ht="12.75" hidden="1" customHeight="1">
      <c r="A557" s="161" t="str">
        <f t="shared" si="127"/>
        <v>1University Contracts (ELTA)</v>
      </c>
      <c r="B557" s="161">
        <f t="shared" si="128"/>
        <v>1</v>
      </c>
      <c r="C557" s="163">
        <v>1</v>
      </c>
      <c r="D557" s="163" t="b">
        <v>1</v>
      </c>
      <c r="E557" s="161" t="s">
        <v>14</v>
      </c>
      <c r="F557" s="161" t="str">
        <f t="shared" si="117"/>
        <v>08A</v>
      </c>
      <c r="G557" s="161" t="str">
        <f t="shared" si="126"/>
        <v>3E0</v>
      </c>
      <c r="H557" s="161" t="str">
        <f t="shared" si="118"/>
        <v>3E0</v>
      </c>
      <c r="I557" s="161" t="str">
        <f t="shared" si="119"/>
        <v>08A-3E0</v>
      </c>
      <c r="J557" s="162" t="s">
        <v>149</v>
      </c>
      <c r="K557" s="161" t="s">
        <v>66</v>
      </c>
      <c r="L557" s="418">
        <v>0</v>
      </c>
      <c r="M557" s="419"/>
      <c r="N557" s="157" t="str">
        <f t="shared" si="120"/>
        <v>3E0</v>
      </c>
      <c r="O557" s="156">
        <f t="shared" si="125"/>
        <v>0</v>
      </c>
      <c r="Q557" s="156"/>
    </row>
    <row r="558" spans="1:17" ht="12.75" hidden="1" customHeight="1">
      <c r="A558" s="161" t="str">
        <f t="shared" si="127"/>
        <v>11University Contracts (ELTA)</v>
      </c>
      <c r="B558" s="161">
        <f t="shared" si="128"/>
        <v>1</v>
      </c>
      <c r="C558" s="163">
        <v>11</v>
      </c>
      <c r="D558" s="163" t="b">
        <v>1</v>
      </c>
      <c r="E558" s="161" t="s">
        <v>24</v>
      </c>
      <c r="F558" s="161" t="str">
        <f t="shared" si="117"/>
        <v>08A</v>
      </c>
      <c r="G558" s="161" t="str">
        <f t="shared" si="126"/>
        <v>3E0</v>
      </c>
      <c r="H558" s="161" t="str">
        <f t="shared" si="118"/>
        <v>3E0</v>
      </c>
      <c r="I558" s="161" t="str">
        <f t="shared" si="119"/>
        <v>08A-3E0</v>
      </c>
      <c r="J558" s="162" t="s">
        <v>149</v>
      </c>
      <c r="K558" s="161" t="s">
        <v>66</v>
      </c>
      <c r="L558" s="418">
        <v>372282</v>
      </c>
      <c r="M558" s="419"/>
      <c r="N558" s="157" t="str">
        <f t="shared" si="120"/>
        <v>3E0</v>
      </c>
      <c r="O558" s="156">
        <f t="shared" si="125"/>
        <v>372282</v>
      </c>
      <c r="Q558" s="156"/>
    </row>
    <row r="559" spans="1:17" ht="12.75" hidden="1" customHeight="1">
      <c r="A559" s="161" t="str">
        <f t="shared" si="127"/>
        <v>14University Contracts (GFS)</v>
      </c>
      <c r="B559" s="161">
        <f t="shared" si="128"/>
        <v>1</v>
      </c>
      <c r="C559" s="163">
        <v>14</v>
      </c>
      <c r="D559" s="163" t="b">
        <v>1</v>
      </c>
      <c r="E559" s="161" t="s">
        <v>27</v>
      </c>
      <c r="F559" s="161" t="str">
        <f t="shared" si="117"/>
        <v>001</v>
      </c>
      <c r="G559" s="385">
        <v>101</v>
      </c>
      <c r="H559" s="161" t="str">
        <f t="shared" si="118"/>
        <v>011</v>
      </c>
      <c r="I559" s="161" t="str">
        <f t="shared" si="119"/>
        <v>001-011</v>
      </c>
      <c r="J559" s="162" t="s">
        <v>491</v>
      </c>
      <c r="K559" s="161" t="s">
        <v>65</v>
      </c>
      <c r="L559" s="418">
        <v>13604</v>
      </c>
      <c r="M559" s="420"/>
      <c r="N559" s="157">
        <f t="shared" si="120"/>
        <v>101</v>
      </c>
      <c r="O559" s="156">
        <f t="shared" si="125"/>
        <v>13604</v>
      </c>
      <c r="Q559" s="156"/>
    </row>
    <row r="560" spans="1:17" ht="12.75" hidden="1" customHeight="1">
      <c r="A560" s="161" t="str">
        <f t="shared" si="127"/>
        <v>23University Contracts (GFS)</v>
      </c>
      <c r="B560" s="161">
        <f t="shared" si="128"/>
        <v>1</v>
      </c>
      <c r="C560" s="163">
        <v>23</v>
      </c>
      <c r="D560" s="163" t="b">
        <v>1</v>
      </c>
      <c r="E560" s="161" t="s">
        <v>36</v>
      </c>
      <c r="F560" s="161" t="str">
        <f t="shared" si="117"/>
        <v>001</v>
      </c>
      <c r="G560" s="385">
        <v>101</v>
      </c>
      <c r="H560" s="161" t="str">
        <f t="shared" si="118"/>
        <v>011</v>
      </c>
      <c r="I560" s="161" t="str">
        <f t="shared" si="119"/>
        <v>001-011</v>
      </c>
      <c r="J560" s="162" t="s">
        <v>491</v>
      </c>
      <c r="K560" s="161" t="s">
        <v>65</v>
      </c>
      <c r="L560" s="418">
        <v>140411</v>
      </c>
      <c r="M560" s="420"/>
      <c r="N560" s="157">
        <f t="shared" si="120"/>
        <v>101</v>
      </c>
      <c r="O560" s="156">
        <f t="shared" si="125"/>
        <v>140411</v>
      </c>
      <c r="Q560" s="156"/>
    </row>
    <row r="561" spans="1:17" ht="12.75" hidden="1" customHeight="1">
      <c r="A561" s="161" t="str">
        <f t="shared" si="127"/>
        <v>11University Contracts (GFS)</v>
      </c>
      <c r="B561" s="161">
        <f t="shared" si="128"/>
        <v>1</v>
      </c>
      <c r="C561" s="163">
        <v>11</v>
      </c>
      <c r="D561" s="163" t="b">
        <v>1</v>
      </c>
      <c r="E561" s="161" t="s">
        <v>24</v>
      </c>
      <c r="F561" s="161" t="str">
        <f t="shared" si="117"/>
        <v>001</v>
      </c>
      <c r="G561" s="385">
        <v>101</v>
      </c>
      <c r="H561" s="161" t="str">
        <f t="shared" si="118"/>
        <v>011</v>
      </c>
      <c r="I561" s="161" t="str">
        <f t="shared" si="119"/>
        <v>001-011</v>
      </c>
      <c r="J561" s="162" t="s">
        <v>491</v>
      </c>
      <c r="K561" s="161" t="s">
        <v>65</v>
      </c>
      <c r="L561" s="418">
        <v>50470</v>
      </c>
      <c r="M561" s="420"/>
      <c r="N561" s="157">
        <f t="shared" si="120"/>
        <v>101</v>
      </c>
      <c r="O561" s="156">
        <f t="shared" si="125"/>
        <v>50470</v>
      </c>
      <c r="Q561" s="156"/>
    </row>
    <row r="562" spans="1:17" ht="12.75" hidden="1" customHeight="1">
      <c r="A562" s="161" t="str">
        <f t="shared" si="127"/>
        <v>12WFSE Agreement (001)</v>
      </c>
      <c r="B562" s="161">
        <f t="shared" si="128"/>
        <v>1</v>
      </c>
      <c r="C562" s="163">
        <v>12</v>
      </c>
      <c r="D562" s="163" t="b">
        <v>1</v>
      </c>
      <c r="E562" s="161" t="s">
        <v>25</v>
      </c>
      <c r="F562" s="161" t="str">
        <f t="shared" si="117"/>
        <v>001</v>
      </c>
      <c r="G562" s="385">
        <v>101</v>
      </c>
      <c r="H562" s="161" t="str">
        <f t="shared" si="118"/>
        <v>011</v>
      </c>
      <c r="I562" s="161" t="str">
        <f t="shared" si="119"/>
        <v>001-011</v>
      </c>
      <c r="J562" s="162" t="s">
        <v>491</v>
      </c>
      <c r="K562" s="161" t="s">
        <v>449</v>
      </c>
      <c r="L562" s="420"/>
      <c r="M562" s="418">
        <v>55649</v>
      </c>
      <c r="N562" s="157">
        <f t="shared" si="120"/>
        <v>101</v>
      </c>
      <c r="O562" s="156">
        <f t="shared" si="125"/>
        <v>55649</v>
      </c>
      <c r="Q562" s="156"/>
    </row>
    <row r="563" spans="1:17" ht="12.75" hidden="1" customHeight="1">
      <c r="A563" s="161" t="str">
        <f t="shared" si="127"/>
        <v>5WFSE Agreement (001)</v>
      </c>
      <c r="B563" s="161">
        <f t="shared" si="128"/>
        <v>1</v>
      </c>
      <c r="C563" s="163">
        <v>5</v>
      </c>
      <c r="D563" s="163" t="b">
        <v>1</v>
      </c>
      <c r="E563" s="161" t="s">
        <v>18</v>
      </c>
      <c r="F563" s="161" t="str">
        <f t="shared" si="117"/>
        <v>001</v>
      </c>
      <c r="G563" s="385">
        <v>101</v>
      </c>
      <c r="H563" s="161" t="str">
        <f t="shared" si="118"/>
        <v>011</v>
      </c>
      <c r="I563" s="161" t="str">
        <f t="shared" si="119"/>
        <v>001-011</v>
      </c>
      <c r="J563" s="162" t="s">
        <v>491</v>
      </c>
      <c r="K563" s="161" t="s">
        <v>449</v>
      </c>
      <c r="L563" s="420"/>
      <c r="M563" s="418">
        <v>198346</v>
      </c>
      <c r="N563" s="157">
        <f t="shared" si="120"/>
        <v>101</v>
      </c>
      <c r="O563" s="156">
        <f t="shared" si="125"/>
        <v>198346</v>
      </c>
      <c r="Q563" s="156"/>
    </row>
    <row r="564" spans="1:17" ht="12.75" hidden="1" customHeight="1">
      <c r="A564" s="161" t="str">
        <f t="shared" si="127"/>
        <v>10WFSE Agreement (001)</v>
      </c>
      <c r="B564" s="161">
        <f t="shared" si="128"/>
        <v>1</v>
      </c>
      <c r="C564" s="163">
        <v>10</v>
      </c>
      <c r="D564" s="163" t="b">
        <v>1</v>
      </c>
      <c r="E564" s="161" t="s">
        <v>23</v>
      </c>
      <c r="F564" s="161" t="str">
        <f t="shared" si="117"/>
        <v>001</v>
      </c>
      <c r="G564" s="385">
        <v>101</v>
      </c>
      <c r="H564" s="161" t="str">
        <f t="shared" si="118"/>
        <v>011</v>
      </c>
      <c r="I564" s="161" t="str">
        <f t="shared" si="119"/>
        <v>001-011</v>
      </c>
      <c r="J564" s="162" t="s">
        <v>491</v>
      </c>
      <c r="K564" s="161" t="s">
        <v>449</v>
      </c>
      <c r="L564" s="420"/>
      <c r="M564" s="418">
        <v>171641</v>
      </c>
      <c r="N564" s="157">
        <f t="shared" si="120"/>
        <v>101</v>
      </c>
      <c r="O564" s="156">
        <f t="shared" si="125"/>
        <v>171641</v>
      </c>
      <c r="Q564" s="156"/>
    </row>
    <row r="565" spans="1:17" ht="12.75" hidden="1" customHeight="1">
      <c r="A565" s="161" t="str">
        <f t="shared" si="127"/>
        <v>13WFSE Agreement (001)</v>
      </c>
      <c r="B565" s="161">
        <f t="shared" si="128"/>
        <v>1</v>
      </c>
      <c r="C565" s="163">
        <v>13</v>
      </c>
      <c r="D565" s="163" t="b">
        <v>1</v>
      </c>
      <c r="E565" s="161" t="s">
        <v>26</v>
      </c>
      <c r="F565" s="161" t="str">
        <f t="shared" si="117"/>
        <v>001</v>
      </c>
      <c r="G565" s="385">
        <v>101</v>
      </c>
      <c r="H565" s="161" t="str">
        <f t="shared" si="118"/>
        <v>011</v>
      </c>
      <c r="I565" s="161" t="str">
        <f t="shared" si="119"/>
        <v>001-011</v>
      </c>
      <c r="J565" s="162" t="s">
        <v>491</v>
      </c>
      <c r="K565" s="161" t="s">
        <v>449</v>
      </c>
      <c r="L565" s="420"/>
      <c r="M565" s="418">
        <v>66447</v>
      </c>
      <c r="N565" s="157">
        <f t="shared" si="120"/>
        <v>101</v>
      </c>
      <c r="O565" s="156">
        <f t="shared" si="125"/>
        <v>66447</v>
      </c>
      <c r="Q565" s="156"/>
    </row>
    <row r="566" spans="1:17" ht="12.75" hidden="1" customHeight="1">
      <c r="A566" s="161" t="str">
        <f t="shared" si="127"/>
        <v>1WFSE Agreement (001)</v>
      </c>
      <c r="B566" s="161">
        <f t="shared" si="128"/>
        <v>1</v>
      </c>
      <c r="C566" s="163">
        <v>1</v>
      </c>
      <c r="D566" s="163" t="b">
        <v>1</v>
      </c>
      <c r="E566" s="161" t="s">
        <v>14</v>
      </c>
      <c r="F566" s="161" t="str">
        <f t="shared" si="117"/>
        <v>001</v>
      </c>
      <c r="G566" s="385">
        <v>101</v>
      </c>
      <c r="H566" s="161" t="str">
        <f t="shared" si="118"/>
        <v>011</v>
      </c>
      <c r="I566" s="161" t="str">
        <f t="shared" si="119"/>
        <v>001-011</v>
      </c>
      <c r="J566" s="162" t="s">
        <v>491</v>
      </c>
      <c r="K566" s="161" t="s">
        <v>449</v>
      </c>
      <c r="L566" s="420"/>
      <c r="M566" s="418">
        <v>42693</v>
      </c>
      <c r="N566" s="157">
        <f t="shared" si="120"/>
        <v>101</v>
      </c>
      <c r="O566" s="156">
        <f t="shared" si="125"/>
        <v>42693</v>
      </c>
      <c r="Q566" s="156"/>
    </row>
    <row r="567" spans="1:17" ht="12.75" hidden="1" customHeight="1">
      <c r="A567" s="161" t="str">
        <f t="shared" si="127"/>
        <v>6WFSE Agreement (001)</v>
      </c>
      <c r="B567" s="161">
        <f t="shared" si="128"/>
        <v>1</v>
      </c>
      <c r="C567" s="163">
        <v>6</v>
      </c>
      <c r="D567" s="163" t="b">
        <v>1</v>
      </c>
      <c r="E567" s="161" t="s">
        <v>19</v>
      </c>
      <c r="F567" s="161" t="str">
        <f t="shared" si="117"/>
        <v>001</v>
      </c>
      <c r="G567" s="385">
        <v>101</v>
      </c>
      <c r="H567" s="161" t="str">
        <f t="shared" si="118"/>
        <v>011</v>
      </c>
      <c r="I567" s="161" t="str">
        <f t="shared" si="119"/>
        <v>001-011</v>
      </c>
      <c r="J567" s="162" t="s">
        <v>491</v>
      </c>
      <c r="K567" s="161" t="s">
        <v>449</v>
      </c>
      <c r="L567" s="420"/>
      <c r="M567" s="418">
        <v>392138</v>
      </c>
      <c r="N567" s="157">
        <f t="shared" si="120"/>
        <v>101</v>
      </c>
      <c r="O567" s="156">
        <f t="shared" si="125"/>
        <v>392138</v>
      </c>
      <c r="Q567" s="156"/>
    </row>
    <row r="568" spans="1:17" ht="12.75" hidden="1" customHeight="1">
      <c r="A568" s="161" t="str">
        <f t="shared" si="127"/>
        <v>7WFSE Agreement (001)</v>
      </c>
      <c r="B568" s="161">
        <f t="shared" si="128"/>
        <v>1</v>
      </c>
      <c r="C568" s="163">
        <v>7</v>
      </c>
      <c r="D568" s="163" t="b">
        <v>1</v>
      </c>
      <c r="E568" s="161" t="s">
        <v>20</v>
      </c>
      <c r="F568" s="161" t="str">
        <f t="shared" si="117"/>
        <v>001</v>
      </c>
      <c r="G568" s="385">
        <v>101</v>
      </c>
      <c r="H568" s="161" t="str">
        <f t="shared" si="118"/>
        <v>011</v>
      </c>
      <c r="I568" s="161" t="str">
        <f t="shared" si="119"/>
        <v>001-011</v>
      </c>
      <c r="J568" s="162" t="s">
        <v>491</v>
      </c>
      <c r="K568" s="161" t="s">
        <v>449</v>
      </c>
      <c r="L568" s="420"/>
      <c r="M568" s="418">
        <v>131936</v>
      </c>
      <c r="N568" s="157">
        <f t="shared" si="120"/>
        <v>101</v>
      </c>
      <c r="O568" s="156">
        <f t="shared" si="125"/>
        <v>131936</v>
      </c>
      <c r="Q568" s="156"/>
    </row>
    <row r="569" spans="1:17" ht="12.75" hidden="1" customHeight="1">
      <c r="A569" s="161" t="str">
        <f t="shared" si="127"/>
        <v>24WFSE Agreement (001)</v>
      </c>
      <c r="B569" s="161">
        <f t="shared" si="128"/>
        <v>1</v>
      </c>
      <c r="C569" s="163">
        <v>24</v>
      </c>
      <c r="D569" s="163" t="b">
        <v>1</v>
      </c>
      <c r="E569" s="161" t="s">
        <v>37</v>
      </c>
      <c r="F569" s="161" t="str">
        <f t="shared" si="117"/>
        <v>001</v>
      </c>
      <c r="G569" s="385">
        <v>101</v>
      </c>
      <c r="H569" s="161" t="str">
        <f t="shared" si="118"/>
        <v>011</v>
      </c>
      <c r="I569" s="161" t="str">
        <f t="shared" si="119"/>
        <v>001-011</v>
      </c>
      <c r="J569" s="162" t="s">
        <v>491</v>
      </c>
      <c r="K569" s="161" t="s">
        <v>449</v>
      </c>
      <c r="L569" s="420"/>
      <c r="M569" s="418">
        <v>117504</v>
      </c>
      <c r="N569" s="157">
        <f t="shared" si="120"/>
        <v>101</v>
      </c>
      <c r="O569" s="156">
        <f t="shared" si="125"/>
        <v>117504</v>
      </c>
      <c r="Q569" s="156"/>
    </row>
    <row r="570" spans="1:17" ht="12.75" hidden="1" customHeight="1">
      <c r="A570" s="161" t="str">
        <f t="shared" si="127"/>
        <v>17WFSE Agreement (001)</v>
      </c>
      <c r="B570" s="161">
        <f t="shared" si="128"/>
        <v>1</v>
      </c>
      <c r="C570" s="163">
        <v>17</v>
      </c>
      <c r="D570" s="163" t="b">
        <v>1</v>
      </c>
      <c r="E570" s="161" t="s">
        <v>30</v>
      </c>
      <c r="F570" s="161" t="str">
        <f t="shared" si="117"/>
        <v>001</v>
      </c>
      <c r="G570" s="385">
        <v>101</v>
      </c>
      <c r="H570" s="161" t="str">
        <f t="shared" si="118"/>
        <v>011</v>
      </c>
      <c r="I570" s="161" t="str">
        <f t="shared" si="119"/>
        <v>001-011</v>
      </c>
      <c r="J570" s="162" t="s">
        <v>491</v>
      </c>
      <c r="K570" s="161" t="s">
        <v>449</v>
      </c>
      <c r="L570" s="420"/>
      <c r="M570" s="418">
        <v>372375</v>
      </c>
      <c r="N570" s="157">
        <f t="shared" si="120"/>
        <v>101</v>
      </c>
      <c r="O570" s="156">
        <f t="shared" si="125"/>
        <v>372375</v>
      </c>
      <c r="Q570" s="156"/>
    </row>
    <row r="571" spans="1:17" ht="12.75" hidden="1" customHeight="1">
      <c r="A571" s="161" t="str">
        <f t="shared" si="127"/>
        <v>22WFSE Agreement (001)</v>
      </c>
      <c r="B571" s="161">
        <f t="shared" si="128"/>
        <v>1</v>
      </c>
      <c r="C571" s="163">
        <v>22</v>
      </c>
      <c r="D571" s="163" t="b">
        <v>1</v>
      </c>
      <c r="E571" s="161" t="s">
        <v>35</v>
      </c>
      <c r="F571" s="161" t="str">
        <f t="shared" si="117"/>
        <v>001</v>
      </c>
      <c r="G571" s="385">
        <v>101</v>
      </c>
      <c r="H571" s="161" t="str">
        <f t="shared" si="118"/>
        <v>011</v>
      </c>
      <c r="I571" s="161" t="str">
        <f t="shared" si="119"/>
        <v>001-011</v>
      </c>
      <c r="J571" s="162" t="s">
        <v>491</v>
      </c>
      <c r="K571" s="161" t="s">
        <v>449</v>
      </c>
      <c r="L571" s="420"/>
      <c r="M571" s="418">
        <v>114110</v>
      </c>
      <c r="N571" s="157">
        <f t="shared" si="120"/>
        <v>101</v>
      </c>
      <c r="O571" s="156">
        <f t="shared" si="125"/>
        <v>114110</v>
      </c>
      <c r="Q571" s="156"/>
    </row>
    <row r="572" spans="1:17" ht="12.75" hidden="1" customHeight="1">
      <c r="A572" s="161" t="str">
        <f t="shared" si="127"/>
        <v>21WFSE Agreement (001)</v>
      </c>
      <c r="B572" s="161">
        <f t="shared" si="128"/>
        <v>1</v>
      </c>
      <c r="C572" s="163">
        <v>21</v>
      </c>
      <c r="D572" s="163" t="b">
        <v>1</v>
      </c>
      <c r="E572" s="161" t="s">
        <v>34</v>
      </c>
      <c r="F572" s="161" t="str">
        <f t="shared" si="117"/>
        <v>001</v>
      </c>
      <c r="G572" s="385">
        <v>101</v>
      </c>
      <c r="H572" s="161" t="str">
        <f t="shared" si="118"/>
        <v>011</v>
      </c>
      <c r="I572" s="161" t="str">
        <f t="shared" si="119"/>
        <v>001-011</v>
      </c>
      <c r="J572" s="162" t="s">
        <v>491</v>
      </c>
      <c r="K572" s="161" t="s">
        <v>449</v>
      </c>
      <c r="L572" s="420"/>
      <c r="M572" s="418">
        <v>64161</v>
      </c>
      <c r="N572" s="157">
        <f t="shared" si="120"/>
        <v>101</v>
      </c>
      <c r="O572" s="156">
        <f t="shared" si="125"/>
        <v>64161</v>
      </c>
      <c r="Q572" s="156"/>
    </row>
    <row r="573" spans="1:17" ht="12.75" hidden="1" customHeight="1">
      <c r="A573" s="161" t="str">
        <f t="shared" si="127"/>
        <v>28Worker Retraining - Base (101)</v>
      </c>
      <c r="B573" s="161">
        <f t="shared" si="128"/>
        <v>1</v>
      </c>
      <c r="C573" s="163">
        <v>28</v>
      </c>
      <c r="D573" s="163" t="b">
        <v>1</v>
      </c>
      <c r="E573" s="161" t="s">
        <v>41</v>
      </c>
      <c r="F573" s="161" t="str">
        <f t="shared" si="117"/>
        <v>001</v>
      </c>
      <c r="G573" s="161" t="str">
        <f t="shared" ref="G573:G604" si="129">IF(RIGHT(J573,3)="012","201",IF(RIGHT(J573,3)="232","123",IF(RIGHT(J573,3)="1E2","215",RIGHT(J573,3))))</f>
        <v>011</v>
      </c>
      <c r="H573" s="161" t="str">
        <f t="shared" si="118"/>
        <v>011</v>
      </c>
      <c r="I573" s="161" t="str">
        <f t="shared" si="119"/>
        <v>001-011</v>
      </c>
      <c r="J573" s="162" t="s">
        <v>491</v>
      </c>
      <c r="K573" s="161" t="s">
        <v>333</v>
      </c>
      <c r="L573" s="418">
        <v>281807</v>
      </c>
      <c r="M573" s="420">
        <v>-55000</v>
      </c>
      <c r="N573" s="157">
        <f t="shared" si="120"/>
        <v>101</v>
      </c>
      <c r="O573" s="156">
        <f t="shared" si="125"/>
        <v>226807</v>
      </c>
      <c r="Q573" s="156"/>
    </row>
    <row r="574" spans="1:17" ht="12.75" hidden="1" customHeight="1">
      <c r="A574" s="161" t="str">
        <f t="shared" si="127"/>
        <v>8Worker Retraining - Base (101)</v>
      </c>
      <c r="B574" s="161">
        <f t="shared" si="128"/>
        <v>1</v>
      </c>
      <c r="C574" s="163">
        <v>8</v>
      </c>
      <c r="D574" s="163" t="b">
        <v>1</v>
      </c>
      <c r="E574" s="161" t="s">
        <v>21</v>
      </c>
      <c r="F574" s="161" t="str">
        <f t="shared" si="117"/>
        <v>001</v>
      </c>
      <c r="G574" s="161" t="str">
        <f t="shared" si="129"/>
        <v>011</v>
      </c>
      <c r="H574" s="161" t="str">
        <f t="shared" si="118"/>
        <v>011</v>
      </c>
      <c r="I574" s="161" t="str">
        <f t="shared" si="119"/>
        <v>001-011</v>
      </c>
      <c r="J574" s="162" t="s">
        <v>491</v>
      </c>
      <c r="K574" s="161" t="s">
        <v>333</v>
      </c>
      <c r="L574" s="418">
        <v>207289</v>
      </c>
      <c r="M574" s="420">
        <v>0</v>
      </c>
      <c r="N574" s="157">
        <f t="shared" si="120"/>
        <v>101</v>
      </c>
      <c r="O574" s="156">
        <f t="shared" si="125"/>
        <v>207289</v>
      </c>
      <c r="Q574" s="156"/>
    </row>
    <row r="575" spans="1:17" ht="12.75" hidden="1" customHeight="1">
      <c r="A575" s="161" t="str">
        <f t="shared" si="127"/>
        <v>25Worker Retraining - Base (101)</v>
      </c>
      <c r="B575" s="161">
        <f t="shared" si="128"/>
        <v>1</v>
      </c>
      <c r="C575" s="163">
        <v>25</v>
      </c>
      <c r="D575" s="163" t="b">
        <v>1</v>
      </c>
      <c r="E575" s="161" t="s">
        <v>38</v>
      </c>
      <c r="F575" s="161" t="str">
        <f t="shared" si="117"/>
        <v>001</v>
      </c>
      <c r="G575" s="161" t="str">
        <f t="shared" si="129"/>
        <v>011</v>
      </c>
      <c r="H575" s="161" t="str">
        <f t="shared" si="118"/>
        <v>011</v>
      </c>
      <c r="I575" s="161" t="str">
        <f t="shared" si="119"/>
        <v>001-011</v>
      </c>
      <c r="J575" s="162" t="s">
        <v>491</v>
      </c>
      <c r="K575" s="161" t="s">
        <v>333</v>
      </c>
      <c r="L575" s="418">
        <v>123401</v>
      </c>
      <c r="M575" s="420">
        <v>-90000</v>
      </c>
      <c r="N575" s="157">
        <f t="shared" si="120"/>
        <v>101</v>
      </c>
      <c r="O575" s="156">
        <f t="shared" si="125"/>
        <v>33401</v>
      </c>
      <c r="Q575" s="156"/>
    </row>
    <row r="576" spans="1:17" ht="12.75" hidden="1" customHeight="1">
      <c r="A576" s="161" t="str">
        <f t="shared" si="127"/>
        <v>18Worker Retraining - Base (101)</v>
      </c>
      <c r="B576" s="161">
        <f t="shared" si="128"/>
        <v>1</v>
      </c>
      <c r="C576" s="163">
        <v>18</v>
      </c>
      <c r="D576" s="163" t="b">
        <v>1</v>
      </c>
      <c r="E576" s="161" t="s">
        <v>31</v>
      </c>
      <c r="F576" s="161" t="str">
        <f t="shared" si="117"/>
        <v>001</v>
      </c>
      <c r="G576" s="161" t="str">
        <f t="shared" si="129"/>
        <v>011</v>
      </c>
      <c r="H576" s="161" t="str">
        <f t="shared" si="118"/>
        <v>011</v>
      </c>
      <c r="I576" s="161" t="str">
        <f t="shared" si="119"/>
        <v>001-011</v>
      </c>
      <c r="J576" s="162" t="s">
        <v>491</v>
      </c>
      <c r="K576" s="161" t="s">
        <v>333</v>
      </c>
      <c r="L576" s="418">
        <v>46709</v>
      </c>
      <c r="M576" s="420">
        <v>0</v>
      </c>
      <c r="N576" s="157">
        <f t="shared" si="120"/>
        <v>101</v>
      </c>
      <c r="O576" s="156">
        <f t="shared" si="125"/>
        <v>46709</v>
      </c>
      <c r="Q576" s="156"/>
    </row>
    <row r="577" spans="1:17" ht="12.75" hidden="1" customHeight="1">
      <c r="A577" s="161" t="str">
        <f t="shared" si="127"/>
        <v>30Worker Retraining - Base (101)</v>
      </c>
      <c r="B577" s="161">
        <f t="shared" si="128"/>
        <v>1</v>
      </c>
      <c r="C577" s="163">
        <v>30</v>
      </c>
      <c r="D577" s="163" t="b">
        <v>1</v>
      </c>
      <c r="E577" s="161" t="s">
        <v>43</v>
      </c>
      <c r="F577" s="161" t="str">
        <f t="shared" si="117"/>
        <v>001</v>
      </c>
      <c r="G577" s="161" t="str">
        <f t="shared" si="129"/>
        <v>011</v>
      </c>
      <c r="H577" s="161" t="str">
        <f t="shared" si="118"/>
        <v>011</v>
      </c>
      <c r="I577" s="161" t="str">
        <f t="shared" si="119"/>
        <v>001-011</v>
      </c>
      <c r="J577" s="162" t="s">
        <v>491</v>
      </c>
      <c r="K577" s="161" t="s">
        <v>333</v>
      </c>
      <c r="L577" s="418">
        <v>28078</v>
      </c>
      <c r="M577" s="420">
        <v>0</v>
      </c>
      <c r="N577" s="157">
        <f t="shared" si="120"/>
        <v>101</v>
      </c>
      <c r="O577" s="156">
        <f t="shared" si="125"/>
        <v>28078</v>
      </c>
      <c r="Q577" s="156"/>
    </row>
    <row r="578" spans="1:17" ht="12.75" hidden="1" customHeight="1">
      <c r="A578" s="161" t="str">
        <f t="shared" si="127"/>
        <v>12Worker Retraining - Base (101)</v>
      </c>
      <c r="B578" s="161">
        <f t="shared" si="128"/>
        <v>1</v>
      </c>
      <c r="C578" s="163">
        <v>12</v>
      </c>
      <c r="D578" s="163" t="b">
        <v>1</v>
      </c>
      <c r="E578" s="161" t="s">
        <v>25</v>
      </c>
      <c r="F578" s="161" t="str">
        <f t="shared" ref="F578:F634" si="130">LEFT(J578,3)</f>
        <v>001</v>
      </c>
      <c r="G578" s="161" t="str">
        <f t="shared" si="129"/>
        <v>011</v>
      </c>
      <c r="H578" s="161" t="str">
        <f t="shared" ref="H578:H641" si="131">RIGHT(J578,3)</f>
        <v>011</v>
      </c>
      <c r="I578" s="161" t="str">
        <f t="shared" ref="I578:I641" si="132">F578&amp;"-"&amp;H578</f>
        <v>001-011</v>
      </c>
      <c r="J578" s="162" t="s">
        <v>491</v>
      </c>
      <c r="K578" s="161" t="s">
        <v>333</v>
      </c>
      <c r="L578" s="418">
        <v>202601</v>
      </c>
      <c r="M578" s="420">
        <v>-100000</v>
      </c>
      <c r="N578" s="157">
        <f t="shared" ref="N578:N641" si="133">VLOOKUP(H578,Approp,2,FALSE)</f>
        <v>101</v>
      </c>
      <c r="O578" s="156">
        <f t="shared" si="125"/>
        <v>102601</v>
      </c>
      <c r="Q578" s="156"/>
    </row>
    <row r="579" spans="1:17" ht="12.75" hidden="1" customHeight="1">
      <c r="A579" s="161" t="str">
        <f t="shared" si="127"/>
        <v>14Worker Retraining - Base (101)</v>
      </c>
      <c r="B579" s="161">
        <f t="shared" si="128"/>
        <v>1</v>
      </c>
      <c r="C579" s="163">
        <v>14</v>
      </c>
      <c r="D579" s="163" t="b">
        <v>1</v>
      </c>
      <c r="E579" s="161" t="s">
        <v>27</v>
      </c>
      <c r="F579" s="161" t="str">
        <f t="shared" si="130"/>
        <v>001</v>
      </c>
      <c r="G579" s="161" t="str">
        <f t="shared" si="129"/>
        <v>011</v>
      </c>
      <c r="H579" s="161" t="str">
        <f t="shared" si="131"/>
        <v>011</v>
      </c>
      <c r="I579" s="161" t="str">
        <f t="shared" si="132"/>
        <v>001-011</v>
      </c>
      <c r="J579" s="162" t="s">
        <v>491</v>
      </c>
      <c r="K579" s="161" t="s">
        <v>333</v>
      </c>
      <c r="L579" s="418">
        <v>126473</v>
      </c>
      <c r="M579" s="420">
        <v>-15000</v>
      </c>
      <c r="N579" s="157">
        <f t="shared" si="133"/>
        <v>101</v>
      </c>
      <c r="O579" s="156">
        <f t="shared" si="125"/>
        <v>111473</v>
      </c>
      <c r="Q579" s="156"/>
    </row>
    <row r="580" spans="1:17" ht="12.75" hidden="1" customHeight="1">
      <c r="A580" s="161" t="str">
        <f t="shared" si="127"/>
        <v>29Worker Retraining - Base (101)</v>
      </c>
      <c r="B580" s="161">
        <f t="shared" si="128"/>
        <v>1</v>
      </c>
      <c r="C580" s="163">
        <v>29</v>
      </c>
      <c r="D580" s="163" t="b">
        <v>1</v>
      </c>
      <c r="E580" s="161" t="s">
        <v>42</v>
      </c>
      <c r="F580" s="161" t="str">
        <f t="shared" si="130"/>
        <v>001</v>
      </c>
      <c r="G580" s="161" t="str">
        <f t="shared" si="129"/>
        <v>011</v>
      </c>
      <c r="H580" s="161" t="str">
        <f t="shared" si="131"/>
        <v>011</v>
      </c>
      <c r="I580" s="161" t="str">
        <f t="shared" si="132"/>
        <v>001-011</v>
      </c>
      <c r="J580" s="162" t="s">
        <v>491</v>
      </c>
      <c r="K580" s="161" t="s">
        <v>333</v>
      </c>
      <c r="L580" s="418">
        <v>160268</v>
      </c>
      <c r="M580" s="420">
        <v>0</v>
      </c>
      <c r="N580" s="157">
        <f t="shared" si="133"/>
        <v>101</v>
      </c>
      <c r="O580" s="156">
        <f t="shared" si="125"/>
        <v>160268</v>
      </c>
      <c r="Q580" s="156"/>
    </row>
    <row r="581" spans="1:17" ht="12.75" hidden="1" customHeight="1">
      <c r="A581" s="161" t="str">
        <f t="shared" si="127"/>
        <v>19Worker Retraining - Base (101)</v>
      </c>
      <c r="B581" s="161">
        <f t="shared" si="128"/>
        <v>1</v>
      </c>
      <c r="C581" s="163">
        <v>19</v>
      </c>
      <c r="D581" s="163" t="b">
        <v>1</v>
      </c>
      <c r="E581" s="161" t="s">
        <v>32</v>
      </c>
      <c r="F581" s="161" t="str">
        <f t="shared" si="130"/>
        <v>001</v>
      </c>
      <c r="G581" s="161" t="str">
        <f t="shared" si="129"/>
        <v>011</v>
      </c>
      <c r="H581" s="161" t="str">
        <f t="shared" si="131"/>
        <v>011</v>
      </c>
      <c r="I581" s="161" t="str">
        <f t="shared" si="132"/>
        <v>001-011</v>
      </c>
      <c r="J581" s="162" t="s">
        <v>491</v>
      </c>
      <c r="K581" s="161" t="s">
        <v>333</v>
      </c>
      <c r="L581" s="418">
        <v>200192</v>
      </c>
      <c r="M581" s="420">
        <v>0</v>
      </c>
      <c r="N581" s="157">
        <f t="shared" si="133"/>
        <v>101</v>
      </c>
      <c r="O581" s="156">
        <f t="shared" si="125"/>
        <v>200192</v>
      </c>
      <c r="Q581" s="156"/>
    </row>
    <row r="582" spans="1:17" ht="12.75" hidden="1" customHeight="1">
      <c r="A582" s="161" t="str">
        <f t="shared" si="127"/>
        <v>23Worker Retraining - Base (101)</v>
      </c>
      <c r="B582" s="161">
        <f t="shared" si="128"/>
        <v>1</v>
      </c>
      <c r="C582" s="163">
        <v>23</v>
      </c>
      <c r="D582" s="163" t="b">
        <v>1</v>
      </c>
      <c r="E582" s="161" t="s">
        <v>36</v>
      </c>
      <c r="F582" s="161" t="str">
        <f t="shared" si="130"/>
        <v>001</v>
      </c>
      <c r="G582" s="161" t="str">
        <f t="shared" si="129"/>
        <v>011</v>
      </c>
      <c r="H582" s="161" t="str">
        <f t="shared" si="131"/>
        <v>011</v>
      </c>
      <c r="I582" s="161" t="str">
        <f t="shared" si="132"/>
        <v>001-011</v>
      </c>
      <c r="J582" s="162" t="s">
        <v>491</v>
      </c>
      <c r="K582" s="161" t="s">
        <v>333</v>
      </c>
      <c r="L582" s="418">
        <v>235268</v>
      </c>
      <c r="M582" s="420">
        <v>-75000</v>
      </c>
      <c r="N582" s="157">
        <f t="shared" si="133"/>
        <v>101</v>
      </c>
      <c r="O582" s="156">
        <f t="shared" ref="O582:O613" si="134">SUM(L582:M582)</f>
        <v>160268</v>
      </c>
      <c r="Q582" s="156"/>
    </row>
    <row r="583" spans="1:17" ht="12.75" hidden="1" customHeight="1">
      <c r="A583" s="161" t="str">
        <f t="shared" si="127"/>
        <v>5Worker Retraining - Base (101)</v>
      </c>
      <c r="B583" s="161">
        <f t="shared" si="128"/>
        <v>1</v>
      </c>
      <c r="C583" s="163">
        <v>5</v>
      </c>
      <c r="D583" s="163" t="b">
        <v>1</v>
      </c>
      <c r="E583" s="161" t="s">
        <v>18</v>
      </c>
      <c r="F583" s="161" t="str">
        <f t="shared" si="130"/>
        <v>001</v>
      </c>
      <c r="G583" s="161" t="str">
        <f t="shared" si="129"/>
        <v>011</v>
      </c>
      <c r="H583" s="161" t="str">
        <f t="shared" si="131"/>
        <v>011</v>
      </c>
      <c r="I583" s="161" t="str">
        <f t="shared" si="132"/>
        <v>001-011</v>
      </c>
      <c r="J583" s="162" t="s">
        <v>491</v>
      </c>
      <c r="K583" s="161" t="s">
        <v>333</v>
      </c>
      <c r="L583" s="418">
        <v>140586</v>
      </c>
      <c r="M583" s="420">
        <v>-30000</v>
      </c>
      <c r="N583" s="157">
        <f t="shared" si="133"/>
        <v>101</v>
      </c>
      <c r="O583" s="156">
        <f t="shared" si="134"/>
        <v>110586</v>
      </c>
      <c r="Q583" s="156"/>
    </row>
    <row r="584" spans="1:17" ht="12.75" hidden="1" customHeight="1">
      <c r="A584" s="161" t="str">
        <f t="shared" si="127"/>
        <v>2Worker Retraining - Base (101)</v>
      </c>
      <c r="B584" s="161">
        <f t="shared" si="128"/>
        <v>1</v>
      </c>
      <c r="C584" s="163">
        <v>2</v>
      </c>
      <c r="D584" s="163" t="b">
        <v>1</v>
      </c>
      <c r="E584" s="161" t="s">
        <v>15</v>
      </c>
      <c r="F584" s="161" t="str">
        <f t="shared" si="130"/>
        <v>001</v>
      </c>
      <c r="G584" s="161" t="str">
        <f t="shared" si="129"/>
        <v>011</v>
      </c>
      <c r="H584" s="161" t="str">
        <f t="shared" si="131"/>
        <v>011</v>
      </c>
      <c r="I584" s="161" t="str">
        <f t="shared" si="132"/>
        <v>001-011</v>
      </c>
      <c r="J584" s="162" t="s">
        <v>491</v>
      </c>
      <c r="K584" s="161" t="s">
        <v>333</v>
      </c>
      <c r="L584" s="418">
        <v>140750</v>
      </c>
      <c r="M584" s="420">
        <v>0</v>
      </c>
      <c r="N584" s="157">
        <f t="shared" si="133"/>
        <v>101</v>
      </c>
      <c r="O584" s="156">
        <f t="shared" si="134"/>
        <v>140750</v>
      </c>
      <c r="Q584" s="156"/>
    </row>
    <row r="585" spans="1:17" ht="12.75" hidden="1" customHeight="1">
      <c r="A585" s="161" t="str">
        <f t="shared" si="127"/>
        <v>10Worker Retraining - Base (101)</v>
      </c>
      <c r="B585" s="161">
        <f t="shared" si="128"/>
        <v>1</v>
      </c>
      <c r="C585" s="163">
        <v>10</v>
      </c>
      <c r="D585" s="163" t="b">
        <v>1</v>
      </c>
      <c r="E585" s="161" t="s">
        <v>23</v>
      </c>
      <c r="F585" s="161" t="str">
        <f t="shared" si="130"/>
        <v>001</v>
      </c>
      <c r="G585" s="161" t="str">
        <f t="shared" si="129"/>
        <v>011</v>
      </c>
      <c r="H585" s="161" t="str">
        <f t="shared" si="131"/>
        <v>011</v>
      </c>
      <c r="I585" s="161" t="str">
        <f t="shared" si="132"/>
        <v>001-011</v>
      </c>
      <c r="J585" s="162" t="s">
        <v>491</v>
      </c>
      <c r="K585" s="161" t="s">
        <v>333</v>
      </c>
      <c r="L585" s="418">
        <v>239228</v>
      </c>
      <c r="M585" s="420">
        <v>0</v>
      </c>
      <c r="N585" s="157">
        <f t="shared" si="133"/>
        <v>101</v>
      </c>
      <c r="O585" s="156">
        <f t="shared" si="134"/>
        <v>239228</v>
      </c>
      <c r="Q585" s="156"/>
    </row>
    <row r="586" spans="1:17" ht="12.75" hidden="1" customHeight="1">
      <c r="A586" s="161" t="str">
        <f t="shared" si="127"/>
        <v>9Worker Retraining - Base (101)</v>
      </c>
      <c r="B586" s="161">
        <f t="shared" si="128"/>
        <v>1</v>
      </c>
      <c r="C586" s="163">
        <v>9</v>
      </c>
      <c r="D586" s="163" t="b">
        <v>1</v>
      </c>
      <c r="E586" s="161" t="s">
        <v>22</v>
      </c>
      <c r="F586" s="161" t="str">
        <f t="shared" si="130"/>
        <v>001</v>
      </c>
      <c r="G586" s="161" t="str">
        <f t="shared" si="129"/>
        <v>011</v>
      </c>
      <c r="H586" s="161" t="str">
        <f t="shared" si="131"/>
        <v>011</v>
      </c>
      <c r="I586" s="161" t="str">
        <f t="shared" si="132"/>
        <v>001-011</v>
      </c>
      <c r="J586" s="162" t="s">
        <v>491</v>
      </c>
      <c r="K586" s="161" t="s">
        <v>333</v>
      </c>
      <c r="L586" s="418">
        <v>218335</v>
      </c>
      <c r="M586" s="420">
        <v>-35000</v>
      </c>
      <c r="N586" s="157">
        <f t="shared" si="133"/>
        <v>101</v>
      </c>
      <c r="O586" s="156">
        <f t="shared" si="134"/>
        <v>183335</v>
      </c>
      <c r="Q586" s="156"/>
    </row>
    <row r="587" spans="1:17" ht="12.75" hidden="1" customHeight="1">
      <c r="A587" s="161" t="str">
        <f t="shared" si="127"/>
        <v>26Worker Retraining - Base (101)</v>
      </c>
      <c r="B587" s="161">
        <f t="shared" si="128"/>
        <v>1</v>
      </c>
      <c r="C587" s="163">
        <v>26</v>
      </c>
      <c r="D587" s="163" t="b">
        <v>1</v>
      </c>
      <c r="E587" s="161" t="s">
        <v>39</v>
      </c>
      <c r="F587" s="161" t="str">
        <f t="shared" si="130"/>
        <v>001</v>
      </c>
      <c r="G587" s="161" t="str">
        <f t="shared" si="129"/>
        <v>011</v>
      </c>
      <c r="H587" s="161" t="str">
        <f t="shared" si="131"/>
        <v>011</v>
      </c>
      <c r="I587" s="161" t="str">
        <f t="shared" si="132"/>
        <v>001-011</v>
      </c>
      <c r="J587" s="162" t="s">
        <v>491</v>
      </c>
      <c r="K587" s="161" t="s">
        <v>333</v>
      </c>
      <c r="L587" s="418">
        <v>104376</v>
      </c>
      <c r="M587" s="420">
        <v>0</v>
      </c>
      <c r="N587" s="157">
        <f t="shared" si="133"/>
        <v>101</v>
      </c>
      <c r="O587" s="156">
        <f t="shared" si="134"/>
        <v>104376</v>
      </c>
      <c r="Q587" s="156"/>
    </row>
    <row r="588" spans="1:17" ht="12.75" hidden="1" customHeight="1">
      <c r="A588" s="161" t="str">
        <f t="shared" si="127"/>
        <v>13Worker Retraining - Base (101)</v>
      </c>
      <c r="B588" s="161">
        <f t="shared" si="128"/>
        <v>1</v>
      </c>
      <c r="C588" s="163">
        <v>13</v>
      </c>
      <c r="D588" s="163" t="b">
        <v>1</v>
      </c>
      <c r="E588" s="161" t="s">
        <v>26</v>
      </c>
      <c r="F588" s="161" t="str">
        <f t="shared" si="130"/>
        <v>001</v>
      </c>
      <c r="G588" s="161" t="str">
        <f t="shared" si="129"/>
        <v>011</v>
      </c>
      <c r="H588" s="161" t="str">
        <f t="shared" si="131"/>
        <v>011</v>
      </c>
      <c r="I588" s="161" t="str">
        <f t="shared" si="132"/>
        <v>001-011</v>
      </c>
      <c r="J588" s="162" t="s">
        <v>491</v>
      </c>
      <c r="K588" s="161" t="s">
        <v>333</v>
      </c>
      <c r="L588" s="418">
        <v>43160</v>
      </c>
      <c r="M588" s="420">
        <v>0</v>
      </c>
      <c r="N588" s="157">
        <f t="shared" si="133"/>
        <v>101</v>
      </c>
      <c r="O588" s="156">
        <f t="shared" si="134"/>
        <v>43160</v>
      </c>
      <c r="Q588" s="156"/>
    </row>
    <row r="589" spans="1:17" ht="12.75" hidden="1" customHeight="1">
      <c r="A589" s="161" t="str">
        <f t="shared" si="127"/>
        <v>3Worker Retraining - Base (101)</v>
      </c>
      <c r="B589" s="161">
        <f t="shared" si="128"/>
        <v>1</v>
      </c>
      <c r="C589" s="163">
        <v>3</v>
      </c>
      <c r="D589" s="163" t="b">
        <v>1</v>
      </c>
      <c r="E589" s="161" t="s">
        <v>16</v>
      </c>
      <c r="F589" s="161" t="str">
        <f t="shared" si="130"/>
        <v>001</v>
      </c>
      <c r="G589" s="161" t="str">
        <f t="shared" si="129"/>
        <v>011</v>
      </c>
      <c r="H589" s="161" t="str">
        <f t="shared" si="131"/>
        <v>011</v>
      </c>
      <c r="I589" s="161" t="str">
        <f t="shared" si="132"/>
        <v>001-011</v>
      </c>
      <c r="J589" s="162" t="s">
        <v>491</v>
      </c>
      <c r="K589" s="161" t="s">
        <v>333</v>
      </c>
      <c r="L589" s="418">
        <v>156720</v>
      </c>
      <c r="M589" s="420">
        <v>0</v>
      </c>
      <c r="N589" s="157">
        <f t="shared" si="133"/>
        <v>101</v>
      </c>
      <c r="O589" s="156">
        <f t="shared" si="134"/>
        <v>156720</v>
      </c>
      <c r="Q589" s="156"/>
    </row>
    <row r="590" spans="1:17" ht="12.75" hidden="1" customHeight="1">
      <c r="A590" s="161" t="str">
        <f t="shared" si="127"/>
        <v>1Worker Retraining - Base (101)</v>
      </c>
      <c r="B590" s="161">
        <f t="shared" si="128"/>
        <v>1</v>
      </c>
      <c r="C590" s="163">
        <v>1</v>
      </c>
      <c r="D590" s="163" t="b">
        <v>1</v>
      </c>
      <c r="E590" s="161" t="s">
        <v>14</v>
      </c>
      <c r="F590" s="161" t="str">
        <f t="shared" si="130"/>
        <v>001</v>
      </c>
      <c r="G590" s="161" t="str">
        <f t="shared" si="129"/>
        <v>011</v>
      </c>
      <c r="H590" s="161" t="str">
        <f t="shared" si="131"/>
        <v>011</v>
      </c>
      <c r="I590" s="161" t="str">
        <f t="shared" si="132"/>
        <v>001-011</v>
      </c>
      <c r="J590" s="162" t="s">
        <v>491</v>
      </c>
      <c r="K590" s="161" t="s">
        <v>333</v>
      </c>
      <c r="L590" s="418">
        <v>137202</v>
      </c>
      <c r="M590" s="420">
        <v>0</v>
      </c>
      <c r="N590" s="157">
        <f t="shared" si="133"/>
        <v>101</v>
      </c>
      <c r="O590" s="156">
        <f t="shared" si="134"/>
        <v>137202</v>
      </c>
      <c r="Q590" s="156"/>
    </row>
    <row r="591" spans="1:17" ht="12.75" hidden="1" customHeight="1">
      <c r="A591" s="161" t="str">
        <f t="shared" si="127"/>
        <v>11Worker Retraining - Base (101)</v>
      </c>
      <c r="B591" s="161">
        <f t="shared" si="128"/>
        <v>1</v>
      </c>
      <c r="C591" s="163">
        <v>11</v>
      </c>
      <c r="D591" s="163" t="b">
        <v>1</v>
      </c>
      <c r="E591" s="161" t="s">
        <v>24</v>
      </c>
      <c r="F591" s="161" t="str">
        <f t="shared" si="130"/>
        <v>001</v>
      </c>
      <c r="G591" s="161" t="str">
        <f t="shared" si="129"/>
        <v>011</v>
      </c>
      <c r="H591" s="161" t="str">
        <f t="shared" si="131"/>
        <v>011</v>
      </c>
      <c r="I591" s="161" t="str">
        <f t="shared" si="132"/>
        <v>001-011</v>
      </c>
      <c r="J591" s="162" t="s">
        <v>491</v>
      </c>
      <c r="K591" s="161" t="s">
        <v>333</v>
      </c>
      <c r="L591" s="418">
        <v>154633</v>
      </c>
      <c r="M591" s="420">
        <v>0</v>
      </c>
      <c r="N591" s="157">
        <f t="shared" si="133"/>
        <v>101</v>
      </c>
      <c r="O591" s="156">
        <f t="shared" si="134"/>
        <v>154633</v>
      </c>
      <c r="Q591" s="156"/>
    </row>
    <row r="592" spans="1:17" ht="12.75" hidden="1" customHeight="1">
      <c r="A592" s="161" t="str">
        <f t="shared" si="127"/>
        <v>27Worker Retraining - Base (101)</v>
      </c>
      <c r="B592" s="161">
        <f t="shared" si="128"/>
        <v>1</v>
      </c>
      <c r="C592" s="163">
        <v>27</v>
      </c>
      <c r="D592" s="163" t="b">
        <v>1</v>
      </c>
      <c r="E592" s="161" t="s">
        <v>40</v>
      </c>
      <c r="F592" s="161" t="str">
        <f t="shared" si="130"/>
        <v>001</v>
      </c>
      <c r="G592" s="161" t="str">
        <f t="shared" si="129"/>
        <v>011</v>
      </c>
      <c r="H592" s="161" t="str">
        <f t="shared" si="131"/>
        <v>011</v>
      </c>
      <c r="I592" s="161" t="str">
        <f t="shared" si="132"/>
        <v>001-011</v>
      </c>
      <c r="J592" s="162" t="s">
        <v>491</v>
      </c>
      <c r="K592" s="161" t="s">
        <v>333</v>
      </c>
      <c r="L592" s="418">
        <v>175351</v>
      </c>
      <c r="M592" s="420">
        <v>0</v>
      </c>
      <c r="N592" s="157">
        <f t="shared" si="133"/>
        <v>101</v>
      </c>
      <c r="O592" s="156">
        <f t="shared" si="134"/>
        <v>175351</v>
      </c>
      <c r="Q592" s="156"/>
    </row>
    <row r="593" spans="1:17" ht="12.75" hidden="1" customHeight="1">
      <c r="A593" s="161" t="str">
        <f t="shared" si="127"/>
        <v>89Worker Retraining - Base (101)</v>
      </c>
      <c r="B593" s="161">
        <f t="shared" si="128"/>
        <v>1</v>
      </c>
      <c r="C593" s="160" t="s">
        <v>144</v>
      </c>
      <c r="D593" s="163" t="b">
        <v>1</v>
      </c>
      <c r="E593" s="161" t="s">
        <v>204</v>
      </c>
      <c r="F593" s="161" t="str">
        <f t="shared" si="130"/>
        <v>001</v>
      </c>
      <c r="G593" s="161" t="str">
        <f t="shared" si="129"/>
        <v>011</v>
      </c>
      <c r="H593" s="161" t="str">
        <f t="shared" si="131"/>
        <v>011</v>
      </c>
      <c r="I593" s="161" t="str">
        <f t="shared" si="132"/>
        <v>001-011</v>
      </c>
      <c r="J593" s="162" t="s">
        <v>491</v>
      </c>
      <c r="K593" s="161" t="s">
        <v>333</v>
      </c>
      <c r="L593" s="418">
        <v>497555</v>
      </c>
      <c r="N593" s="157">
        <f t="shared" si="133"/>
        <v>101</v>
      </c>
      <c r="O593" s="156">
        <f t="shared" si="134"/>
        <v>497555</v>
      </c>
      <c r="Q593" s="156"/>
    </row>
    <row r="594" spans="1:17" ht="12.75" hidden="1" customHeight="1">
      <c r="A594" s="161" t="str">
        <f t="shared" si="127"/>
        <v>90Worker Retraining - Base (101)</v>
      </c>
      <c r="B594" s="161">
        <f t="shared" si="128"/>
        <v>1</v>
      </c>
      <c r="C594" s="160">
        <v>90</v>
      </c>
      <c r="D594" s="163" t="b">
        <v>1</v>
      </c>
      <c r="E594" s="161" t="s">
        <v>205</v>
      </c>
      <c r="F594" s="161" t="str">
        <f t="shared" si="130"/>
        <v>001</v>
      </c>
      <c r="G594" s="161" t="str">
        <f t="shared" si="129"/>
        <v>011</v>
      </c>
      <c r="H594" s="161" t="str">
        <f t="shared" si="131"/>
        <v>011</v>
      </c>
      <c r="I594" s="161" t="str">
        <f t="shared" si="132"/>
        <v>001-011</v>
      </c>
      <c r="J594" s="162" t="s">
        <v>491</v>
      </c>
      <c r="K594" s="161" t="s">
        <v>333</v>
      </c>
      <c r="L594" s="418">
        <v>1009563</v>
      </c>
      <c r="M594" s="418">
        <v>631317</v>
      </c>
      <c r="N594" s="157">
        <f t="shared" si="133"/>
        <v>101</v>
      </c>
      <c r="O594" s="156">
        <f t="shared" si="134"/>
        <v>1640880</v>
      </c>
      <c r="Q594" s="156"/>
    </row>
    <row r="595" spans="1:17" ht="12.75" hidden="1" customHeight="1">
      <c r="A595" s="161" t="str">
        <f t="shared" si="127"/>
        <v>6Worker Retraining - Base (101)</v>
      </c>
      <c r="B595" s="161">
        <f t="shared" si="128"/>
        <v>1</v>
      </c>
      <c r="C595" s="163">
        <v>6</v>
      </c>
      <c r="D595" s="163" t="b">
        <v>1</v>
      </c>
      <c r="E595" s="161" t="s">
        <v>19</v>
      </c>
      <c r="F595" s="161" t="str">
        <f t="shared" si="130"/>
        <v>001</v>
      </c>
      <c r="G595" s="161" t="str">
        <f t="shared" si="129"/>
        <v>011</v>
      </c>
      <c r="H595" s="161" t="str">
        <f t="shared" si="131"/>
        <v>011</v>
      </c>
      <c r="I595" s="161" t="str">
        <f t="shared" si="132"/>
        <v>001-011</v>
      </c>
      <c r="J595" s="162" t="s">
        <v>491</v>
      </c>
      <c r="K595" s="161" t="s">
        <v>333</v>
      </c>
      <c r="L595" s="418">
        <v>718713</v>
      </c>
      <c r="M595" s="420">
        <v>-190000</v>
      </c>
      <c r="N595" s="157">
        <f t="shared" si="133"/>
        <v>101</v>
      </c>
      <c r="O595" s="156">
        <f t="shared" si="134"/>
        <v>528713</v>
      </c>
      <c r="Q595" s="156"/>
    </row>
    <row r="596" spans="1:17" ht="12.75" hidden="1" customHeight="1">
      <c r="A596" s="161" t="str">
        <f t="shared" si="127"/>
        <v>7Worker Retraining - Base (101)</v>
      </c>
      <c r="B596" s="161">
        <f t="shared" si="128"/>
        <v>1</v>
      </c>
      <c r="C596" s="163">
        <v>7</v>
      </c>
      <c r="D596" s="163" t="b">
        <v>1</v>
      </c>
      <c r="E596" s="161" t="s">
        <v>20</v>
      </c>
      <c r="F596" s="161" t="str">
        <f t="shared" si="130"/>
        <v>001</v>
      </c>
      <c r="G596" s="161" t="str">
        <f t="shared" si="129"/>
        <v>011</v>
      </c>
      <c r="H596" s="161" t="str">
        <f t="shared" si="131"/>
        <v>011</v>
      </c>
      <c r="I596" s="161" t="str">
        <f t="shared" si="132"/>
        <v>001-011</v>
      </c>
      <c r="J596" s="162" t="s">
        <v>491</v>
      </c>
      <c r="K596" s="161" t="s">
        <v>333</v>
      </c>
      <c r="L596" s="418">
        <v>132766</v>
      </c>
      <c r="M596" s="420">
        <v>0</v>
      </c>
      <c r="N596" s="157">
        <f t="shared" si="133"/>
        <v>101</v>
      </c>
      <c r="O596" s="156">
        <f t="shared" si="134"/>
        <v>132766</v>
      </c>
      <c r="Q596" s="156"/>
    </row>
    <row r="597" spans="1:17" ht="12.75" hidden="1" customHeight="1">
      <c r="A597" s="161" t="str">
        <f t="shared" si="127"/>
        <v>4Worker Retraining - Base (101)</v>
      </c>
      <c r="B597" s="161">
        <f t="shared" si="128"/>
        <v>1</v>
      </c>
      <c r="C597" s="163">
        <v>4</v>
      </c>
      <c r="D597" s="163" t="b">
        <v>1</v>
      </c>
      <c r="E597" s="161" t="s">
        <v>17</v>
      </c>
      <c r="F597" s="161" t="str">
        <f t="shared" si="130"/>
        <v>001</v>
      </c>
      <c r="G597" s="161" t="str">
        <f t="shared" si="129"/>
        <v>011</v>
      </c>
      <c r="H597" s="161" t="str">
        <f t="shared" si="131"/>
        <v>011</v>
      </c>
      <c r="I597" s="161" t="str">
        <f t="shared" si="132"/>
        <v>001-011</v>
      </c>
      <c r="J597" s="162" t="s">
        <v>491</v>
      </c>
      <c r="K597" s="161" t="s">
        <v>333</v>
      </c>
      <c r="L597" s="418">
        <v>100047</v>
      </c>
      <c r="M597" s="420">
        <v>-6317</v>
      </c>
      <c r="N597" s="157">
        <f t="shared" si="133"/>
        <v>101</v>
      </c>
      <c r="O597" s="156">
        <f t="shared" si="134"/>
        <v>93730</v>
      </c>
      <c r="Q597" s="156"/>
    </row>
    <row r="598" spans="1:17" ht="12.75" hidden="1" customHeight="1">
      <c r="A598" s="161" t="str">
        <f t="shared" si="127"/>
        <v>24Worker Retraining - Base (101)</v>
      </c>
      <c r="B598" s="161">
        <f t="shared" si="128"/>
        <v>1</v>
      </c>
      <c r="C598" s="163">
        <v>24</v>
      </c>
      <c r="D598" s="163" t="b">
        <v>1</v>
      </c>
      <c r="E598" s="161" t="s">
        <v>37</v>
      </c>
      <c r="F598" s="161" t="str">
        <f t="shared" si="130"/>
        <v>001</v>
      </c>
      <c r="G598" s="161" t="str">
        <f t="shared" si="129"/>
        <v>011</v>
      </c>
      <c r="H598" s="161" t="str">
        <f t="shared" si="131"/>
        <v>011</v>
      </c>
      <c r="I598" s="161" t="str">
        <f t="shared" si="132"/>
        <v>001-011</v>
      </c>
      <c r="J598" s="162" t="s">
        <v>491</v>
      </c>
      <c r="K598" s="161" t="s">
        <v>333</v>
      </c>
      <c r="L598" s="418">
        <v>67114</v>
      </c>
      <c r="M598" s="420">
        <v>0</v>
      </c>
      <c r="N598" s="157">
        <f t="shared" si="133"/>
        <v>101</v>
      </c>
      <c r="O598" s="156">
        <f t="shared" si="134"/>
        <v>67114</v>
      </c>
      <c r="Q598" s="156"/>
    </row>
    <row r="599" spans="1:17" ht="12.75" hidden="1" customHeight="1">
      <c r="A599" s="161" t="str">
        <f t="shared" si="127"/>
        <v>17Worker Retraining - Base (101)</v>
      </c>
      <c r="B599" s="161">
        <f t="shared" si="128"/>
        <v>1</v>
      </c>
      <c r="C599" s="163">
        <v>17</v>
      </c>
      <c r="D599" s="163" t="b">
        <v>1</v>
      </c>
      <c r="E599" s="161" t="s">
        <v>30</v>
      </c>
      <c r="F599" s="161" t="str">
        <f t="shared" si="130"/>
        <v>001</v>
      </c>
      <c r="G599" s="161" t="str">
        <f t="shared" si="129"/>
        <v>011</v>
      </c>
      <c r="H599" s="161" t="str">
        <f t="shared" si="131"/>
        <v>011</v>
      </c>
      <c r="I599" s="161" t="str">
        <f t="shared" si="132"/>
        <v>001-011</v>
      </c>
      <c r="J599" s="162" t="s">
        <v>491</v>
      </c>
      <c r="K599" s="161" t="s">
        <v>333</v>
      </c>
      <c r="L599" s="418">
        <v>205203</v>
      </c>
      <c r="M599" s="420">
        <v>0</v>
      </c>
      <c r="N599" s="157">
        <f t="shared" si="133"/>
        <v>101</v>
      </c>
      <c r="O599" s="156">
        <f t="shared" si="134"/>
        <v>205203</v>
      </c>
      <c r="Q599" s="156"/>
    </row>
    <row r="600" spans="1:17" ht="12.75" hidden="1" customHeight="1">
      <c r="A600" s="161" t="str">
        <f t="shared" si="127"/>
        <v>22Worker Retraining - Base (101)</v>
      </c>
      <c r="B600" s="161">
        <f t="shared" si="128"/>
        <v>1</v>
      </c>
      <c r="C600" s="163">
        <v>22</v>
      </c>
      <c r="D600" s="163" t="b">
        <v>1</v>
      </c>
      <c r="E600" s="161" t="s">
        <v>35</v>
      </c>
      <c r="F600" s="161" t="str">
        <f t="shared" si="130"/>
        <v>001</v>
      </c>
      <c r="G600" s="161" t="str">
        <f t="shared" si="129"/>
        <v>011</v>
      </c>
      <c r="H600" s="161" t="str">
        <f t="shared" si="131"/>
        <v>011</v>
      </c>
      <c r="I600" s="161" t="str">
        <f t="shared" si="132"/>
        <v>001-011</v>
      </c>
      <c r="J600" s="162" t="s">
        <v>491</v>
      </c>
      <c r="K600" s="161" t="s">
        <v>333</v>
      </c>
      <c r="L600" s="418">
        <v>173576</v>
      </c>
      <c r="M600" s="420">
        <v>0</v>
      </c>
      <c r="N600" s="157">
        <f t="shared" si="133"/>
        <v>101</v>
      </c>
      <c r="O600" s="156">
        <f t="shared" si="134"/>
        <v>173576</v>
      </c>
      <c r="Q600" s="156"/>
    </row>
    <row r="601" spans="1:17" ht="12.75" hidden="1" customHeight="1">
      <c r="A601" s="161" t="str">
        <f t="shared" si="127"/>
        <v>20Worker Retraining - Base (101)</v>
      </c>
      <c r="B601" s="161">
        <f t="shared" si="128"/>
        <v>1</v>
      </c>
      <c r="C601" s="163">
        <v>20</v>
      </c>
      <c r="D601" s="163" t="b">
        <v>1</v>
      </c>
      <c r="E601" s="161" t="s">
        <v>33</v>
      </c>
      <c r="F601" s="161" t="str">
        <f t="shared" si="130"/>
        <v>001</v>
      </c>
      <c r="G601" s="161" t="str">
        <f t="shared" si="129"/>
        <v>011</v>
      </c>
      <c r="H601" s="161" t="str">
        <f t="shared" si="131"/>
        <v>011</v>
      </c>
      <c r="I601" s="161" t="str">
        <f t="shared" si="132"/>
        <v>001-011</v>
      </c>
      <c r="J601" s="162" t="s">
        <v>491</v>
      </c>
      <c r="K601" s="161" t="s">
        <v>333</v>
      </c>
      <c r="L601" s="418">
        <v>249469</v>
      </c>
      <c r="M601" s="420">
        <v>-20000</v>
      </c>
      <c r="N601" s="157">
        <f t="shared" si="133"/>
        <v>101</v>
      </c>
      <c r="O601" s="156">
        <f t="shared" si="134"/>
        <v>229469</v>
      </c>
      <c r="Q601" s="156"/>
    </row>
    <row r="602" spans="1:17" ht="12.75" hidden="1" customHeight="1">
      <c r="A602" s="161" t="str">
        <f t="shared" si="127"/>
        <v>15Worker Retraining - Base (101)</v>
      </c>
      <c r="B602" s="161">
        <f t="shared" si="128"/>
        <v>1</v>
      </c>
      <c r="C602" s="163">
        <v>15</v>
      </c>
      <c r="D602" s="163" t="b">
        <v>1</v>
      </c>
      <c r="E602" s="161" t="s">
        <v>28</v>
      </c>
      <c r="F602" s="161" t="str">
        <f t="shared" si="130"/>
        <v>001</v>
      </c>
      <c r="G602" s="161" t="str">
        <f t="shared" si="129"/>
        <v>011</v>
      </c>
      <c r="H602" s="161" t="str">
        <f t="shared" si="131"/>
        <v>011</v>
      </c>
      <c r="I602" s="161" t="str">
        <f t="shared" si="132"/>
        <v>001-011</v>
      </c>
      <c r="J602" s="162" t="s">
        <v>491</v>
      </c>
      <c r="K602" s="161" t="s">
        <v>333</v>
      </c>
      <c r="L602" s="418">
        <v>99940</v>
      </c>
      <c r="M602" s="420">
        <v>0</v>
      </c>
      <c r="N602" s="157">
        <f t="shared" si="133"/>
        <v>101</v>
      </c>
      <c r="O602" s="156">
        <f t="shared" si="134"/>
        <v>99940</v>
      </c>
      <c r="Q602" s="156"/>
    </row>
    <row r="603" spans="1:17" ht="12.75" hidden="1" customHeight="1">
      <c r="A603" s="161" t="str">
        <f t="shared" si="127"/>
        <v>21Worker Retraining - Base (101)</v>
      </c>
      <c r="B603" s="161">
        <f t="shared" si="128"/>
        <v>1</v>
      </c>
      <c r="C603" s="163">
        <v>21</v>
      </c>
      <c r="D603" s="163" t="b">
        <v>1</v>
      </c>
      <c r="E603" s="161" t="s">
        <v>34</v>
      </c>
      <c r="F603" s="161" t="str">
        <f t="shared" si="130"/>
        <v>001</v>
      </c>
      <c r="G603" s="161" t="str">
        <f t="shared" si="129"/>
        <v>011</v>
      </c>
      <c r="H603" s="161" t="str">
        <f t="shared" si="131"/>
        <v>011</v>
      </c>
      <c r="I603" s="161" t="str">
        <f t="shared" si="132"/>
        <v>001-011</v>
      </c>
      <c r="J603" s="162" t="s">
        <v>491</v>
      </c>
      <c r="K603" s="161" t="s">
        <v>333</v>
      </c>
      <c r="L603" s="418">
        <v>50175</v>
      </c>
      <c r="M603" s="420">
        <v>-15000</v>
      </c>
      <c r="N603" s="157">
        <f t="shared" si="133"/>
        <v>101</v>
      </c>
      <c r="O603" s="156">
        <f t="shared" si="134"/>
        <v>35175</v>
      </c>
      <c r="Q603" s="156"/>
    </row>
    <row r="604" spans="1:17" ht="12.75" hidden="1" customHeight="1">
      <c r="A604" s="161" t="str">
        <f t="shared" si="127"/>
        <v>16Worker Retraining - Base (101)</v>
      </c>
      <c r="B604" s="161">
        <f t="shared" si="128"/>
        <v>1</v>
      </c>
      <c r="C604" s="163">
        <v>16</v>
      </c>
      <c r="D604" s="163" t="b">
        <v>1</v>
      </c>
      <c r="E604" s="161" t="s">
        <v>29</v>
      </c>
      <c r="F604" s="161" t="str">
        <f t="shared" si="130"/>
        <v>001</v>
      </c>
      <c r="G604" s="161" t="str">
        <f t="shared" si="129"/>
        <v>011</v>
      </c>
      <c r="H604" s="161" t="str">
        <f t="shared" si="131"/>
        <v>011</v>
      </c>
      <c r="I604" s="161" t="str">
        <f t="shared" si="132"/>
        <v>001-011</v>
      </c>
      <c r="J604" s="162" t="s">
        <v>491</v>
      </c>
      <c r="K604" s="161" t="s">
        <v>333</v>
      </c>
      <c r="L604" s="418">
        <v>71552</v>
      </c>
      <c r="M604" s="420">
        <v>0</v>
      </c>
      <c r="N604" s="157">
        <f t="shared" si="133"/>
        <v>101</v>
      </c>
      <c r="O604" s="156">
        <f t="shared" si="134"/>
        <v>71552</v>
      </c>
      <c r="Q604" s="156"/>
    </row>
    <row r="605" spans="1:17" ht="12.75" hidden="1" customHeight="1">
      <c r="A605" s="161" t="str">
        <f t="shared" si="127"/>
        <v>28Worker Retraining - Base (AC1)</v>
      </c>
      <c r="B605" s="161">
        <f t="shared" si="128"/>
        <v>1</v>
      </c>
      <c r="C605" s="163">
        <v>28</v>
      </c>
      <c r="D605" s="163" t="b">
        <v>1</v>
      </c>
      <c r="E605" s="161" t="s">
        <v>41</v>
      </c>
      <c r="F605" s="161" t="str">
        <f t="shared" si="130"/>
        <v>001</v>
      </c>
      <c r="G605" s="161" t="str">
        <f t="shared" ref="G605:G636" si="135">IF(RIGHT(J605,3)="012","201",IF(RIGHT(J605,3)="232","123",IF(RIGHT(J605,3)="1E2","215",RIGHT(J605,3))))</f>
        <v>AC1</v>
      </c>
      <c r="H605" s="161" t="str">
        <f t="shared" si="131"/>
        <v>AC1</v>
      </c>
      <c r="I605" s="161" t="str">
        <f t="shared" si="132"/>
        <v>001-AC1</v>
      </c>
      <c r="J605" s="162" t="s">
        <v>481</v>
      </c>
      <c r="K605" s="161" t="s">
        <v>332</v>
      </c>
      <c r="L605" s="418">
        <v>1083391</v>
      </c>
      <c r="M605" s="420"/>
      <c r="N605" s="157">
        <f t="shared" si="133"/>
        <v>123</v>
      </c>
      <c r="O605" s="156">
        <f t="shared" si="134"/>
        <v>1083391</v>
      </c>
      <c r="Q605" s="156"/>
    </row>
    <row r="606" spans="1:17" ht="12.75" hidden="1" customHeight="1">
      <c r="A606" s="161" t="str">
        <f t="shared" si="127"/>
        <v>8Worker Retraining - Base (AC1)</v>
      </c>
      <c r="B606" s="161">
        <f t="shared" si="128"/>
        <v>1</v>
      </c>
      <c r="C606" s="163">
        <v>8</v>
      </c>
      <c r="D606" s="163" t="b">
        <v>1</v>
      </c>
      <c r="E606" s="161" t="s">
        <v>21</v>
      </c>
      <c r="F606" s="161" t="str">
        <f t="shared" si="130"/>
        <v>001</v>
      </c>
      <c r="G606" s="161" t="str">
        <f t="shared" si="135"/>
        <v>AC1</v>
      </c>
      <c r="H606" s="161" t="str">
        <f t="shared" si="131"/>
        <v>AC1</v>
      </c>
      <c r="I606" s="161" t="str">
        <f t="shared" si="132"/>
        <v>001-AC1</v>
      </c>
      <c r="J606" s="162" t="s">
        <v>481</v>
      </c>
      <c r="K606" s="161" t="s">
        <v>332</v>
      </c>
      <c r="L606" s="418">
        <v>990159</v>
      </c>
      <c r="M606" s="420"/>
      <c r="N606" s="157">
        <f t="shared" si="133"/>
        <v>123</v>
      </c>
      <c r="O606" s="156">
        <f t="shared" si="134"/>
        <v>990159</v>
      </c>
      <c r="Q606" s="156"/>
    </row>
    <row r="607" spans="1:17" ht="12.75" hidden="1" customHeight="1">
      <c r="A607" s="161" t="str">
        <f t="shared" si="127"/>
        <v>25Worker Retraining - Base (AC1)</v>
      </c>
      <c r="B607" s="161">
        <f t="shared" si="128"/>
        <v>1</v>
      </c>
      <c r="C607" s="163">
        <v>25</v>
      </c>
      <c r="D607" s="163" t="b">
        <v>1</v>
      </c>
      <c r="E607" s="161" t="s">
        <v>38</v>
      </c>
      <c r="F607" s="161" t="str">
        <f t="shared" si="130"/>
        <v>001</v>
      </c>
      <c r="G607" s="161" t="str">
        <f t="shared" si="135"/>
        <v>AC1</v>
      </c>
      <c r="H607" s="161" t="str">
        <f t="shared" si="131"/>
        <v>AC1</v>
      </c>
      <c r="I607" s="161" t="str">
        <f t="shared" si="132"/>
        <v>001-AC1</v>
      </c>
      <c r="J607" s="162" t="s">
        <v>481</v>
      </c>
      <c r="K607" s="161" t="s">
        <v>332</v>
      </c>
      <c r="L607" s="418">
        <v>159547</v>
      </c>
      <c r="M607" s="420"/>
      <c r="N607" s="157">
        <f t="shared" si="133"/>
        <v>123</v>
      </c>
      <c r="O607" s="156">
        <f t="shared" si="134"/>
        <v>159547</v>
      </c>
      <c r="Q607" s="156"/>
    </row>
    <row r="608" spans="1:17" ht="12.75" hidden="1" customHeight="1">
      <c r="A608" s="161" t="str">
        <f t="shared" si="127"/>
        <v>18Worker Retraining - Base (AC1)</v>
      </c>
      <c r="B608" s="161">
        <f t="shared" si="128"/>
        <v>1</v>
      </c>
      <c r="C608" s="163">
        <v>18</v>
      </c>
      <c r="D608" s="163" t="b">
        <v>1</v>
      </c>
      <c r="E608" s="161" t="s">
        <v>31</v>
      </c>
      <c r="F608" s="161" t="str">
        <f t="shared" si="130"/>
        <v>001</v>
      </c>
      <c r="G608" s="161" t="str">
        <f t="shared" si="135"/>
        <v>AC1</v>
      </c>
      <c r="H608" s="161" t="str">
        <f t="shared" si="131"/>
        <v>AC1</v>
      </c>
      <c r="I608" s="161" t="str">
        <f t="shared" si="132"/>
        <v>001-AC1</v>
      </c>
      <c r="J608" s="162" t="s">
        <v>481</v>
      </c>
      <c r="K608" s="161" t="s">
        <v>332</v>
      </c>
      <c r="L608" s="418">
        <v>223114</v>
      </c>
      <c r="M608" s="420"/>
      <c r="N608" s="157">
        <f t="shared" si="133"/>
        <v>123</v>
      </c>
      <c r="O608" s="156">
        <f t="shared" si="134"/>
        <v>223114</v>
      </c>
      <c r="Q608" s="156"/>
    </row>
    <row r="609" spans="1:17" ht="12.75" hidden="1" customHeight="1">
      <c r="A609" s="161" t="str">
        <f t="shared" si="127"/>
        <v>30Worker Retraining - Base (AC1)</v>
      </c>
      <c r="B609" s="161">
        <f t="shared" si="128"/>
        <v>1</v>
      </c>
      <c r="C609" s="163">
        <v>30</v>
      </c>
      <c r="D609" s="163" t="b">
        <v>1</v>
      </c>
      <c r="E609" s="161" t="s">
        <v>43</v>
      </c>
      <c r="F609" s="161" t="str">
        <f t="shared" si="130"/>
        <v>001</v>
      </c>
      <c r="G609" s="161" t="str">
        <f t="shared" si="135"/>
        <v>AC1</v>
      </c>
      <c r="H609" s="161" t="str">
        <f t="shared" si="131"/>
        <v>AC1</v>
      </c>
      <c r="I609" s="161" t="str">
        <f t="shared" si="132"/>
        <v>001-AC1</v>
      </c>
      <c r="J609" s="162" t="s">
        <v>481</v>
      </c>
      <c r="K609" s="161" t="s">
        <v>332</v>
      </c>
      <c r="L609" s="418">
        <v>134120</v>
      </c>
      <c r="M609" s="420"/>
      <c r="N609" s="157">
        <f t="shared" si="133"/>
        <v>123</v>
      </c>
      <c r="O609" s="156">
        <f t="shared" si="134"/>
        <v>134120</v>
      </c>
      <c r="Q609" s="156"/>
    </row>
    <row r="610" spans="1:17" ht="12.75" hidden="1" customHeight="1">
      <c r="A610" s="161" t="str">
        <f t="shared" si="127"/>
        <v>12Worker Retraining - Base (AC1)</v>
      </c>
      <c r="B610" s="161">
        <f t="shared" si="128"/>
        <v>1</v>
      </c>
      <c r="C610" s="163">
        <v>12</v>
      </c>
      <c r="D610" s="163" t="b">
        <v>1</v>
      </c>
      <c r="E610" s="161" t="s">
        <v>25</v>
      </c>
      <c r="F610" s="161" t="str">
        <f t="shared" si="130"/>
        <v>001</v>
      </c>
      <c r="G610" s="161" t="str">
        <f t="shared" si="135"/>
        <v>AC1</v>
      </c>
      <c r="H610" s="161" t="str">
        <f t="shared" si="131"/>
        <v>AC1</v>
      </c>
      <c r="I610" s="161" t="str">
        <f t="shared" si="132"/>
        <v>001-AC1</v>
      </c>
      <c r="J610" s="162" t="s">
        <v>481</v>
      </c>
      <c r="K610" s="161" t="s">
        <v>332</v>
      </c>
      <c r="L610" s="418">
        <v>490097</v>
      </c>
      <c r="M610" s="420"/>
      <c r="N610" s="157">
        <f t="shared" si="133"/>
        <v>123</v>
      </c>
      <c r="O610" s="156">
        <f t="shared" si="134"/>
        <v>490097</v>
      </c>
      <c r="Q610" s="156"/>
    </row>
    <row r="611" spans="1:17" ht="12.75" hidden="1" customHeight="1">
      <c r="A611" s="161" t="str">
        <f t="shared" si="127"/>
        <v>14Worker Retraining - Base (AC1)</v>
      </c>
      <c r="B611" s="161">
        <f t="shared" si="128"/>
        <v>1</v>
      </c>
      <c r="C611" s="163">
        <v>14</v>
      </c>
      <c r="D611" s="163" t="b">
        <v>1</v>
      </c>
      <c r="E611" s="161" t="s">
        <v>27</v>
      </c>
      <c r="F611" s="161" t="str">
        <f t="shared" si="130"/>
        <v>001</v>
      </c>
      <c r="G611" s="161" t="str">
        <f t="shared" si="135"/>
        <v>AC1</v>
      </c>
      <c r="H611" s="161" t="str">
        <f t="shared" si="131"/>
        <v>AC1</v>
      </c>
      <c r="I611" s="161" t="str">
        <f t="shared" si="132"/>
        <v>001-AC1</v>
      </c>
      <c r="J611" s="162" t="s">
        <v>481</v>
      </c>
      <c r="K611" s="161" t="s">
        <v>332</v>
      </c>
      <c r="L611" s="418">
        <v>532475</v>
      </c>
      <c r="M611" s="420"/>
      <c r="N611" s="157">
        <f t="shared" si="133"/>
        <v>123</v>
      </c>
      <c r="O611" s="156">
        <f t="shared" si="134"/>
        <v>532475</v>
      </c>
      <c r="Q611" s="156"/>
    </row>
    <row r="612" spans="1:17" ht="12.75" hidden="1" customHeight="1">
      <c r="A612" s="161" t="str">
        <f t="shared" si="127"/>
        <v>29Worker Retraining - Base (AC1)</v>
      </c>
      <c r="B612" s="161">
        <f t="shared" si="128"/>
        <v>1</v>
      </c>
      <c r="C612" s="163">
        <v>29</v>
      </c>
      <c r="D612" s="163" t="b">
        <v>1</v>
      </c>
      <c r="E612" s="161" t="s">
        <v>42</v>
      </c>
      <c r="F612" s="161" t="str">
        <f t="shared" si="130"/>
        <v>001</v>
      </c>
      <c r="G612" s="161" t="str">
        <f t="shared" si="135"/>
        <v>AC1</v>
      </c>
      <c r="H612" s="161" t="str">
        <f t="shared" si="131"/>
        <v>AC1</v>
      </c>
      <c r="I612" s="161" t="str">
        <f t="shared" si="132"/>
        <v>001-AC1</v>
      </c>
      <c r="J612" s="162" t="s">
        <v>481</v>
      </c>
      <c r="K612" s="161" t="s">
        <v>332</v>
      </c>
      <c r="L612" s="418">
        <v>765555</v>
      </c>
      <c r="M612" s="420"/>
      <c r="N612" s="157">
        <f t="shared" si="133"/>
        <v>123</v>
      </c>
      <c r="O612" s="156">
        <f t="shared" si="134"/>
        <v>765555</v>
      </c>
      <c r="Q612" s="156"/>
    </row>
    <row r="613" spans="1:17" ht="12.75" hidden="1" customHeight="1">
      <c r="A613" s="161" t="str">
        <f t="shared" si="127"/>
        <v>19Worker Retraining - Base (AC1)</v>
      </c>
      <c r="B613" s="161">
        <f t="shared" si="128"/>
        <v>1</v>
      </c>
      <c r="C613" s="163">
        <v>19</v>
      </c>
      <c r="D613" s="163" t="b">
        <v>1</v>
      </c>
      <c r="E613" s="161" t="s">
        <v>32</v>
      </c>
      <c r="F613" s="161" t="str">
        <f t="shared" si="130"/>
        <v>001</v>
      </c>
      <c r="G613" s="161" t="str">
        <f t="shared" si="135"/>
        <v>AC1</v>
      </c>
      <c r="H613" s="161" t="str">
        <f t="shared" si="131"/>
        <v>AC1</v>
      </c>
      <c r="I613" s="161" t="str">
        <f t="shared" si="132"/>
        <v>001-AC1</v>
      </c>
      <c r="J613" s="162" t="s">
        <v>481</v>
      </c>
      <c r="K613" s="161" t="s">
        <v>332</v>
      </c>
      <c r="L613" s="418">
        <v>956256</v>
      </c>
      <c r="M613" s="420"/>
      <c r="N613" s="157">
        <f t="shared" si="133"/>
        <v>123</v>
      </c>
      <c r="O613" s="156">
        <f t="shared" si="134"/>
        <v>956256</v>
      </c>
      <c r="Q613" s="156"/>
    </row>
    <row r="614" spans="1:17" ht="12.75" hidden="1" customHeight="1">
      <c r="A614" s="161" t="str">
        <f t="shared" si="127"/>
        <v>23Worker Retraining - Base (AC1)</v>
      </c>
      <c r="B614" s="161">
        <f t="shared" si="128"/>
        <v>1</v>
      </c>
      <c r="C614" s="163">
        <v>23</v>
      </c>
      <c r="D614" s="163" t="b">
        <v>1</v>
      </c>
      <c r="E614" s="161" t="s">
        <v>36</v>
      </c>
      <c r="F614" s="161" t="str">
        <f t="shared" si="130"/>
        <v>001</v>
      </c>
      <c r="G614" s="161" t="str">
        <f t="shared" si="135"/>
        <v>AC1</v>
      </c>
      <c r="H614" s="161" t="str">
        <f t="shared" si="131"/>
        <v>AC1</v>
      </c>
      <c r="I614" s="161" t="str">
        <f t="shared" si="132"/>
        <v>001-AC1</v>
      </c>
      <c r="J614" s="162" t="s">
        <v>481</v>
      </c>
      <c r="K614" s="161" t="s">
        <v>332</v>
      </c>
      <c r="L614" s="418">
        <v>765555</v>
      </c>
      <c r="M614" s="420"/>
      <c r="N614" s="157">
        <f t="shared" si="133"/>
        <v>123</v>
      </c>
      <c r="O614" s="156">
        <f t="shared" ref="O614:O645" si="136">SUM(L614:M614)</f>
        <v>765555</v>
      </c>
      <c r="Q614" s="156"/>
    </row>
    <row r="615" spans="1:17" ht="12.75" hidden="1" customHeight="1">
      <c r="A615" s="161" t="str">
        <f t="shared" si="127"/>
        <v>5Worker Retraining - Base (AC1)</v>
      </c>
      <c r="B615" s="161">
        <f t="shared" si="128"/>
        <v>1</v>
      </c>
      <c r="C615" s="163">
        <v>5</v>
      </c>
      <c r="D615" s="163" t="b">
        <v>1</v>
      </c>
      <c r="E615" s="161" t="s">
        <v>18</v>
      </c>
      <c r="F615" s="161" t="str">
        <f t="shared" si="130"/>
        <v>001</v>
      </c>
      <c r="G615" s="161" t="str">
        <f t="shared" si="135"/>
        <v>AC1</v>
      </c>
      <c r="H615" s="161" t="str">
        <f t="shared" si="131"/>
        <v>AC1</v>
      </c>
      <c r="I615" s="161" t="str">
        <f t="shared" si="132"/>
        <v>001-AC1</v>
      </c>
      <c r="J615" s="162" t="s">
        <v>481</v>
      </c>
      <c r="K615" s="161" t="s">
        <v>332</v>
      </c>
      <c r="L615" s="418">
        <v>528237</v>
      </c>
      <c r="M615" s="420"/>
      <c r="N615" s="157">
        <f t="shared" si="133"/>
        <v>123</v>
      </c>
      <c r="O615" s="156">
        <f t="shared" si="136"/>
        <v>528237</v>
      </c>
      <c r="Q615" s="156"/>
    </row>
    <row r="616" spans="1:17" ht="12.75" hidden="1" customHeight="1">
      <c r="A616" s="161" t="str">
        <f t="shared" si="127"/>
        <v>2Worker Retraining - Base (AC1)</v>
      </c>
      <c r="B616" s="161">
        <f t="shared" si="128"/>
        <v>1</v>
      </c>
      <c r="C616" s="163">
        <v>2</v>
      </c>
      <c r="D616" s="163" t="b">
        <v>1</v>
      </c>
      <c r="E616" s="161" t="s">
        <v>15</v>
      </c>
      <c r="F616" s="161" t="str">
        <f t="shared" si="130"/>
        <v>001</v>
      </c>
      <c r="G616" s="161" t="str">
        <f t="shared" si="135"/>
        <v>AC1</v>
      </c>
      <c r="H616" s="161" t="str">
        <f t="shared" si="131"/>
        <v>AC1</v>
      </c>
      <c r="I616" s="161" t="str">
        <f t="shared" si="132"/>
        <v>001-AC1</v>
      </c>
      <c r="J616" s="162" t="s">
        <v>481</v>
      </c>
      <c r="K616" s="161" t="s">
        <v>332</v>
      </c>
      <c r="L616" s="418">
        <v>672323</v>
      </c>
      <c r="M616" s="420"/>
      <c r="N616" s="157">
        <f t="shared" si="133"/>
        <v>123</v>
      </c>
      <c r="O616" s="156">
        <f t="shared" si="136"/>
        <v>672323</v>
      </c>
      <c r="Q616" s="156"/>
    </row>
    <row r="617" spans="1:17" ht="12.75" hidden="1" customHeight="1">
      <c r="A617" s="161" t="str">
        <f t="shared" si="127"/>
        <v>10Worker Retraining - Base (AC1)</v>
      </c>
      <c r="B617" s="161">
        <f t="shared" si="128"/>
        <v>1</v>
      </c>
      <c r="C617" s="163">
        <v>10</v>
      </c>
      <c r="D617" s="163" t="b">
        <v>1</v>
      </c>
      <c r="E617" s="161" t="s">
        <v>23</v>
      </c>
      <c r="F617" s="161" t="str">
        <f t="shared" si="130"/>
        <v>001</v>
      </c>
      <c r="G617" s="161" t="str">
        <f t="shared" si="135"/>
        <v>AC1</v>
      </c>
      <c r="H617" s="161" t="str">
        <f t="shared" si="131"/>
        <v>AC1</v>
      </c>
      <c r="I617" s="161" t="str">
        <f t="shared" si="132"/>
        <v>001-AC1</v>
      </c>
      <c r="J617" s="162" t="s">
        <v>481</v>
      </c>
      <c r="K617" s="161" t="s">
        <v>332</v>
      </c>
      <c r="L617" s="418">
        <v>1142720</v>
      </c>
      <c r="M617" s="420"/>
      <c r="N617" s="157">
        <f t="shared" si="133"/>
        <v>123</v>
      </c>
      <c r="O617" s="156">
        <f t="shared" si="136"/>
        <v>1142720</v>
      </c>
      <c r="Q617" s="156"/>
    </row>
    <row r="618" spans="1:17" ht="12.75" hidden="1" customHeight="1">
      <c r="A618" s="161" t="str">
        <f t="shared" si="127"/>
        <v>9Worker Retraining - Base (AC1)</v>
      </c>
      <c r="B618" s="161">
        <f t="shared" si="128"/>
        <v>1</v>
      </c>
      <c r="C618" s="163">
        <v>9</v>
      </c>
      <c r="D618" s="163" t="b">
        <v>1</v>
      </c>
      <c r="E618" s="161" t="s">
        <v>22</v>
      </c>
      <c r="F618" s="161" t="str">
        <f t="shared" si="130"/>
        <v>001</v>
      </c>
      <c r="G618" s="161" t="str">
        <f t="shared" si="135"/>
        <v>AC1</v>
      </c>
      <c r="H618" s="161" t="str">
        <f t="shared" si="131"/>
        <v>AC1</v>
      </c>
      <c r="I618" s="161" t="str">
        <f t="shared" si="132"/>
        <v>001-AC1</v>
      </c>
      <c r="J618" s="162" t="s">
        <v>481</v>
      </c>
      <c r="K618" s="161" t="s">
        <v>332</v>
      </c>
      <c r="L618" s="418">
        <v>875738</v>
      </c>
      <c r="M618" s="420"/>
      <c r="N618" s="157">
        <f t="shared" si="133"/>
        <v>123</v>
      </c>
      <c r="O618" s="156">
        <f t="shared" si="136"/>
        <v>875738</v>
      </c>
      <c r="Q618" s="156"/>
    </row>
    <row r="619" spans="1:17" ht="12.75" hidden="1" customHeight="1">
      <c r="A619" s="161" t="str">
        <f t="shared" ref="A619:A634" si="137">C619&amp;K619</f>
        <v>26Worker Retraining - Base (AC1)</v>
      </c>
      <c r="B619" s="161">
        <f t="shared" si="128"/>
        <v>1</v>
      </c>
      <c r="C619" s="163">
        <v>26</v>
      </c>
      <c r="D619" s="163" t="b">
        <v>1</v>
      </c>
      <c r="E619" s="161" t="s">
        <v>39</v>
      </c>
      <c r="F619" s="161" t="str">
        <f t="shared" si="130"/>
        <v>001</v>
      </c>
      <c r="G619" s="161" t="str">
        <f t="shared" si="135"/>
        <v>AC1</v>
      </c>
      <c r="H619" s="161" t="str">
        <f t="shared" si="131"/>
        <v>AC1</v>
      </c>
      <c r="I619" s="161" t="str">
        <f t="shared" si="132"/>
        <v>001-AC1</v>
      </c>
      <c r="J619" s="162" t="s">
        <v>481</v>
      </c>
      <c r="K619" s="161" t="s">
        <v>332</v>
      </c>
      <c r="L619" s="418">
        <v>498572</v>
      </c>
      <c r="M619" s="420"/>
      <c r="N619" s="157">
        <f t="shared" si="133"/>
        <v>123</v>
      </c>
      <c r="O619" s="156">
        <f t="shared" si="136"/>
        <v>498572</v>
      </c>
      <c r="Q619" s="156"/>
    </row>
    <row r="620" spans="1:17" ht="12.75" hidden="1" customHeight="1">
      <c r="A620" s="161" t="str">
        <f t="shared" si="137"/>
        <v>13Worker Retraining - Base (AC1)</v>
      </c>
      <c r="B620" s="161">
        <f t="shared" ref="B620:B634" si="138">B619</f>
        <v>1</v>
      </c>
      <c r="C620" s="163">
        <v>13</v>
      </c>
      <c r="D620" s="163" t="b">
        <v>1</v>
      </c>
      <c r="E620" s="161" t="s">
        <v>26</v>
      </c>
      <c r="F620" s="161" t="str">
        <f t="shared" si="130"/>
        <v>001</v>
      </c>
      <c r="G620" s="161" t="str">
        <f t="shared" si="135"/>
        <v>AC1</v>
      </c>
      <c r="H620" s="161" t="str">
        <f t="shared" si="131"/>
        <v>AC1</v>
      </c>
      <c r="I620" s="161" t="str">
        <f t="shared" si="132"/>
        <v>001-AC1</v>
      </c>
      <c r="J620" s="162" t="s">
        <v>481</v>
      </c>
      <c r="K620" s="161" t="s">
        <v>332</v>
      </c>
      <c r="L620" s="418">
        <v>206163</v>
      </c>
      <c r="M620" s="420"/>
      <c r="N620" s="157">
        <f t="shared" si="133"/>
        <v>123</v>
      </c>
      <c r="O620" s="156">
        <f t="shared" si="136"/>
        <v>206163</v>
      </c>
      <c r="Q620" s="156"/>
    </row>
    <row r="621" spans="1:17" ht="12.75" hidden="1" customHeight="1">
      <c r="A621" s="161" t="str">
        <f t="shared" si="137"/>
        <v>3Worker Retraining - Base (AC1)</v>
      </c>
      <c r="B621" s="161">
        <f t="shared" si="138"/>
        <v>1</v>
      </c>
      <c r="C621" s="163">
        <v>3</v>
      </c>
      <c r="D621" s="163" t="b">
        <v>1</v>
      </c>
      <c r="E621" s="161" t="s">
        <v>16</v>
      </c>
      <c r="F621" s="161" t="str">
        <f t="shared" si="130"/>
        <v>001</v>
      </c>
      <c r="G621" s="161" t="str">
        <f t="shared" si="135"/>
        <v>AC1</v>
      </c>
      <c r="H621" s="161" t="str">
        <f t="shared" si="131"/>
        <v>AC1</v>
      </c>
      <c r="I621" s="161" t="str">
        <f t="shared" si="132"/>
        <v>001-AC1</v>
      </c>
      <c r="J621" s="162" t="s">
        <v>481</v>
      </c>
      <c r="K621" s="161" t="s">
        <v>332</v>
      </c>
      <c r="L621" s="418">
        <v>748603</v>
      </c>
      <c r="M621" s="420"/>
      <c r="N621" s="157">
        <f t="shared" si="133"/>
        <v>123</v>
      </c>
      <c r="O621" s="156">
        <f t="shared" si="136"/>
        <v>748603</v>
      </c>
      <c r="Q621" s="156"/>
    </row>
    <row r="622" spans="1:17" ht="12.75" hidden="1" customHeight="1">
      <c r="A622" s="161" t="str">
        <f t="shared" si="137"/>
        <v>1Worker Retraining - Base (AC1)</v>
      </c>
      <c r="B622" s="161">
        <f t="shared" si="138"/>
        <v>1</v>
      </c>
      <c r="C622" s="163">
        <v>1</v>
      </c>
      <c r="D622" s="163" t="b">
        <v>1</v>
      </c>
      <c r="E622" s="161" t="s">
        <v>14</v>
      </c>
      <c r="F622" s="161" t="str">
        <f t="shared" si="130"/>
        <v>001</v>
      </c>
      <c r="G622" s="161" t="str">
        <f t="shared" si="135"/>
        <v>AC1</v>
      </c>
      <c r="H622" s="161" t="str">
        <f t="shared" si="131"/>
        <v>AC1</v>
      </c>
      <c r="I622" s="161" t="str">
        <f t="shared" si="132"/>
        <v>001-AC1</v>
      </c>
      <c r="J622" s="162" t="s">
        <v>481</v>
      </c>
      <c r="K622" s="161" t="s">
        <v>332</v>
      </c>
      <c r="L622" s="418">
        <v>655371</v>
      </c>
      <c r="M622" s="420"/>
      <c r="N622" s="157">
        <f t="shared" si="133"/>
        <v>123</v>
      </c>
      <c r="O622" s="156">
        <f t="shared" si="136"/>
        <v>655371</v>
      </c>
      <c r="Q622" s="156"/>
    </row>
    <row r="623" spans="1:17" ht="12.75" hidden="1" customHeight="1">
      <c r="A623" s="161" t="str">
        <f t="shared" si="137"/>
        <v>11Worker Retraining - Base (AC1)</v>
      </c>
      <c r="B623" s="161">
        <f t="shared" si="138"/>
        <v>1</v>
      </c>
      <c r="C623" s="163">
        <v>11</v>
      </c>
      <c r="D623" s="163" t="b">
        <v>1</v>
      </c>
      <c r="E623" s="161" t="s">
        <v>24</v>
      </c>
      <c r="F623" s="161" t="str">
        <f t="shared" si="130"/>
        <v>001</v>
      </c>
      <c r="G623" s="161" t="str">
        <f t="shared" si="135"/>
        <v>AC1</v>
      </c>
      <c r="H623" s="161" t="str">
        <f t="shared" si="131"/>
        <v>AC1</v>
      </c>
      <c r="I623" s="161" t="str">
        <f t="shared" si="132"/>
        <v>001-AC1</v>
      </c>
      <c r="J623" s="162" t="s">
        <v>481</v>
      </c>
      <c r="K623" s="161" t="s">
        <v>332</v>
      </c>
      <c r="L623" s="418">
        <v>738638</v>
      </c>
      <c r="M623" s="420"/>
      <c r="N623" s="157">
        <f t="shared" si="133"/>
        <v>123</v>
      </c>
      <c r="O623" s="156">
        <f t="shared" si="136"/>
        <v>738638</v>
      </c>
      <c r="Q623" s="156"/>
    </row>
    <row r="624" spans="1:17" ht="12.75" hidden="1" customHeight="1">
      <c r="A624" s="161" t="str">
        <f t="shared" si="137"/>
        <v>27Worker Retraining - Base (AC1)</v>
      </c>
      <c r="B624" s="161">
        <f t="shared" si="138"/>
        <v>1</v>
      </c>
      <c r="C624" s="163">
        <v>27</v>
      </c>
      <c r="D624" s="163" t="b">
        <v>1</v>
      </c>
      <c r="E624" s="161" t="s">
        <v>40</v>
      </c>
      <c r="F624" s="161" t="str">
        <f t="shared" si="130"/>
        <v>001</v>
      </c>
      <c r="G624" s="161" t="str">
        <f t="shared" si="135"/>
        <v>AC1</v>
      </c>
      <c r="H624" s="161" t="str">
        <f t="shared" si="131"/>
        <v>AC1</v>
      </c>
      <c r="I624" s="161" t="str">
        <f t="shared" si="132"/>
        <v>001-AC1</v>
      </c>
      <c r="J624" s="162" t="s">
        <v>481</v>
      </c>
      <c r="K624" s="161" t="s">
        <v>332</v>
      </c>
      <c r="L624" s="418">
        <v>837597</v>
      </c>
      <c r="M624" s="420"/>
      <c r="N624" s="157">
        <f t="shared" si="133"/>
        <v>123</v>
      </c>
      <c r="O624" s="156">
        <f t="shared" si="136"/>
        <v>837597</v>
      </c>
      <c r="Q624" s="156"/>
    </row>
    <row r="625" spans="1:17" ht="12.75" hidden="1" customHeight="1">
      <c r="A625" s="161" t="str">
        <f t="shared" si="137"/>
        <v>6Worker Retraining - Base (AC1)</v>
      </c>
      <c r="B625" s="161">
        <f t="shared" si="138"/>
        <v>1</v>
      </c>
      <c r="C625" s="163">
        <v>6</v>
      </c>
      <c r="D625" s="163" t="b">
        <v>1</v>
      </c>
      <c r="E625" s="161" t="s">
        <v>19</v>
      </c>
      <c r="F625" s="161" t="str">
        <f t="shared" si="130"/>
        <v>001</v>
      </c>
      <c r="G625" s="161" t="str">
        <f t="shared" si="135"/>
        <v>AC1</v>
      </c>
      <c r="H625" s="161" t="str">
        <f t="shared" si="131"/>
        <v>AC1</v>
      </c>
      <c r="I625" s="161" t="str">
        <f t="shared" si="132"/>
        <v>001-AC1</v>
      </c>
      <c r="J625" s="162" t="s">
        <v>481</v>
      </c>
      <c r="K625" s="161" t="s">
        <v>332</v>
      </c>
      <c r="L625" s="418">
        <v>2525506</v>
      </c>
      <c r="M625" s="420"/>
      <c r="N625" s="157">
        <f t="shared" si="133"/>
        <v>123</v>
      </c>
      <c r="O625" s="156">
        <f t="shared" si="136"/>
        <v>2525506</v>
      </c>
      <c r="Q625" s="156"/>
    </row>
    <row r="626" spans="1:17" ht="12.75" hidden="1" customHeight="1">
      <c r="A626" s="161" t="str">
        <f t="shared" si="137"/>
        <v>7Worker Retraining - Base (AC1)</v>
      </c>
      <c r="B626" s="161">
        <f t="shared" si="138"/>
        <v>1</v>
      </c>
      <c r="C626" s="163">
        <v>7</v>
      </c>
      <c r="D626" s="163" t="b">
        <v>1</v>
      </c>
      <c r="E626" s="161" t="s">
        <v>20</v>
      </c>
      <c r="F626" s="161" t="str">
        <f t="shared" si="130"/>
        <v>001</v>
      </c>
      <c r="G626" s="161" t="str">
        <f t="shared" si="135"/>
        <v>AC1</v>
      </c>
      <c r="H626" s="161" t="str">
        <f t="shared" si="131"/>
        <v>AC1</v>
      </c>
      <c r="I626" s="161" t="str">
        <f t="shared" si="132"/>
        <v>001-AC1</v>
      </c>
      <c r="J626" s="162" t="s">
        <v>481</v>
      </c>
      <c r="K626" s="161" t="s">
        <v>332</v>
      </c>
      <c r="L626" s="418">
        <v>634182</v>
      </c>
      <c r="M626" s="420"/>
      <c r="N626" s="157">
        <f t="shared" si="133"/>
        <v>123</v>
      </c>
      <c r="O626" s="156">
        <f t="shared" si="136"/>
        <v>634182</v>
      </c>
      <c r="Q626" s="156"/>
    </row>
    <row r="627" spans="1:17" ht="12.75" hidden="1" customHeight="1">
      <c r="A627" s="161" t="str">
        <f t="shared" si="137"/>
        <v>4Worker Retraining - Base (AC1)</v>
      </c>
      <c r="B627" s="161">
        <f t="shared" si="138"/>
        <v>1</v>
      </c>
      <c r="C627" s="163">
        <v>4</v>
      </c>
      <c r="D627" s="163" t="b">
        <v>1</v>
      </c>
      <c r="E627" s="161" t="s">
        <v>17</v>
      </c>
      <c r="F627" s="161" t="str">
        <f t="shared" si="130"/>
        <v>001</v>
      </c>
      <c r="G627" s="161" t="str">
        <f t="shared" si="135"/>
        <v>AC1</v>
      </c>
      <c r="H627" s="161" t="str">
        <f t="shared" si="131"/>
        <v>AC1</v>
      </c>
      <c r="I627" s="161" t="str">
        <f t="shared" si="132"/>
        <v>001-AC1</v>
      </c>
      <c r="J627" s="162" t="s">
        <v>481</v>
      </c>
      <c r="K627" s="161" t="s">
        <v>332</v>
      </c>
      <c r="L627" s="418">
        <v>447718</v>
      </c>
      <c r="M627" s="420"/>
      <c r="N627" s="157">
        <f t="shared" si="133"/>
        <v>123</v>
      </c>
      <c r="O627" s="156">
        <f t="shared" si="136"/>
        <v>447718</v>
      </c>
      <c r="Q627" s="156"/>
    </row>
    <row r="628" spans="1:17" ht="12.75" hidden="1" customHeight="1">
      <c r="A628" s="161" t="str">
        <f t="shared" si="137"/>
        <v>24Worker Retraining - Base (AC1)</v>
      </c>
      <c r="B628" s="161">
        <f t="shared" si="138"/>
        <v>1</v>
      </c>
      <c r="C628" s="163">
        <v>24</v>
      </c>
      <c r="D628" s="163" t="b">
        <v>1</v>
      </c>
      <c r="E628" s="161" t="s">
        <v>37</v>
      </c>
      <c r="F628" s="161" t="str">
        <f t="shared" si="130"/>
        <v>001</v>
      </c>
      <c r="G628" s="161" t="str">
        <f t="shared" si="135"/>
        <v>AC1</v>
      </c>
      <c r="H628" s="161" t="str">
        <f t="shared" si="131"/>
        <v>AC1</v>
      </c>
      <c r="I628" s="161" t="str">
        <f t="shared" si="132"/>
        <v>001-AC1</v>
      </c>
      <c r="J628" s="162" t="s">
        <v>481</v>
      </c>
      <c r="K628" s="161" t="s">
        <v>332</v>
      </c>
      <c r="L628" s="418">
        <v>320584</v>
      </c>
      <c r="M628" s="420"/>
      <c r="N628" s="157">
        <f t="shared" si="133"/>
        <v>123</v>
      </c>
      <c r="O628" s="156">
        <f t="shared" si="136"/>
        <v>320584</v>
      </c>
      <c r="Q628" s="156"/>
    </row>
    <row r="629" spans="1:17" ht="12.75" hidden="1" customHeight="1">
      <c r="A629" s="161" t="str">
        <f t="shared" si="137"/>
        <v>17Worker Retraining - Base (AC1)</v>
      </c>
      <c r="B629" s="161">
        <f t="shared" si="138"/>
        <v>1</v>
      </c>
      <c r="C629" s="163">
        <v>17</v>
      </c>
      <c r="D629" s="163" t="b">
        <v>1</v>
      </c>
      <c r="E629" s="161" t="s">
        <v>30</v>
      </c>
      <c r="F629" s="161" t="str">
        <f t="shared" si="130"/>
        <v>001</v>
      </c>
      <c r="G629" s="161" t="str">
        <f t="shared" si="135"/>
        <v>AC1</v>
      </c>
      <c r="H629" s="161" t="str">
        <f t="shared" si="131"/>
        <v>AC1</v>
      </c>
      <c r="I629" s="161" t="str">
        <f t="shared" si="132"/>
        <v>001-AC1</v>
      </c>
      <c r="J629" s="162" t="s">
        <v>481</v>
      </c>
      <c r="K629" s="161" t="s">
        <v>332</v>
      </c>
      <c r="L629" s="418">
        <v>980193</v>
      </c>
      <c r="M629" s="420"/>
      <c r="N629" s="157">
        <f t="shared" si="133"/>
        <v>123</v>
      </c>
      <c r="O629" s="156">
        <f t="shared" si="136"/>
        <v>980193</v>
      </c>
      <c r="Q629" s="156"/>
    </row>
    <row r="630" spans="1:17" ht="12.75" hidden="1" customHeight="1">
      <c r="A630" s="161" t="str">
        <f t="shared" si="137"/>
        <v>22Worker Retraining - Base (AC1)</v>
      </c>
      <c r="B630" s="161">
        <f t="shared" si="138"/>
        <v>1</v>
      </c>
      <c r="C630" s="163">
        <v>22</v>
      </c>
      <c r="D630" s="163" t="b">
        <v>1</v>
      </c>
      <c r="E630" s="161" t="s">
        <v>35</v>
      </c>
      <c r="F630" s="161" t="str">
        <f t="shared" si="130"/>
        <v>001</v>
      </c>
      <c r="G630" s="161" t="str">
        <f t="shared" si="135"/>
        <v>AC1</v>
      </c>
      <c r="H630" s="161" t="str">
        <f t="shared" si="131"/>
        <v>AC1</v>
      </c>
      <c r="I630" s="161" t="str">
        <f t="shared" si="132"/>
        <v>001-AC1</v>
      </c>
      <c r="J630" s="162" t="s">
        <v>481</v>
      </c>
      <c r="K630" s="161" t="s">
        <v>332</v>
      </c>
      <c r="L630" s="418">
        <v>829122</v>
      </c>
      <c r="M630" s="420"/>
      <c r="N630" s="157">
        <f t="shared" si="133"/>
        <v>123</v>
      </c>
      <c r="O630" s="156">
        <f t="shared" si="136"/>
        <v>829122</v>
      </c>
      <c r="Q630" s="156"/>
    </row>
    <row r="631" spans="1:17" ht="12.75" hidden="1" customHeight="1">
      <c r="A631" s="161" t="str">
        <f t="shared" si="137"/>
        <v>20Worker Retraining - Base (AC1)</v>
      </c>
      <c r="B631" s="161">
        <f t="shared" si="138"/>
        <v>1</v>
      </c>
      <c r="C631" s="163">
        <v>20</v>
      </c>
      <c r="D631" s="163" t="b">
        <v>1</v>
      </c>
      <c r="E631" s="161" t="s">
        <v>33</v>
      </c>
      <c r="F631" s="161" t="str">
        <f t="shared" si="130"/>
        <v>001</v>
      </c>
      <c r="G631" s="161" t="str">
        <f t="shared" si="135"/>
        <v>AC1</v>
      </c>
      <c r="H631" s="161" t="str">
        <f t="shared" si="131"/>
        <v>AC1</v>
      </c>
      <c r="I631" s="161" t="str">
        <f t="shared" si="132"/>
        <v>001-AC1</v>
      </c>
      <c r="J631" s="162" t="s">
        <v>481</v>
      </c>
      <c r="K631" s="161" t="s">
        <v>332</v>
      </c>
      <c r="L631" s="418">
        <v>1096104</v>
      </c>
      <c r="M631" s="420"/>
      <c r="N631" s="157">
        <f t="shared" si="133"/>
        <v>123</v>
      </c>
      <c r="O631" s="156">
        <f t="shared" si="136"/>
        <v>1096104</v>
      </c>
      <c r="Q631" s="156"/>
    </row>
    <row r="632" spans="1:17" ht="12.75" hidden="1" customHeight="1">
      <c r="A632" s="161" t="str">
        <f t="shared" si="137"/>
        <v>15Worker Retraining - Base (AC1)</v>
      </c>
      <c r="B632" s="161">
        <f t="shared" si="138"/>
        <v>1</v>
      </c>
      <c r="C632" s="163">
        <v>15</v>
      </c>
      <c r="D632" s="163" t="b">
        <v>1</v>
      </c>
      <c r="E632" s="161" t="s">
        <v>28</v>
      </c>
      <c r="F632" s="161" t="str">
        <f t="shared" si="130"/>
        <v>001</v>
      </c>
      <c r="G632" s="161" t="str">
        <f t="shared" si="135"/>
        <v>AC1</v>
      </c>
      <c r="H632" s="161" t="str">
        <f t="shared" si="131"/>
        <v>AC1</v>
      </c>
      <c r="I632" s="161" t="str">
        <f t="shared" si="132"/>
        <v>001-AC1</v>
      </c>
      <c r="J632" s="162" t="s">
        <v>481</v>
      </c>
      <c r="K632" s="161" t="s">
        <v>332</v>
      </c>
      <c r="L632" s="418">
        <v>477383</v>
      </c>
      <c r="M632" s="420"/>
      <c r="N632" s="157">
        <f t="shared" si="133"/>
        <v>123</v>
      </c>
      <c r="O632" s="156">
        <f t="shared" si="136"/>
        <v>477383</v>
      </c>
      <c r="Q632" s="156"/>
    </row>
    <row r="633" spans="1:17" ht="12.75" hidden="1" customHeight="1">
      <c r="A633" s="161" t="str">
        <f t="shared" si="137"/>
        <v>21Worker Retraining - Base (AC1)</v>
      </c>
      <c r="B633" s="161">
        <f t="shared" si="138"/>
        <v>1</v>
      </c>
      <c r="C633" s="163">
        <v>21</v>
      </c>
      <c r="D633" s="163" t="b">
        <v>1</v>
      </c>
      <c r="E633" s="161" t="s">
        <v>34</v>
      </c>
      <c r="F633" s="161" t="str">
        <f t="shared" si="130"/>
        <v>001</v>
      </c>
      <c r="G633" s="161" t="str">
        <f t="shared" si="135"/>
        <v>AC1</v>
      </c>
      <c r="H633" s="161" t="str">
        <f t="shared" si="131"/>
        <v>AC1</v>
      </c>
      <c r="I633" s="161" t="str">
        <f t="shared" si="132"/>
        <v>001-AC1</v>
      </c>
      <c r="J633" s="162" t="s">
        <v>481</v>
      </c>
      <c r="K633" s="161" t="s">
        <v>332</v>
      </c>
      <c r="L633" s="418">
        <v>168023</v>
      </c>
      <c r="M633" s="420"/>
      <c r="N633" s="157">
        <f t="shared" si="133"/>
        <v>123</v>
      </c>
      <c r="O633" s="156">
        <f t="shared" si="136"/>
        <v>168023</v>
      </c>
      <c r="Q633" s="156"/>
    </row>
    <row r="634" spans="1:17" ht="12.6" hidden="1" customHeight="1">
      <c r="A634" s="161" t="str">
        <f t="shared" si="137"/>
        <v>16Worker Retraining - Base (AC1)</v>
      </c>
      <c r="B634" s="161">
        <f t="shared" si="138"/>
        <v>1</v>
      </c>
      <c r="C634" s="163">
        <v>16</v>
      </c>
      <c r="D634" s="163" t="b">
        <v>1</v>
      </c>
      <c r="E634" s="161" t="s">
        <v>29</v>
      </c>
      <c r="F634" s="161" t="str">
        <f t="shared" si="130"/>
        <v>001</v>
      </c>
      <c r="G634" s="161" t="str">
        <f t="shared" si="135"/>
        <v>AC1</v>
      </c>
      <c r="H634" s="161" t="str">
        <f t="shared" si="131"/>
        <v>AC1</v>
      </c>
      <c r="I634" s="161" t="str">
        <f t="shared" si="132"/>
        <v>001-AC1</v>
      </c>
      <c r="J634" s="162" t="s">
        <v>481</v>
      </c>
      <c r="K634" s="161" t="s">
        <v>332</v>
      </c>
      <c r="L634" s="418">
        <v>341771</v>
      </c>
      <c r="M634" s="420"/>
      <c r="N634" s="157">
        <f t="shared" si="133"/>
        <v>123</v>
      </c>
      <c r="O634" s="156">
        <f t="shared" si="136"/>
        <v>341771</v>
      </c>
      <c r="Q634" s="156"/>
    </row>
    <row r="635" spans="1:17" ht="12.6" hidden="1" customHeight="1">
      <c r="A635" s="161" t="s">
        <v>774</v>
      </c>
      <c r="B635" s="161">
        <v>1</v>
      </c>
      <c r="C635" s="163">
        <v>28</v>
      </c>
      <c r="D635" s="163" t="b">
        <v>1</v>
      </c>
      <c r="E635" s="161" t="s">
        <v>41</v>
      </c>
      <c r="F635" s="161" t="s">
        <v>220</v>
      </c>
      <c r="G635" s="161" t="str">
        <f t="shared" si="135"/>
        <v>AC1</v>
      </c>
      <c r="H635" s="161" t="str">
        <f t="shared" si="131"/>
        <v>AC1</v>
      </c>
      <c r="I635" s="161" t="str">
        <f t="shared" si="132"/>
        <v>001-AC1</v>
      </c>
      <c r="J635" s="162" t="s">
        <v>481</v>
      </c>
      <c r="K635" s="161" t="s">
        <v>215</v>
      </c>
      <c r="L635" s="418">
        <v>691875</v>
      </c>
      <c r="M635" s="418">
        <v>-691875</v>
      </c>
      <c r="N635" s="157">
        <f t="shared" si="133"/>
        <v>123</v>
      </c>
      <c r="O635" s="156">
        <f t="shared" si="136"/>
        <v>0</v>
      </c>
      <c r="Q635" s="156"/>
    </row>
    <row r="636" spans="1:17" ht="12.75" hidden="1" customHeight="1">
      <c r="A636" s="161" t="s">
        <v>773</v>
      </c>
      <c r="B636" s="161">
        <f>B635</f>
        <v>1</v>
      </c>
      <c r="C636" s="163">
        <v>8</v>
      </c>
      <c r="D636" s="163" t="b">
        <v>1</v>
      </c>
      <c r="E636" s="161" t="s">
        <v>21</v>
      </c>
      <c r="F636" s="161" t="s">
        <v>220</v>
      </c>
      <c r="G636" s="161" t="str">
        <f t="shared" si="135"/>
        <v>AC1</v>
      </c>
      <c r="H636" s="161" t="str">
        <f t="shared" si="131"/>
        <v>AC1</v>
      </c>
      <c r="I636" s="161" t="str">
        <f t="shared" si="132"/>
        <v>001-AC1</v>
      </c>
      <c r="J636" s="162" t="s">
        <v>481</v>
      </c>
      <c r="K636" s="161" t="s">
        <v>215</v>
      </c>
      <c r="L636" s="418">
        <v>471500</v>
      </c>
      <c r="M636" s="418">
        <v>-471500</v>
      </c>
      <c r="N636" s="157">
        <f t="shared" si="133"/>
        <v>123</v>
      </c>
      <c r="O636" s="156">
        <f t="shared" si="136"/>
        <v>0</v>
      </c>
      <c r="Q636" s="156"/>
    </row>
    <row r="637" spans="1:17" ht="12.75" hidden="1" customHeight="1">
      <c r="A637" s="161" t="str">
        <f t="shared" ref="A637:A668" si="139">C637&amp;K637</f>
        <v>25Worker Retraining - Variable (AC1)</v>
      </c>
      <c r="B637" s="161">
        <f>B636</f>
        <v>1</v>
      </c>
      <c r="C637" s="163">
        <v>25</v>
      </c>
      <c r="D637" s="163" t="b">
        <v>1</v>
      </c>
      <c r="E637" s="161" t="s">
        <v>38</v>
      </c>
      <c r="F637" s="161" t="str">
        <f t="shared" ref="F637:F668" si="140">LEFT(J637,3)</f>
        <v>001</v>
      </c>
      <c r="G637" s="161" t="str">
        <f t="shared" ref="G637:G650" si="141">IF(RIGHT(J637,3)="012","201",IF(RIGHT(J637,3)="232","123",IF(RIGHT(J637,3)="1E2","215",RIGHT(J637,3))))</f>
        <v>AC1</v>
      </c>
      <c r="H637" s="161" t="str">
        <f t="shared" si="131"/>
        <v>AC1</v>
      </c>
      <c r="I637" s="161" t="str">
        <f t="shared" si="132"/>
        <v>001-AC1</v>
      </c>
      <c r="J637" s="162" t="s">
        <v>481</v>
      </c>
      <c r="K637" s="161" t="s">
        <v>215</v>
      </c>
      <c r="L637" s="418">
        <v>702125</v>
      </c>
      <c r="M637" s="418">
        <v>-702125</v>
      </c>
      <c r="N637" s="157">
        <f t="shared" si="133"/>
        <v>123</v>
      </c>
      <c r="O637" s="156">
        <f t="shared" si="136"/>
        <v>0</v>
      </c>
      <c r="Q637" s="156"/>
    </row>
    <row r="638" spans="1:17" ht="12.75" hidden="1" customHeight="1">
      <c r="A638" s="161" t="str">
        <f t="shared" si="139"/>
        <v>18Worker Retraining - Variable (AC1)</v>
      </c>
      <c r="B638" s="161">
        <f>B636</f>
        <v>1</v>
      </c>
      <c r="C638" s="163">
        <v>18</v>
      </c>
      <c r="D638" s="163" t="b">
        <v>1</v>
      </c>
      <c r="E638" s="161" t="s">
        <v>31</v>
      </c>
      <c r="F638" s="161" t="str">
        <f t="shared" si="140"/>
        <v>001</v>
      </c>
      <c r="G638" s="161" t="str">
        <f t="shared" si="141"/>
        <v>AC1</v>
      </c>
      <c r="H638" s="161" t="str">
        <f t="shared" si="131"/>
        <v>AC1</v>
      </c>
      <c r="I638" s="161" t="str">
        <f t="shared" si="132"/>
        <v>001-AC1</v>
      </c>
      <c r="J638" s="162" t="s">
        <v>481</v>
      </c>
      <c r="K638" s="161" t="s">
        <v>215</v>
      </c>
      <c r="L638" s="418">
        <v>92250</v>
      </c>
      <c r="M638" s="418">
        <v>-92250</v>
      </c>
      <c r="N638" s="157">
        <f t="shared" si="133"/>
        <v>123</v>
      </c>
      <c r="O638" s="156">
        <f t="shared" si="136"/>
        <v>0</v>
      </c>
      <c r="Q638" s="156">
        <v>12436183</v>
      </c>
    </row>
    <row r="639" spans="1:17" ht="12.75" hidden="1" customHeight="1">
      <c r="A639" s="161" t="str">
        <f t="shared" si="139"/>
        <v>30Worker Retraining - Variable (AC1)</v>
      </c>
      <c r="B639" s="161">
        <f t="shared" ref="B639:B670" si="142">B638</f>
        <v>1</v>
      </c>
      <c r="C639" s="163">
        <v>30</v>
      </c>
      <c r="D639" s="163" t="b">
        <v>1</v>
      </c>
      <c r="E639" s="161" t="s">
        <v>43</v>
      </c>
      <c r="F639" s="161" t="str">
        <f t="shared" si="140"/>
        <v>001</v>
      </c>
      <c r="G639" s="161" t="str">
        <f t="shared" si="141"/>
        <v>AC1</v>
      </c>
      <c r="H639" s="161" t="str">
        <f t="shared" si="131"/>
        <v>AC1</v>
      </c>
      <c r="I639" s="161" t="str">
        <f t="shared" si="132"/>
        <v>001-AC1</v>
      </c>
      <c r="J639" s="162" t="s">
        <v>481</v>
      </c>
      <c r="K639" s="161" t="s">
        <v>215</v>
      </c>
      <c r="L639" s="418">
        <v>66625</v>
      </c>
      <c r="M639" s="418">
        <v>-66625</v>
      </c>
      <c r="N639" s="157">
        <f t="shared" si="133"/>
        <v>123</v>
      </c>
      <c r="O639" s="156">
        <f t="shared" si="136"/>
        <v>0</v>
      </c>
      <c r="Q639" s="156">
        <v>-33683</v>
      </c>
    </row>
    <row r="640" spans="1:17" ht="12.75" hidden="1" customHeight="1">
      <c r="A640" s="161" t="str">
        <f t="shared" si="139"/>
        <v>12Worker Retraining - Variable (AC1)</v>
      </c>
      <c r="B640" s="161">
        <f t="shared" si="142"/>
        <v>1</v>
      </c>
      <c r="C640" s="163">
        <v>12</v>
      </c>
      <c r="D640" s="163" t="b">
        <v>1</v>
      </c>
      <c r="E640" s="161" t="s">
        <v>25</v>
      </c>
      <c r="F640" s="161" t="str">
        <f t="shared" si="140"/>
        <v>001</v>
      </c>
      <c r="G640" s="161" t="str">
        <f t="shared" si="141"/>
        <v>AC1</v>
      </c>
      <c r="H640" s="161" t="str">
        <f t="shared" si="131"/>
        <v>AC1</v>
      </c>
      <c r="I640" s="161" t="str">
        <f t="shared" si="132"/>
        <v>001-AC1</v>
      </c>
      <c r="J640" s="162" t="s">
        <v>481</v>
      </c>
      <c r="K640" s="161" t="s">
        <v>215</v>
      </c>
      <c r="L640" s="418">
        <v>251125</v>
      </c>
      <c r="M640" s="418">
        <v>-251125</v>
      </c>
      <c r="N640" s="157">
        <f t="shared" si="133"/>
        <v>123</v>
      </c>
      <c r="O640" s="156">
        <f t="shared" si="136"/>
        <v>0</v>
      </c>
      <c r="Q640" s="156">
        <f>Q639+Q638</f>
        <v>12402500</v>
      </c>
    </row>
    <row r="641" spans="1:17" ht="12.75" hidden="1" customHeight="1">
      <c r="A641" s="161" t="str">
        <f t="shared" si="139"/>
        <v>14Worker Retraining - Variable (AC1)</v>
      </c>
      <c r="B641" s="161">
        <f t="shared" si="142"/>
        <v>1</v>
      </c>
      <c r="C641" s="163">
        <v>14</v>
      </c>
      <c r="D641" s="163" t="b">
        <v>1</v>
      </c>
      <c r="E641" s="161" t="s">
        <v>27</v>
      </c>
      <c r="F641" s="161" t="str">
        <f t="shared" si="140"/>
        <v>001</v>
      </c>
      <c r="G641" s="161" t="str">
        <f t="shared" si="141"/>
        <v>AC1</v>
      </c>
      <c r="H641" s="161" t="str">
        <f t="shared" si="131"/>
        <v>AC1</v>
      </c>
      <c r="I641" s="161" t="str">
        <f t="shared" si="132"/>
        <v>001-AC1</v>
      </c>
      <c r="J641" s="162" t="s">
        <v>481</v>
      </c>
      <c r="K641" s="161" t="s">
        <v>215</v>
      </c>
      <c r="L641" s="418">
        <v>440750</v>
      </c>
      <c r="M641" s="418">
        <v>-440750</v>
      </c>
      <c r="N641" s="157">
        <f t="shared" si="133"/>
        <v>123</v>
      </c>
      <c r="O641" s="156">
        <f t="shared" si="136"/>
        <v>0</v>
      </c>
      <c r="Q641" s="156"/>
    </row>
    <row r="642" spans="1:17" ht="12.75" hidden="1" customHeight="1">
      <c r="A642" s="161" t="str">
        <f t="shared" si="139"/>
        <v>29Worker Retraining - Variable (AC1)</v>
      </c>
      <c r="B642" s="161">
        <f t="shared" si="142"/>
        <v>1</v>
      </c>
      <c r="C642" s="163">
        <v>29</v>
      </c>
      <c r="D642" s="163" t="b">
        <v>1</v>
      </c>
      <c r="E642" s="161" t="s">
        <v>42</v>
      </c>
      <c r="F642" s="161" t="str">
        <f t="shared" si="140"/>
        <v>001</v>
      </c>
      <c r="G642" s="161" t="str">
        <f t="shared" si="141"/>
        <v>AC1</v>
      </c>
      <c r="H642" s="161" t="str">
        <f t="shared" ref="H642:H705" si="143">RIGHT(J642,3)</f>
        <v>AC1</v>
      </c>
      <c r="I642" s="161" t="str">
        <f t="shared" ref="I642:I705" si="144">F642&amp;"-"&amp;H642</f>
        <v>001-AC1</v>
      </c>
      <c r="J642" s="162" t="s">
        <v>481</v>
      </c>
      <c r="K642" s="161" t="s">
        <v>215</v>
      </c>
      <c r="L642" s="418">
        <v>522750</v>
      </c>
      <c r="M642" s="418">
        <v>-522750</v>
      </c>
      <c r="N642" s="157">
        <f t="shared" ref="N642:N697" si="145">VLOOKUP(H642,Approp,2,FALSE)</f>
        <v>123</v>
      </c>
      <c r="O642" s="156">
        <f t="shared" si="136"/>
        <v>0</v>
      </c>
      <c r="Q642" s="156"/>
    </row>
    <row r="643" spans="1:17" ht="12.75" hidden="1" customHeight="1">
      <c r="A643" s="161" t="str">
        <f t="shared" si="139"/>
        <v>19Worker Retraining - Variable (AC1)</v>
      </c>
      <c r="B643" s="161">
        <f t="shared" si="142"/>
        <v>1</v>
      </c>
      <c r="C643" s="163">
        <v>19</v>
      </c>
      <c r="D643" s="163" t="b">
        <v>1</v>
      </c>
      <c r="E643" s="161" t="s">
        <v>32</v>
      </c>
      <c r="F643" s="161" t="str">
        <f t="shared" si="140"/>
        <v>001</v>
      </c>
      <c r="G643" s="161" t="str">
        <f t="shared" si="141"/>
        <v>AC1</v>
      </c>
      <c r="H643" s="161" t="str">
        <f t="shared" si="143"/>
        <v>AC1</v>
      </c>
      <c r="I643" s="161" t="str">
        <f t="shared" si="144"/>
        <v>001-AC1</v>
      </c>
      <c r="J643" s="162" t="s">
        <v>481</v>
      </c>
      <c r="K643" s="161" t="s">
        <v>215</v>
      </c>
      <c r="L643" s="418">
        <v>348500</v>
      </c>
      <c r="M643" s="418">
        <v>-348500</v>
      </c>
      <c r="N643" s="157">
        <f t="shared" si="145"/>
        <v>123</v>
      </c>
      <c r="O643" s="156">
        <f t="shared" si="136"/>
        <v>0</v>
      </c>
      <c r="Q643" s="156"/>
    </row>
    <row r="644" spans="1:17" ht="12.75" hidden="1" customHeight="1">
      <c r="A644" s="161" t="str">
        <f t="shared" si="139"/>
        <v>23Worker Retraining - Variable (AC1)</v>
      </c>
      <c r="B644" s="161">
        <f t="shared" si="142"/>
        <v>1</v>
      </c>
      <c r="C644" s="163">
        <v>23</v>
      </c>
      <c r="D644" s="163" t="b">
        <v>1</v>
      </c>
      <c r="E644" s="161" t="s">
        <v>36</v>
      </c>
      <c r="F644" s="161" t="str">
        <f t="shared" si="140"/>
        <v>001</v>
      </c>
      <c r="G644" s="161" t="str">
        <f t="shared" si="141"/>
        <v>AC1</v>
      </c>
      <c r="H644" s="161" t="str">
        <f t="shared" si="143"/>
        <v>AC1</v>
      </c>
      <c r="I644" s="161" t="str">
        <f t="shared" si="144"/>
        <v>001-AC1</v>
      </c>
      <c r="J644" s="162" t="s">
        <v>481</v>
      </c>
      <c r="K644" s="161" t="s">
        <v>215</v>
      </c>
      <c r="L644" s="418">
        <v>445875</v>
      </c>
      <c r="M644" s="418">
        <v>-445875</v>
      </c>
      <c r="N644" s="157">
        <f t="shared" si="145"/>
        <v>123</v>
      </c>
      <c r="O644" s="156">
        <f t="shared" si="136"/>
        <v>0</v>
      </c>
      <c r="Q644" s="156"/>
    </row>
    <row r="645" spans="1:17" ht="12.75" hidden="1" customHeight="1">
      <c r="A645" s="161" t="str">
        <f t="shared" si="139"/>
        <v>5Worker Retraining - Variable (AC1)</v>
      </c>
      <c r="B645" s="161">
        <f t="shared" si="142"/>
        <v>1</v>
      </c>
      <c r="C645" s="163">
        <v>5</v>
      </c>
      <c r="D645" s="163" t="b">
        <v>1</v>
      </c>
      <c r="E645" s="161" t="s">
        <v>18</v>
      </c>
      <c r="F645" s="161" t="str">
        <f t="shared" si="140"/>
        <v>001</v>
      </c>
      <c r="G645" s="161" t="str">
        <f t="shared" si="141"/>
        <v>AC1</v>
      </c>
      <c r="H645" s="161" t="str">
        <f t="shared" si="143"/>
        <v>AC1</v>
      </c>
      <c r="I645" s="161" t="str">
        <f t="shared" si="144"/>
        <v>001-AC1</v>
      </c>
      <c r="J645" s="162" t="s">
        <v>481</v>
      </c>
      <c r="K645" s="161" t="s">
        <v>215</v>
      </c>
      <c r="L645" s="418">
        <v>184500</v>
      </c>
      <c r="M645" s="418">
        <v>-184500</v>
      </c>
      <c r="N645" s="157">
        <f t="shared" si="145"/>
        <v>123</v>
      </c>
      <c r="O645" s="156">
        <f t="shared" si="136"/>
        <v>0</v>
      </c>
      <c r="Q645" s="156"/>
    </row>
    <row r="646" spans="1:17" ht="12.75" hidden="1" customHeight="1">
      <c r="A646" s="161" t="str">
        <f t="shared" si="139"/>
        <v>00Worker Retraining - Variable (AC1)</v>
      </c>
      <c r="B646" s="161">
        <f t="shared" si="142"/>
        <v>1</v>
      </c>
      <c r="C646" s="160" t="s">
        <v>180</v>
      </c>
      <c r="D646" s="163" t="b">
        <v>1</v>
      </c>
      <c r="E646" s="161" t="s">
        <v>181</v>
      </c>
      <c r="F646" s="161" t="str">
        <f t="shared" si="140"/>
        <v>001</v>
      </c>
      <c r="G646" s="161" t="str">
        <f t="shared" si="141"/>
        <v>AC1</v>
      </c>
      <c r="H646" s="161" t="str">
        <f t="shared" si="143"/>
        <v>AC1</v>
      </c>
      <c r="I646" s="161" t="str">
        <f t="shared" si="144"/>
        <v>001-AC1</v>
      </c>
      <c r="J646" s="162" t="s">
        <v>481</v>
      </c>
      <c r="K646" s="161" t="s">
        <v>215</v>
      </c>
      <c r="M646" s="420">
        <v>12402500</v>
      </c>
      <c r="N646" s="157">
        <f t="shared" si="145"/>
        <v>123</v>
      </c>
      <c r="O646" s="156">
        <f t="shared" ref="O646:O666" si="146">SUM(L646:M646)</f>
        <v>12402500</v>
      </c>
      <c r="Q646" s="156"/>
    </row>
    <row r="647" spans="1:17" ht="12.75" hidden="1" customHeight="1">
      <c r="A647" s="161" t="str">
        <f t="shared" si="139"/>
        <v>2Worker Retraining - Variable (AC1)</v>
      </c>
      <c r="B647" s="161">
        <f t="shared" si="142"/>
        <v>1</v>
      </c>
      <c r="C647" s="163">
        <v>2</v>
      </c>
      <c r="D647" s="163" t="b">
        <v>1</v>
      </c>
      <c r="E647" s="161" t="s">
        <v>15</v>
      </c>
      <c r="F647" s="161" t="str">
        <f t="shared" si="140"/>
        <v>001</v>
      </c>
      <c r="G647" s="161" t="str">
        <f t="shared" si="141"/>
        <v>AC1</v>
      </c>
      <c r="H647" s="161" t="str">
        <f t="shared" si="143"/>
        <v>AC1</v>
      </c>
      <c r="I647" s="161" t="str">
        <f t="shared" si="144"/>
        <v>001-AC1</v>
      </c>
      <c r="J647" s="162" t="s">
        <v>481</v>
      </c>
      <c r="K647" s="161" t="s">
        <v>215</v>
      </c>
      <c r="L647" s="418">
        <v>210125</v>
      </c>
      <c r="M647" s="418">
        <v>-210125</v>
      </c>
      <c r="N647" s="157">
        <f t="shared" si="145"/>
        <v>123</v>
      </c>
      <c r="O647" s="156">
        <f t="shared" si="146"/>
        <v>0</v>
      </c>
      <c r="Q647" s="156"/>
    </row>
    <row r="648" spans="1:17" ht="12.75" hidden="1" customHeight="1">
      <c r="A648" s="161" t="str">
        <f t="shared" si="139"/>
        <v>10Worker Retraining - Variable (AC1)</v>
      </c>
      <c r="B648" s="161">
        <f t="shared" si="142"/>
        <v>1</v>
      </c>
      <c r="C648" s="163">
        <v>10</v>
      </c>
      <c r="D648" s="163" t="b">
        <v>1</v>
      </c>
      <c r="E648" s="161" t="s">
        <v>23</v>
      </c>
      <c r="F648" s="161" t="str">
        <f t="shared" si="140"/>
        <v>001</v>
      </c>
      <c r="G648" s="161" t="str">
        <f t="shared" si="141"/>
        <v>AC1</v>
      </c>
      <c r="H648" s="161" t="str">
        <f t="shared" si="143"/>
        <v>AC1</v>
      </c>
      <c r="I648" s="161" t="str">
        <f t="shared" si="144"/>
        <v>001-AC1</v>
      </c>
      <c r="J648" s="162" t="s">
        <v>481</v>
      </c>
      <c r="K648" s="161" t="s">
        <v>215</v>
      </c>
      <c r="L648" s="418">
        <v>927625</v>
      </c>
      <c r="M648" s="418">
        <v>-927625</v>
      </c>
      <c r="N648" s="157">
        <f t="shared" si="145"/>
        <v>123</v>
      </c>
      <c r="O648" s="156">
        <f t="shared" si="146"/>
        <v>0</v>
      </c>
      <c r="Q648" s="156"/>
    </row>
    <row r="649" spans="1:17" ht="12.75" hidden="1" customHeight="1">
      <c r="A649" s="161" t="str">
        <f t="shared" si="139"/>
        <v>9Worker Retraining - Variable (AC1)</v>
      </c>
      <c r="B649" s="161">
        <f t="shared" si="142"/>
        <v>1</v>
      </c>
      <c r="C649" s="163">
        <v>9</v>
      </c>
      <c r="D649" s="163" t="b">
        <v>1</v>
      </c>
      <c r="E649" s="161" t="s">
        <v>22</v>
      </c>
      <c r="F649" s="161" t="str">
        <f t="shared" si="140"/>
        <v>001</v>
      </c>
      <c r="G649" s="161" t="str">
        <f t="shared" si="141"/>
        <v>AC1</v>
      </c>
      <c r="H649" s="161" t="str">
        <f t="shared" si="143"/>
        <v>AC1</v>
      </c>
      <c r="I649" s="161" t="str">
        <f t="shared" si="144"/>
        <v>001-AC1</v>
      </c>
      <c r="J649" s="162" t="s">
        <v>481</v>
      </c>
      <c r="K649" s="161" t="s">
        <v>215</v>
      </c>
      <c r="L649" s="418">
        <v>292125</v>
      </c>
      <c r="M649" s="418">
        <v>-292125</v>
      </c>
      <c r="N649" s="157">
        <f t="shared" si="145"/>
        <v>123</v>
      </c>
      <c r="O649" s="156">
        <f t="shared" si="146"/>
        <v>0</v>
      </c>
      <c r="Q649" s="156"/>
    </row>
    <row r="650" spans="1:17" ht="12.75" hidden="1" customHeight="1">
      <c r="A650" s="161" t="str">
        <f t="shared" si="139"/>
        <v>26Worker Retraining - Variable (AC1)</v>
      </c>
      <c r="B650" s="161">
        <f t="shared" si="142"/>
        <v>1</v>
      </c>
      <c r="C650" s="163">
        <v>26</v>
      </c>
      <c r="D650" s="163" t="b">
        <v>1</v>
      </c>
      <c r="E650" s="161" t="s">
        <v>39</v>
      </c>
      <c r="F650" s="161" t="str">
        <f t="shared" si="140"/>
        <v>001</v>
      </c>
      <c r="G650" s="161" t="str">
        <f t="shared" si="141"/>
        <v>AC1</v>
      </c>
      <c r="H650" s="161" t="str">
        <f t="shared" si="143"/>
        <v>AC1</v>
      </c>
      <c r="I650" s="161" t="str">
        <f t="shared" si="144"/>
        <v>001-AC1</v>
      </c>
      <c r="J650" s="162" t="s">
        <v>481</v>
      </c>
      <c r="K650" s="161" t="s">
        <v>215</v>
      </c>
      <c r="L650" s="418">
        <v>543250</v>
      </c>
      <c r="M650" s="418">
        <v>-543250</v>
      </c>
      <c r="N650" s="157">
        <f t="shared" si="145"/>
        <v>123</v>
      </c>
      <c r="O650" s="156">
        <f t="shared" si="146"/>
        <v>0</v>
      </c>
      <c r="Q650" s="156"/>
    </row>
    <row r="651" spans="1:17" ht="12.75" hidden="1" customHeight="1">
      <c r="A651" s="161" t="str">
        <f t="shared" si="139"/>
        <v>13Worker Retraining - Variable (AC1)</v>
      </c>
      <c r="B651" s="161">
        <f t="shared" si="142"/>
        <v>1</v>
      </c>
      <c r="C651" s="163">
        <v>13</v>
      </c>
      <c r="D651" s="163" t="b">
        <v>1</v>
      </c>
      <c r="E651" s="161" t="s">
        <v>26</v>
      </c>
      <c r="F651" s="161" t="str">
        <f t="shared" si="140"/>
        <v>001</v>
      </c>
      <c r="G651" s="385">
        <v>101</v>
      </c>
      <c r="H651" s="161" t="str">
        <f t="shared" si="143"/>
        <v>AC1</v>
      </c>
      <c r="I651" s="161" t="str">
        <f t="shared" si="144"/>
        <v>001-AC1</v>
      </c>
      <c r="J651" s="162" t="s">
        <v>481</v>
      </c>
      <c r="K651" s="161" t="s">
        <v>215</v>
      </c>
      <c r="L651" s="418">
        <v>143500</v>
      </c>
      <c r="M651" s="418">
        <v>-143500</v>
      </c>
      <c r="N651" s="157">
        <f t="shared" si="145"/>
        <v>123</v>
      </c>
      <c r="O651" s="156">
        <f t="shared" si="146"/>
        <v>0</v>
      </c>
      <c r="Q651" s="156"/>
    </row>
    <row r="652" spans="1:17" ht="12.75" hidden="1" customHeight="1">
      <c r="A652" s="161" t="str">
        <f t="shared" si="139"/>
        <v>3Worker Retraining - Variable (AC1)</v>
      </c>
      <c r="B652" s="161">
        <f t="shared" si="142"/>
        <v>1</v>
      </c>
      <c r="C652" s="163">
        <v>3</v>
      </c>
      <c r="D652" s="163" t="b">
        <v>1</v>
      </c>
      <c r="E652" s="161" t="s">
        <v>16</v>
      </c>
      <c r="F652" s="161" t="str">
        <f t="shared" si="140"/>
        <v>001</v>
      </c>
      <c r="G652" s="385">
        <v>101</v>
      </c>
      <c r="H652" s="161" t="str">
        <f t="shared" si="143"/>
        <v>AC1</v>
      </c>
      <c r="I652" s="161" t="str">
        <f t="shared" si="144"/>
        <v>001-AC1</v>
      </c>
      <c r="J652" s="162" t="s">
        <v>481</v>
      </c>
      <c r="K652" s="161" t="s">
        <v>215</v>
      </c>
      <c r="L652" s="418">
        <v>348500</v>
      </c>
      <c r="M652" s="418">
        <v>-348500</v>
      </c>
      <c r="N652" s="157">
        <f t="shared" si="145"/>
        <v>123</v>
      </c>
      <c r="O652" s="156">
        <f t="shared" si="146"/>
        <v>0</v>
      </c>
      <c r="Q652" s="156"/>
    </row>
    <row r="653" spans="1:17" ht="12.75" hidden="1" customHeight="1">
      <c r="A653" s="161" t="str">
        <f t="shared" si="139"/>
        <v>1Worker Retraining - Variable (AC1)</v>
      </c>
      <c r="B653" s="161">
        <f t="shared" si="142"/>
        <v>1</v>
      </c>
      <c r="C653" s="163">
        <v>1</v>
      </c>
      <c r="D653" s="163" t="b">
        <v>1</v>
      </c>
      <c r="E653" s="161" t="s">
        <v>14</v>
      </c>
      <c r="F653" s="161" t="str">
        <f t="shared" si="140"/>
        <v>001</v>
      </c>
      <c r="G653" s="385">
        <v>101</v>
      </c>
      <c r="H653" s="161" t="str">
        <f t="shared" si="143"/>
        <v>AC1</v>
      </c>
      <c r="I653" s="161" t="str">
        <f t="shared" si="144"/>
        <v>001-AC1</v>
      </c>
      <c r="J653" s="162" t="s">
        <v>481</v>
      </c>
      <c r="K653" s="161" t="s">
        <v>215</v>
      </c>
      <c r="L653" s="418">
        <v>230625</v>
      </c>
      <c r="M653" s="418">
        <v>-230625</v>
      </c>
      <c r="N653" s="157">
        <f t="shared" si="145"/>
        <v>123</v>
      </c>
      <c r="O653" s="156">
        <f t="shared" si="146"/>
        <v>0</v>
      </c>
      <c r="Q653" s="156"/>
    </row>
    <row r="654" spans="1:17" ht="12.75" hidden="1" customHeight="1">
      <c r="A654" s="161" t="str">
        <f t="shared" si="139"/>
        <v>11Worker Retraining - Variable (AC1)</v>
      </c>
      <c r="B654" s="161">
        <f t="shared" si="142"/>
        <v>1</v>
      </c>
      <c r="C654" s="163">
        <v>11</v>
      </c>
      <c r="D654" s="163" t="b">
        <v>1</v>
      </c>
      <c r="E654" s="161" t="s">
        <v>24</v>
      </c>
      <c r="F654" s="161" t="str">
        <f t="shared" si="140"/>
        <v>001</v>
      </c>
      <c r="G654" s="385">
        <v>101</v>
      </c>
      <c r="H654" s="161" t="str">
        <f t="shared" si="143"/>
        <v>AC1</v>
      </c>
      <c r="I654" s="161" t="str">
        <f t="shared" si="144"/>
        <v>001-AC1</v>
      </c>
      <c r="J654" s="162" t="s">
        <v>481</v>
      </c>
      <c r="K654" s="161" t="s">
        <v>215</v>
      </c>
      <c r="L654" s="418">
        <v>440750</v>
      </c>
      <c r="M654" s="418">
        <v>-440750</v>
      </c>
      <c r="N654" s="157">
        <f t="shared" si="145"/>
        <v>123</v>
      </c>
      <c r="O654" s="156">
        <f t="shared" si="146"/>
        <v>0</v>
      </c>
      <c r="Q654" s="156"/>
    </row>
    <row r="655" spans="1:17" ht="12.75" hidden="1" customHeight="1">
      <c r="A655" s="161" t="str">
        <f t="shared" si="139"/>
        <v>27Worker Retraining - Variable (AC1)</v>
      </c>
      <c r="B655" s="161">
        <f t="shared" si="142"/>
        <v>1</v>
      </c>
      <c r="C655" s="163">
        <v>27</v>
      </c>
      <c r="D655" s="163" t="b">
        <v>1</v>
      </c>
      <c r="E655" s="161" t="s">
        <v>40</v>
      </c>
      <c r="F655" s="161" t="str">
        <f t="shared" si="140"/>
        <v>001</v>
      </c>
      <c r="G655" s="385">
        <v>101</v>
      </c>
      <c r="H655" s="161" t="str">
        <f t="shared" si="143"/>
        <v>AC1</v>
      </c>
      <c r="I655" s="161" t="str">
        <f t="shared" si="144"/>
        <v>001-AC1</v>
      </c>
      <c r="J655" s="162" t="s">
        <v>481</v>
      </c>
      <c r="K655" s="161" t="s">
        <v>215</v>
      </c>
      <c r="L655" s="418">
        <v>123000</v>
      </c>
      <c r="M655" s="418">
        <v>-123000</v>
      </c>
      <c r="N655" s="157">
        <f t="shared" si="145"/>
        <v>123</v>
      </c>
      <c r="O655" s="156">
        <f t="shared" si="146"/>
        <v>0</v>
      </c>
      <c r="Q655" s="156"/>
    </row>
    <row r="656" spans="1:17" ht="12.75" hidden="1" customHeight="1">
      <c r="A656" s="161" t="str">
        <f t="shared" si="139"/>
        <v>6Worker Retraining - Variable (AC1)</v>
      </c>
      <c r="B656" s="161">
        <f t="shared" si="142"/>
        <v>1</v>
      </c>
      <c r="C656" s="163">
        <v>6</v>
      </c>
      <c r="D656" s="163" t="b">
        <v>1</v>
      </c>
      <c r="E656" s="161" t="s">
        <v>19</v>
      </c>
      <c r="F656" s="161" t="str">
        <f t="shared" si="140"/>
        <v>001</v>
      </c>
      <c r="G656" s="385">
        <v>101</v>
      </c>
      <c r="H656" s="161" t="str">
        <f t="shared" si="143"/>
        <v>AC1</v>
      </c>
      <c r="I656" s="161" t="str">
        <f t="shared" si="144"/>
        <v>001-AC1</v>
      </c>
      <c r="J656" s="162" t="s">
        <v>481</v>
      </c>
      <c r="K656" s="161" t="s">
        <v>215</v>
      </c>
      <c r="L656" s="418">
        <v>1937250</v>
      </c>
      <c r="M656" s="418">
        <v>-1937250</v>
      </c>
      <c r="N656" s="157">
        <f t="shared" si="145"/>
        <v>123</v>
      </c>
      <c r="O656" s="156">
        <f t="shared" si="146"/>
        <v>0</v>
      </c>
      <c r="Q656" s="156"/>
    </row>
    <row r="657" spans="1:17" ht="12.75" hidden="1" customHeight="1">
      <c r="A657" s="161" t="str">
        <f t="shared" si="139"/>
        <v>7Worker Retraining - Variable (AC1)</v>
      </c>
      <c r="B657" s="161">
        <f t="shared" si="142"/>
        <v>1</v>
      </c>
      <c r="C657" s="163">
        <v>7</v>
      </c>
      <c r="D657" s="163" t="b">
        <v>1</v>
      </c>
      <c r="E657" s="161" t="s">
        <v>20</v>
      </c>
      <c r="F657" s="161" t="str">
        <f t="shared" si="140"/>
        <v>001</v>
      </c>
      <c r="G657" s="385">
        <v>101</v>
      </c>
      <c r="H657" s="161" t="str">
        <f t="shared" si="143"/>
        <v>AC1</v>
      </c>
      <c r="I657" s="161" t="str">
        <f t="shared" si="144"/>
        <v>001-AC1</v>
      </c>
      <c r="J657" s="162" t="s">
        <v>481</v>
      </c>
      <c r="K657" s="161" t="s">
        <v>215</v>
      </c>
      <c r="L657" s="418">
        <v>543250</v>
      </c>
      <c r="M657" s="418">
        <v>-543250</v>
      </c>
      <c r="N657" s="157">
        <f t="shared" si="145"/>
        <v>123</v>
      </c>
      <c r="O657" s="156">
        <f t="shared" si="146"/>
        <v>0</v>
      </c>
      <c r="Q657" s="156"/>
    </row>
    <row r="658" spans="1:17" ht="12.75" hidden="1" customHeight="1">
      <c r="A658" s="161" t="str">
        <f t="shared" si="139"/>
        <v>4Worker Retraining - Variable (AC1)</v>
      </c>
      <c r="B658" s="161">
        <f t="shared" si="142"/>
        <v>1</v>
      </c>
      <c r="C658" s="163">
        <v>4</v>
      </c>
      <c r="D658" s="163" t="b">
        <v>1</v>
      </c>
      <c r="E658" s="161" t="s">
        <v>17</v>
      </c>
      <c r="F658" s="161" t="str">
        <f t="shared" si="140"/>
        <v>001</v>
      </c>
      <c r="G658" s="385">
        <v>101</v>
      </c>
      <c r="H658" s="161" t="str">
        <f t="shared" si="143"/>
        <v>AC1</v>
      </c>
      <c r="I658" s="161" t="str">
        <f t="shared" si="144"/>
        <v>001-AC1</v>
      </c>
      <c r="J658" s="162" t="s">
        <v>481</v>
      </c>
      <c r="K658" s="161" t="s">
        <v>215</v>
      </c>
      <c r="L658" s="418">
        <v>274558</v>
      </c>
      <c r="M658" s="418">
        <v>-274558</v>
      </c>
      <c r="N658" s="157">
        <f t="shared" si="145"/>
        <v>123</v>
      </c>
      <c r="O658" s="156">
        <f t="shared" si="146"/>
        <v>0</v>
      </c>
      <c r="Q658" s="156"/>
    </row>
    <row r="659" spans="1:17" ht="12.75" hidden="1" customHeight="1">
      <c r="A659" s="161" t="str">
        <f t="shared" si="139"/>
        <v>24Worker Retraining - Variable (AC1)</v>
      </c>
      <c r="B659" s="161">
        <f t="shared" si="142"/>
        <v>1</v>
      </c>
      <c r="C659" s="163">
        <v>24</v>
      </c>
      <c r="D659" s="163" t="b">
        <v>1</v>
      </c>
      <c r="E659" s="161" t="s">
        <v>37</v>
      </c>
      <c r="F659" s="161" t="str">
        <f t="shared" si="140"/>
        <v>001</v>
      </c>
      <c r="G659" s="385">
        <v>101</v>
      </c>
      <c r="H659" s="161" t="str">
        <f t="shared" si="143"/>
        <v>AC1</v>
      </c>
      <c r="I659" s="161" t="str">
        <f t="shared" si="144"/>
        <v>001-AC1</v>
      </c>
      <c r="J659" s="162" t="s">
        <v>481</v>
      </c>
      <c r="K659" s="161" t="s">
        <v>215</v>
      </c>
      <c r="L659" s="418">
        <v>164000</v>
      </c>
      <c r="M659" s="418">
        <v>-164000</v>
      </c>
      <c r="N659" s="157">
        <f t="shared" si="145"/>
        <v>123</v>
      </c>
      <c r="O659" s="156">
        <f t="shared" si="146"/>
        <v>0</v>
      </c>
      <c r="Q659" s="156"/>
    </row>
    <row r="660" spans="1:17" ht="12.75" hidden="1" customHeight="1">
      <c r="A660" s="161" t="str">
        <f t="shared" si="139"/>
        <v>17Worker Retraining - Variable (AC1)</v>
      </c>
      <c r="B660" s="161">
        <f t="shared" si="142"/>
        <v>1</v>
      </c>
      <c r="C660" s="163">
        <v>17</v>
      </c>
      <c r="D660" s="163" t="b">
        <v>1</v>
      </c>
      <c r="E660" s="161" t="s">
        <v>30</v>
      </c>
      <c r="F660" s="161" t="str">
        <f t="shared" si="140"/>
        <v>001</v>
      </c>
      <c r="G660" s="385">
        <v>101</v>
      </c>
      <c r="H660" s="161" t="str">
        <f t="shared" si="143"/>
        <v>AC1</v>
      </c>
      <c r="I660" s="161" t="str">
        <f t="shared" si="144"/>
        <v>001-AC1</v>
      </c>
      <c r="J660" s="162" t="s">
        <v>481</v>
      </c>
      <c r="K660" s="161" t="s">
        <v>215</v>
      </c>
      <c r="L660" s="418">
        <v>656000</v>
      </c>
      <c r="M660" s="418">
        <v>-656000</v>
      </c>
      <c r="N660" s="157">
        <f t="shared" si="145"/>
        <v>123</v>
      </c>
      <c r="O660" s="156">
        <f t="shared" si="146"/>
        <v>0</v>
      </c>
      <c r="Q660" s="156"/>
    </row>
    <row r="661" spans="1:17" ht="12.75" hidden="1" customHeight="1">
      <c r="A661" s="161" t="str">
        <f t="shared" si="139"/>
        <v>22Worker Retraining - Variable (AC1)</v>
      </c>
      <c r="B661" s="161">
        <f t="shared" si="142"/>
        <v>1</v>
      </c>
      <c r="C661" s="163">
        <v>22</v>
      </c>
      <c r="D661" s="163" t="b">
        <v>1</v>
      </c>
      <c r="E661" s="161" t="s">
        <v>35</v>
      </c>
      <c r="F661" s="161" t="str">
        <f t="shared" si="140"/>
        <v>001</v>
      </c>
      <c r="G661" s="385">
        <v>101</v>
      </c>
      <c r="H661" s="161" t="str">
        <f t="shared" si="143"/>
        <v>AC1</v>
      </c>
      <c r="I661" s="161" t="str">
        <f t="shared" si="144"/>
        <v>001-AC1</v>
      </c>
      <c r="J661" s="162" t="s">
        <v>481</v>
      </c>
      <c r="K661" s="161" t="s">
        <v>215</v>
      </c>
      <c r="L661" s="418">
        <v>276750</v>
      </c>
      <c r="M661" s="418">
        <v>-276750</v>
      </c>
      <c r="N661" s="157">
        <f t="shared" si="145"/>
        <v>123</v>
      </c>
      <c r="O661" s="156">
        <f t="shared" si="146"/>
        <v>0</v>
      </c>
      <c r="Q661" s="156"/>
    </row>
    <row r="662" spans="1:17" ht="12.75" hidden="1" customHeight="1">
      <c r="A662" s="161" t="str">
        <f t="shared" si="139"/>
        <v>20Worker Retraining - Variable (AC1)</v>
      </c>
      <c r="B662" s="161">
        <f t="shared" si="142"/>
        <v>1</v>
      </c>
      <c r="C662" s="163">
        <v>20</v>
      </c>
      <c r="D662" s="163" t="b">
        <v>1</v>
      </c>
      <c r="E662" s="161" t="s">
        <v>33</v>
      </c>
      <c r="F662" s="161" t="str">
        <f t="shared" si="140"/>
        <v>001</v>
      </c>
      <c r="G662" s="385">
        <v>101</v>
      </c>
      <c r="H662" s="161" t="str">
        <f t="shared" si="143"/>
        <v>AC1</v>
      </c>
      <c r="I662" s="161" t="str">
        <f t="shared" si="144"/>
        <v>001-AC1</v>
      </c>
      <c r="J662" s="162" t="s">
        <v>481</v>
      </c>
      <c r="K662" s="161" t="s">
        <v>215</v>
      </c>
      <c r="L662" s="418">
        <v>620125</v>
      </c>
      <c r="M662" s="418">
        <v>-620125</v>
      </c>
      <c r="N662" s="157">
        <f t="shared" si="145"/>
        <v>123</v>
      </c>
      <c r="O662" s="156">
        <f t="shared" si="146"/>
        <v>0</v>
      </c>
      <c r="Q662" s="156"/>
    </row>
    <row r="663" spans="1:17" ht="12.75" hidden="1" customHeight="1">
      <c r="A663" s="161" t="str">
        <f t="shared" si="139"/>
        <v>15Worker Retraining - Variable (AC1)</v>
      </c>
      <c r="B663" s="161">
        <f t="shared" si="142"/>
        <v>1</v>
      </c>
      <c r="C663" s="163">
        <v>15</v>
      </c>
      <c r="D663" s="163" t="b">
        <v>1</v>
      </c>
      <c r="E663" s="161" t="s">
        <v>28</v>
      </c>
      <c r="F663" s="161" t="str">
        <f t="shared" si="140"/>
        <v>001</v>
      </c>
      <c r="G663" s="385">
        <v>101</v>
      </c>
      <c r="H663" s="161" t="str">
        <f t="shared" si="143"/>
        <v>AC1</v>
      </c>
      <c r="I663" s="161" t="str">
        <f t="shared" si="144"/>
        <v>001-AC1</v>
      </c>
      <c r="J663" s="162" t="s">
        <v>481</v>
      </c>
      <c r="K663" s="161" t="s">
        <v>215</v>
      </c>
      <c r="L663" s="418">
        <v>164000</v>
      </c>
      <c r="M663" s="418">
        <v>-164000</v>
      </c>
      <c r="N663" s="157">
        <f t="shared" si="145"/>
        <v>123</v>
      </c>
      <c r="O663" s="156">
        <f t="shared" si="146"/>
        <v>0</v>
      </c>
      <c r="Q663" s="156"/>
    </row>
    <row r="664" spans="1:17" ht="12.75" hidden="1" customHeight="1">
      <c r="A664" s="161" t="str">
        <f t="shared" si="139"/>
        <v>21Worker Retraining - Variable (AC1)</v>
      </c>
      <c r="B664" s="161">
        <f t="shared" si="142"/>
        <v>1</v>
      </c>
      <c r="C664" s="163">
        <v>21</v>
      </c>
      <c r="D664" s="163" t="b">
        <v>1</v>
      </c>
      <c r="E664" s="161" t="s">
        <v>34</v>
      </c>
      <c r="F664" s="161" t="str">
        <f t="shared" si="140"/>
        <v>001</v>
      </c>
      <c r="G664" s="385">
        <v>101</v>
      </c>
      <c r="H664" s="161" t="str">
        <f t="shared" si="143"/>
        <v>AC1</v>
      </c>
      <c r="I664" s="161" t="str">
        <f t="shared" si="144"/>
        <v>001-AC1</v>
      </c>
      <c r="J664" s="162" t="s">
        <v>481</v>
      </c>
      <c r="K664" s="161" t="s">
        <v>215</v>
      </c>
      <c r="L664" s="418">
        <v>102500</v>
      </c>
      <c r="M664" s="418">
        <v>-102500</v>
      </c>
      <c r="N664" s="157">
        <f t="shared" si="145"/>
        <v>123</v>
      </c>
      <c r="O664" s="156">
        <f t="shared" si="146"/>
        <v>0</v>
      </c>
      <c r="Q664" s="156"/>
    </row>
    <row r="665" spans="1:17" ht="12.75" hidden="1" customHeight="1">
      <c r="A665" s="161" t="str">
        <f t="shared" si="139"/>
        <v>16Worker Retraining - Variable (AC1)</v>
      </c>
      <c r="B665" s="161">
        <f t="shared" si="142"/>
        <v>1</v>
      </c>
      <c r="C665" s="163">
        <v>16</v>
      </c>
      <c r="D665" s="163" t="b">
        <v>1</v>
      </c>
      <c r="E665" s="161" t="s">
        <v>29</v>
      </c>
      <c r="F665" s="161" t="str">
        <f t="shared" si="140"/>
        <v>001</v>
      </c>
      <c r="G665" s="385">
        <v>101</v>
      </c>
      <c r="H665" s="161" t="str">
        <f t="shared" si="143"/>
        <v>AC1</v>
      </c>
      <c r="I665" s="161" t="str">
        <f t="shared" si="144"/>
        <v>001-AC1</v>
      </c>
      <c r="J665" s="162" t="s">
        <v>481</v>
      </c>
      <c r="K665" s="161" t="s">
        <v>215</v>
      </c>
      <c r="L665" s="418">
        <v>220375</v>
      </c>
      <c r="M665" s="418">
        <v>-220375</v>
      </c>
      <c r="N665" s="157">
        <f t="shared" si="145"/>
        <v>123</v>
      </c>
      <c r="O665" s="156">
        <f t="shared" si="146"/>
        <v>0</v>
      </c>
      <c r="Q665" s="156"/>
    </row>
    <row r="666" spans="1:17" ht="12.75" hidden="1" customHeight="1">
      <c r="A666" s="378" t="str">
        <f t="shared" si="139"/>
        <v xml:space="preserve">00Worker Retraining Emergency Fund </v>
      </c>
      <c r="B666" s="378">
        <f t="shared" si="142"/>
        <v>1</v>
      </c>
      <c r="C666" s="410" t="s">
        <v>180</v>
      </c>
      <c r="D666" s="379" t="b">
        <v>1</v>
      </c>
      <c r="E666" s="161" t="s">
        <v>181</v>
      </c>
      <c r="F666" s="161" t="str">
        <f t="shared" si="140"/>
        <v>001</v>
      </c>
      <c r="G666" s="161" t="str">
        <f>IF(RIGHT(J666,3)="012","201",IF(RIGHT(J666,3)="232","123",IF(RIGHT(J666,3)="1E2","215",RIGHT(J666,3))))</f>
        <v>AC1</v>
      </c>
      <c r="H666" s="161" t="str">
        <f t="shared" si="143"/>
        <v>AC1</v>
      </c>
      <c r="I666" s="161" t="str">
        <f t="shared" si="144"/>
        <v>001-AC1</v>
      </c>
      <c r="J666" s="162" t="s">
        <v>481</v>
      </c>
      <c r="K666" s="161" t="s">
        <v>786</v>
      </c>
      <c r="L666" s="418">
        <v>0</v>
      </c>
      <c r="M666" s="418">
        <v>33683</v>
      </c>
      <c r="N666" s="157">
        <f t="shared" si="145"/>
        <v>123</v>
      </c>
      <c r="O666" s="156">
        <f t="shared" si="146"/>
        <v>33683</v>
      </c>
      <c r="Q666" s="156"/>
    </row>
    <row r="667" spans="1:17" ht="12.75" hidden="1" customHeight="1">
      <c r="A667" s="161" t="str">
        <f t="shared" si="139"/>
        <v>28Workers Compensation Changes</v>
      </c>
      <c r="B667" s="161">
        <f t="shared" si="142"/>
        <v>1</v>
      </c>
      <c r="C667" s="163">
        <v>28</v>
      </c>
      <c r="D667" s="163" t="b">
        <v>1</v>
      </c>
      <c r="E667" s="161" t="s">
        <v>41</v>
      </c>
      <c r="F667" s="161" t="str">
        <f t="shared" si="140"/>
        <v>001</v>
      </c>
      <c r="G667" s="385">
        <v>101</v>
      </c>
      <c r="H667" s="161" t="str">
        <f t="shared" si="143"/>
        <v>011</v>
      </c>
      <c r="I667" s="161" t="str">
        <f t="shared" si="144"/>
        <v>001-011</v>
      </c>
      <c r="J667" s="162" t="s">
        <v>491</v>
      </c>
      <c r="K667" s="161" t="s">
        <v>454</v>
      </c>
      <c r="L667" s="420"/>
      <c r="M667" s="418">
        <v>10609</v>
      </c>
      <c r="N667" s="157">
        <f t="shared" si="145"/>
        <v>101</v>
      </c>
      <c r="O667" s="156">
        <f t="shared" ref="O667:O697" si="147">SUM(M667:M667)</f>
        <v>10609</v>
      </c>
      <c r="Q667" s="156"/>
    </row>
    <row r="668" spans="1:17" ht="12.75" hidden="1" customHeight="1">
      <c r="A668" s="161" t="str">
        <f t="shared" si="139"/>
        <v>8Workers Compensation Changes</v>
      </c>
      <c r="B668" s="161">
        <f t="shared" si="142"/>
        <v>1</v>
      </c>
      <c r="C668" s="163">
        <v>8</v>
      </c>
      <c r="D668" s="163" t="b">
        <v>1</v>
      </c>
      <c r="E668" s="161" t="s">
        <v>21</v>
      </c>
      <c r="F668" s="161" t="str">
        <f t="shared" si="140"/>
        <v>001</v>
      </c>
      <c r="G668" s="385">
        <v>101</v>
      </c>
      <c r="H668" s="161" t="str">
        <f t="shared" si="143"/>
        <v>011</v>
      </c>
      <c r="I668" s="161" t="str">
        <f t="shared" si="144"/>
        <v>001-011</v>
      </c>
      <c r="J668" s="162" t="s">
        <v>491</v>
      </c>
      <c r="K668" s="161" t="s">
        <v>454</v>
      </c>
      <c r="L668" s="420"/>
      <c r="M668" s="418">
        <v>24238</v>
      </c>
      <c r="N668" s="157">
        <f t="shared" si="145"/>
        <v>101</v>
      </c>
      <c r="O668" s="156">
        <f t="shared" si="147"/>
        <v>24238</v>
      </c>
      <c r="Q668" s="156"/>
    </row>
    <row r="669" spans="1:17" ht="12.75" hidden="1" customHeight="1">
      <c r="A669" s="161" t="str">
        <f t="shared" ref="A669:A700" si="148">C669&amp;K669</f>
        <v>25Workers Compensation Changes</v>
      </c>
      <c r="B669" s="161">
        <f t="shared" si="142"/>
        <v>1</v>
      </c>
      <c r="C669" s="163">
        <v>25</v>
      </c>
      <c r="D669" s="163" t="b">
        <v>1</v>
      </c>
      <c r="E669" s="161" t="s">
        <v>38</v>
      </c>
      <c r="F669" s="161" t="str">
        <f t="shared" ref="F669:F700" si="149">LEFT(J669,3)</f>
        <v>001</v>
      </c>
      <c r="G669" s="385">
        <v>101</v>
      </c>
      <c r="H669" s="161" t="str">
        <f t="shared" si="143"/>
        <v>011</v>
      </c>
      <c r="I669" s="161" t="str">
        <f t="shared" si="144"/>
        <v>001-011</v>
      </c>
      <c r="J669" s="162" t="s">
        <v>491</v>
      </c>
      <c r="K669" s="161" t="s">
        <v>454</v>
      </c>
      <c r="L669" s="420"/>
      <c r="M669" s="418">
        <v>182</v>
      </c>
      <c r="N669" s="157">
        <f t="shared" si="145"/>
        <v>101</v>
      </c>
      <c r="O669" s="156">
        <f t="shared" si="147"/>
        <v>182</v>
      </c>
      <c r="Q669" s="156"/>
    </row>
    <row r="670" spans="1:17" ht="12.75" hidden="1" customHeight="1">
      <c r="A670" s="161" t="str">
        <f t="shared" si="148"/>
        <v>18Workers Compensation Changes</v>
      </c>
      <c r="B670" s="161">
        <f t="shared" si="142"/>
        <v>1</v>
      </c>
      <c r="C670" s="163">
        <v>18</v>
      </c>
      <c r="D670" s="163" t="b">
        <v>1</v>
      </c>
      <c r="E670" s="161" t="s">
        <v>31</v>
      </c>
      <c r="F670" s="161" t="str">
        <f t="shared" si="149"/>
        <v>001</v>
      </c>
      <c r="G670" s="385">
        <v>101</v>
      </c>
      <c r="H670" s="161" t="str">
        <f t="shared" si="143"/>
        <v>011</v>
      </c>
      <c r="I670" s="161" t="str">
        <f t="shared" si="144"/>
        <v>001-011</v>
      </c>
      <c r="J670" s="162" t="s">
        <v>491</v>
      </c>
      <c r="K670" s="161" t="s">
        <v>454</v>
      </c>
      <c r="L670" s="420"/>
      <c r="M670" s="418">
        <v>-2702</v>
      </c>
      <c r="N670" s="157">
        <f t="shared" si="145"/>
        <v>101</v>
      </c>
      <c r="O670" s="156">
        <f t="shared" si="147"/>
        <v>-2702</v>
      </c>
      <c r="Q670" s="156"/>
    </row>
    <row r="671" spans="1:17" ht="12.75" hidden="1" customHeight="1">
      <c r="A671" s="161" t="str">
        <f t="shared" si="148"/>
        <v>30Workers Compensation Changes</v>
      </c>
      <c r="B671" s="161">
        <f t="shared" ref="B671:B702" si="150">B670</f>
        <v>1</v>
      </c>
      <c r="C671" s="163">
        <v>30</v>
      </c>
      <c r="D671" s="163" t="b">
        <v>1</v>
      </c>
      <c r="E671" s="161" t="s">
        <v>43</v>
      </c>
      <c r="F671" s="161" t="str">
        <f t="shared" si="149"/>
        <v>001</v>
      </c>
      <c r="G671" s="385">
        <v>101</v>
      </c>
      <c r="H671" s="161" t="str">
        <f t="shared" si="143"/>
        <v>011</v>
      </c>
      <c r="I671" s="161" t="str">
        <f t="shared" si="144"/>
        <v>001-011</v>
      </c>
      <c r="J671" s="162" t="s">
        <v>491</v>
      </c>
      <c r="K671" s="161" t="s">
        <v>454</v>
      </c>
      <c r="L671" s="420"/>
      <c r="M671" s="418">
        <v>-627</v>
      </c>
      <c r="N671" s="157">
        <f t="shared" si="145"/>
        <v>101</v>
      </c>
      <c r="O671" s="156">
        <f t="shared" si="147"/>
        <v>-627</v>
      </c>
      <c r="Q671" s="156"/>
    </row>
    <row r="672" spans="1:17" ht="12.75" hidden="1" customHeight="1">
      <c r="A672" s="161" t="str">
        <f t="shared" si="148"/>
        <v>12Workers Compensation Changes</v>
      </c>
      <c r="B672" s="161">
        <f t="shared" si="150"/>
        <v>1</v>
      </c>
      <c r="C672" s="163">
        <v>12</v>
      </c>
      <c r="D672" s="163" t="b">
        <v>1</v>
      </c>
      <c r="E672" s="161" t="s">
        <v>25</v>
      </c>
      <c r="F672" s="161" t="str">
        <f t="shared" si="149"/>
        <v>001</v>
      </c>
      <c r="G672" s="385">
        <v>101</v>
      </c>
      <c r="H672" s="161" t="str">
        <f t="shared" si="143"/>
        <v>011</v>
      </c>
      <c r="I672" s="161" t="str">
        <f t="shared" si="144"/>
        <v>001-011</v>
      </c>
      <c r="J672" s="162" t="s">
        <v>491</v>
      </c>
      <c r="K672" s="161" t="s">
        <v>454</v>
      </c>
      <c r="L672" s="420"/>
      <c r="M672" s="418">
        <v>7879</v>
      </c>
      <c r="N672" s="157">
        <f t="shared" si="145"/>
        <v>101</v>
      </c>
      <c r="O672" s="156">
        <f t="shared" si="147"/>
        <v>7879</v>
      </c>
      <c r="Q672" s="156"/>
    </row>
    <row r="673" spans="1:17" ht="12.75" hidden="1" customHeight="1">
      <c r="A673" s="161" t="str">
        <f t="shared" si="148"/>
        <v>14Workers Compensation Changes</v>
      </c>
      <c r="B673" s="161">
        <f t="shared" si="150"/>
        <v>1</v>
      </c>
      <c r="C673" s="163">
        <v>14</v>
      </c>
      <c r="D673" s="163" t="b">
        <v>1</v>
      </c>
      <c r="E673" s="161" t="s">
        <v>27</v>
      </c>
      <c r="F673" s="161" t="str">
        <f t="shared" si="149"/>
        <v>001</v>
      </c>
      <c r="G673" s="385">
        <v>101</v>
      </c>
      <c r="H673" s="161" t="str">
        <f t="shared" si="143"/>
        <v>011</v>
      </c>
      <c r="I673" s="161" t="str">
        <f t="shared" si="144"/>
        <v>001-011</v>
      </c>
      <c r="J673" s="162" t="s">
        <v>491</v>
      </c>
      <c r="K673" s="161" t="s">
        <v>454</v>
      </c>
      <c r="L673" s="420"/>
      <c r="M673" s="418">
        <v>-5722</v>
      </c>
      <c r="N673" s="157">
        <f t="shared" si="145"/>
        <v>101</v>
      </c>
      <c r="O673" s="156">
        <f t="shared" si="147"/>
        <v>-5722</v>
      </c>
      <c r="Q673" s="156"/>
    </row>
    <row r="674" spans="1:17" ht="12.75" hidden="1" customHeight="1">
      <c r="A674" s="161" t="str">
        <f t="shared" si="148"/>
        <v>29Workers Compensation Changes</v>
      </c>
      <c r="B674" s="161">
        <f t="shared" si="150"/>
        <v>1</v>
      </c>
      <c r="C674" s="163">
        <v>29</v>
      </c>
      <c r="D674" s="163" t="b">
        <v>1</v>
      </c>
      <c r="E674" s="161" t="s">
        <v>42</v>
      </c>
      <c r="F674" s="161" t="str">
        <f t="shared" si="149"/>
        <v>001</v>
      </c>
      <c r="G674" s="385">
        <v>101</v>
      </c>
      <c r="H674" s="161" t="str">
        <f t="shared" si="143"/>
        <v>011</v>
      </c>
      <c r="I674" s="161" t="str">
        <f t="shared" si="144"/>
        <v>001-011</v>
      </c>
      <c r="J674" s="162" t="s">
        <v>491</v>
      </c>
      <c r="K674" s="161" t="s">
        <v>454</v>
      </c>
      <c r="L674" s="420"/>
      <c r="M674" s="418">
        <v>-2909</v>
      </c>
      <c r="N674" s="157">
        <f t="shared" si="145"/>
        <v>101</v>
      </c>
      <c r="O674" s="156">
        <f t="shared" si="147"/>
        <v>-2909</v>
      </c>
      <c r="Q674" s="156"/>
    </row>
    <row r="675" spans="1:17" hidden="1">
      <c r="A675" s="161" t="str">
        <f t="shared" si="148"/>
        <v>19Workers Compensation Changes</v>
      </c>
      <c r="B675" s="161">
        <f t="shared" si="150"/>
        <v>1</v>
      </c>
      <c r="C675" s="163">
        <v>19</v>
      </c>
      <c r="D675" s="163" t="b">
        <v>1</v>
      </c>
      <c r="E675" s="161" t="s">
        <v>32</v>
      </c>
      <c r="F675" s="161" t="str">
        <f t="shared" si="149"/>
        <v>001</v>
      </c>
      <c r="G675" s="385">
        <v>101</v>
      </c>
      <c r="H675" s="161" t="str">
        <f t="shared" si="143"/>
        <v>011</v>
      </c>
      <c r="I675" s="161" t="str">
        <f t="shared" si="144"/>
        <v>001-011</v>
      </c>
      <c r="J675" s="162" t="s">
        <v>491</v>
      </c>
      <c r="K675" s="161" t="s">
        <v>454</v>
      </c>
      <c r="L675" s="420"/>
      <c r="M675" s="418">
        <v>-4187</v>
      </c>
      <c r="N675" s="157">
        <f t="shared" si="145"/>
        <v>101</v>
      </c>
      <c r="O675" s="156">
        <f t="shared" si="147"/>
        <v>-4187</v>
      </c>
      <c r="Q675" s="156"/>
    </row>
    <row r="676" spans="1:17" hidden="1">
      <c r="A676" s="161" t="str">
        <f t="shared" si="148"/>
        <v>23Workers Compensation Changes</v>
      </c>
      <c r="B676" s="161">
        <f t="shared" si="150"/>
        <v>1</v>
      </c>
      <c r="C676" s="163">
        <v>23</v>
      </c>
      <c r="D676" s="163" t="b">
        <v>1</v>
      </c>
      <c r="E676" s="161" t="s">
        <v>36</v>
      </c>
      <c r="F676" s="161" t="str">
        <f t="shared" si="149"/>
        <v>001</v>
      </c>
      <c r="G676" s="385">
        <v>101</v>
      </c>
      <c r="H676" s="161" t="str">
        <f t="shared" si="143"/>
        <v>011</v>
      </c>
      <c r="I676" s="161" t="str">
        <f t="shared" si="144"/>
        <v>001-011</v>
      </c>
      <c r="J676" s="162" t="s">
        <v>491</v>
      </c>
      <c r="K676" s="161" t="s">
        <v>454</v>
      </c>
      <c r="L676" s="420"/>
      <c r="M676" s="418">
        <v>-10369</v>
      </c>
      <c r="N676" s="157">
        <f t="shared" si="145"/>
        <v>101</v>
      </c>
      <c r="O676" s="156">
        <f t="shared" si="147"/>
        <v>-10369</v>
      </c>
      <c r="Q676" s="156"/>
    </row>
    <row r="677" spans="1:17" hidden="1">
      <c r="A677" s="161" t="str">
        <f t="shared" si="148"/>
        <v>5Workers Compensation Changes</v>
      </c>
      <c r="B677" s="161">
        <f t="shared" si="150"/>
        <v>1</v>
      </c>
      <c r="C677" s="163">
        <v>5</v>
      </c>
      <c r="D677" s="163" t="b">
        <v>1</v>
      </c>
      <c r="E677" s="161" t="s">
        <v>18</v>
      </c>
      <c r="F677" s="161" t="str">
        <f t="shared" si="149"/>
        <v>001</v>
      </c>
      <c r="G677" s="385">
        <v>101</v>
      </c>
      <c r="H677" s="161" t="str">
        <f t="shared" si="143"/>
        <v>011</v>
      </c>
      <c r="I677" s="161" t="str">
        <f t="shared" si="144"/>
        <v>001-011</v>
      </c>
      <c r="J677" s="162" t="s">
        <v>491</v>
      </c>
      <c r="K677" s="161" t="s">
        <v>454</v>
      </c>
      <c r="L677" s="420"/>
      <c r="M677" s="418">
        <v>12172</v>
      </c>
      <c r="N677" s="157">
        <f t="shared" si="145"/>
        <v>101</v>
      </c>
      <c r="O677" s="156">
        <f t="shared" si="147"/>
        <v>12172</v>
      </c>
      <c r="Q677" s="156"/>
    </row>
    <row r="678" spans="1:17" hidden="1">
      <c r="A678" s="161" t="str">
        <f t="shared" si="148"/>
        <v>2Workers Compensation Changes</v>
      </c>
      <c r="B678" s="161">
        <f t="shared" si="150"/>
        <v>1</v>
      </c>
      <c r="C678" s="163">
        <v>2</v>
      </c>
      <c r="D678" s="163" t="b">
        <v>1</v>
      </c>
      <c r="E678" s="161" t="s">
        <v>15</v>
      </c>
      <c r="F678" s="161" t="str">
        <f t="shared" si="149"/>
        <v>001</v>
      </c>
      <c r="G678" s="385">
        <v>101</v>
      </c>
      <c r="H678" s="161" t="str">
        <f t="shared" si="143"/>
        <v>011</v>
      </c>
      <c r="I678" s="161" t="str">
        <f t="shared" si="144"/>
        <v>001-011</v>
      </c>
      <c r="J678" s="162" t="s">
        <v>491</v>
      </c>
      <c r="K678" s="161" t="s">
        <v>454</v>
      </c>
      <c r="L678" s="420"/>
      <c r="M678" s="418">
        <v>9200</v>
      </c>
      <c r="N678" s="157">
        <f t="shared" si="145"/>
        <v>101</v>
      </c>
      <c r="O678" s="156">
        <f t="shared" si="147"/>
        <v>9200</v>
      </c>
      <c r="Q678" s="156"/>
    </row>
    <row r="679" spans="1:17" hidden="1">
      <c r="A679" s="161" t="str">
        <f t="shared" si="148"/>
        <v>10Workers Compensation Changes</v>
      </c>
      <c r="B679" s="161">
        <f t="shared" si="150"/>
        <v>1</v>
      </c>
      <c r="C679" s="163">
        <v>10</v>
      </c>
      <c r="D679" s="163" t="b">
        <v>1</v>
      </c>
      <c r="E679" s="161" t="s">
        <v>23</v>
      </c>
      <c r="F679" s="161" t="str">
        <f t="shared" si="149"/>
        <v>001</v>
      </c>
      <c r="G679" s="385">
        <v>101</v>
      </c>
      <c r="H679" s="161" t="str">
        <f t="shared" si="143"/>
        <v>011</v>
      </c>
      <c r="I679" s="161" t="str">
        <f t="shared" si="144"/>
        <v>001-011</v>
      </c>
      <c r="J679" s="162" t="s">
        <v>491</v>
      </c>
      <c r="K679" s="161" t="s">
        <v>454</v>
      </c>
      <c r="L679" s="420"/>
      <c r="M679" s="418">
        <v>13271</v>
      </c>
      <c r="N679" s="157">
        <f t="shared" si="145"/>
        <v>101</v>
      </c>
      <c r="O679" s="156">
        <f t="shared" si="147"/>
        <v>13271</v>
      </c>
      <c r="Q679" s="156"/>
    </row>
    <row r="680" spans="1:17" hidden="1">
      <c r="A680" s="161" t="str">
        <f t="shared" si="148"/>
        <v>9Workers Compensation Changes</v>
      </c>
      <c r="B680" s="161">
        <f t="shared" si="150"/>
        <v>1</v>
      </c>
      <c r="C680" s="163">
        <v>9</v>
      </c>
      <c r="D680" s="163" t="b">
        <v>1</v>
      </c>
      <c r="E680" s="161" t="s">
        <v>22</v>
      </c>
      <c r="F680" s="161" t="str">
        <f t="shared" si="149"/>
        <v>001</v>
      </c>
      <c r="G680" s="385">
        <v>101</v>
      </c>
      <c r="H680" s="161" t="str">
        <f t="shared" si="143"/>
        <v>011</v>
      </c>
      <c r="I680" s="161" t="str">
        <f t="shared" si="144"/>
        <v>001-011</v>
      </c>
      <c r="J680" s="162" t="s">
        <v>491</v>
      </c>
      <c r="K680" s="161" t="s">
        <v>454</v>
      </c>
      <c r="L680" s="420"/>
      <c r="M680" s="418">
        <v>-4418</v>
      </c>
      <c r="N680" s="157">
        <f t="shared" si="145"/>
        <v>101</v>
      </c>
      <c r="O680" s="156">
        <f t="shared" si="147"/>
        <v>-4418</v>
      </c>
      <c r="Q680" s="156"/>
    </row>
    <row r="681" spans="1:17" hidden="1">
      <c r="A681" s="161" t="str">
        <f t="shared" si="148"/>
        <v>26Workers Compensation Changes</v>
      </c>
      <c r="B681" s="161">
        <f t="shared" si="150"/>
        <v>1</v>
      </c>
      <c r="C681" s="163">
        <v>26</v>
      </c>
      <c r="D681" s="163" t="b">
        <v>1</v>
      </c>
      <c r="E681" s="161" t="s">
        <v>39</v>
      </c>
      <c r="F681" s="161" t="str">
        <f t="shared" si="149"/>
        <v>001</v>
      </c>
      <c r="G681" s="385">
        <v>101</v>
      </c>
      <c r="H681" s="161" t="str">
        <f t="shared" si="143"/>
        <v>011</v>
      </c>
      <c r="I681" s="161" t="str">
        <f t="shared" si="144"/>
        <v>001-011</v>
      </c>
      <c r="J681" s="162" t="s">
        <v>491</v>
      </c>
      <c r="K681" s="161" t="s">
        <v>454</v>
      </c>
      <c r="L681" s="420"/>
      <c r="M681" s="418">
        <v>1149</v>
      </c>
      <c r="N681" s="157">
        <f t="shared" si="145"/>
        <v>101</v>
      </c>
      <c r="O681" s="156">
        <f t="shared" si="147"/>
        <v>1149</v>
      </c>
      <c r="Q681" s="156"/>
    </row>
    <row r="682" spans="1:17" hidden="1">
      <c r="A682" s="161" t="str">
        <f t="shared" si="148"/>
        <v>13Workers Compensation Changes</v>
      </c>
      <c r="B682" s="161">
        <f t="shared" si="150"/>
        <v>1</v>
      </c>
      <c r="C682" s="163">
        <v>13</v>
      </c>
      <c r="D682" s="163" t="b">
        <v>1</v>
      </c>
      <c r="E682" s="161" t="s">
        <v>26</v>
      </c>
      <c r="F682" s="161" t="str">
        <f t="shared" si="149"/>
        <v>001</v>
      </c>
      <c r="G682" s="385">
        <v>101</v>
      </c>
      <c r="H682" s="161" t="str">
        <f t="shared" si="143"/>
        <v>011</v>
      </c>
      <c r="I682" s="161" t="str">
        <f t="shared" si="144"/>
        <v>001-011</v>
      </c>
      <c r="J682" s="162" t="s">
        <v>491</v>
      </c>
      <c r="K682" s="161" t="s">
        <v>454</v>
      </c>
      <c r="L682" s="420"/>
      <c r="M682" s="418">
        <v>2707</v>
      </c>
      <c r="N682" s="157">
        <f t="shared" si="145"/>
        <v>101</v>
      </c>
      <c r="O682" s="156">
        <f t="shared" si="147"/>
        <v>2707</v>
      </c>
      <c r="Q682" s="156"/>
    </row>
    <row r="683" spans="1:17" hidden="1">
      <c r="A683" s="161" t="str">
        <f t="shared" si="148"/>
        <v>3Workers Compensation Changes</v>
      </c>
      <c r="B683" s="161">
        <f t="shared" si="150"/>
        <v>1</v>
      </c>
      <c r="C683" s="163">
        <v>3</v>
      </c>
      <c r="D683" s="163" t="b">
        <v>1</v>
      </c>
      <c r="E683" s="161" t="s">
        <v>16</v>
      </c>
      <c r="F683" s="161" t="str">
        <f t="shared" si="149"/>
        <v>001</v>
      </c>
      <c r="G683" s="385">
        <v>101</v>
      </c>
      <c r="H683" s="161" t="str">
        <f t="shared" si="143"/>
        <v>011</v>
      </c>
      <c r="I683" s="161" t="str">
        <f t="shared" si="144"/>
        <v>001-011</v>
      </c>
      <c r="J683" s="162" t="s">
        <v>491</v>
      </c>
      <c r="K683" s="161" t="s">
        <v>454</v>
      </c>
      <c r="L683" s="420"/>
      <c r="M683" s="418">
        <v>12556</v>
      </c>
      <c r="N683" s="157">
        <f t="shared" si="145"/>
        <v>101</v>
      </c>
      <c r="O683" s="156">
        <f t="shared" si="147"/>
        <v>12556</v>
      </c>
      <c r="Q683" s="156"/>
    </row>
    <row r="684" spans="1:17" hidden="1">
      <c r="A684" s="161" t="str">
        <f t="shared" si="148"/>
        <v>1Workers Compensation Changes</v>
      </c>
      <c r="B684" s="161">
        <f t="shared" si="150"/>
        <v>1</v>
      </c>
      <c r="C684" s="163">
        <v>1</v>
      </c>
      <c r="D684" s="163" t="b">
        <v>1</v>
      </c>
      <c r="E684" s="161" t="s">
        <v>14</v>
      </c>
      <c r="F684" s="161" t="str">
        <f t="shared" si="149"/>
        <v>001</v>
      </c>
      <c r="G684" s="385">
        <v>101</v>
      </c>
      <c r="H684" s="161" t="str">
        <f t="shared" si="143"/>
        <v>011</v>
      </c>
      <c r="I684" s="161" t="str">
        <f t="shared" si="144"/>
        <v>001-011</v>
      </c>
      <c r="J684" s="162" t="s">
        <v>491</v>
      </c>
      <c r="K684" s="161" t="s">
        <v>454</v>
      </c>
      <c r="L684" s="420"/>
      <c r="M684" s="418">
        <v>-1197</v>
      </c>
      <c r="N684" s="157">
        <f t="shared" si="145"/>
        <v>101</v>
      </c>
      <c r="O684" s="156">
        <f t="shared" si="147"/>
        <v>-1197</v>
      </c>
      <c r="Q684" s="156"/>
    </row>
    <row r="685" spans="1:17" hidden="1">
      <c r="A685" s="161" t="str">
        <f t="shared" si="148"/>
        <v>11Workers Compensation Changes</v>
      </c>
      <c r="B685" s="161">
        <f t="shared" si="150"/>
        <v>1</v>
      </c>
      <c r="C685" s="163">
        <v>11</v>
      </c>
      <c r="D685" s="163" t="b">
        <v>1</v>
      </c>
      <c r="E685" s="161" t="s">
        <v>24</v>
      </c>
      <c r="F685" s="161" t="str">
        <f t="shared" si="149"/>
        <v>001</v>
      </c>
      <c r="G685" s="385">
        <v>101</v>
      </c>
      <c r="H685" s="161" t="str">
        <f t="shared" si="143"/>
        <v>011</v>
      </c>
      <c r="I685" s="161" t="str">
        <f t="shared" si="144"/>
        <v>001-011</v>
      </c>
      <c r="J685" s="162" t="s">
        <v>491</v>
      </c>
      <c r="K685" s="161" t="s">
        <v>454</v>
      </c>
      <c r="L685" s="420"/>
      <c r="M685" s="418">
        <v>9578</v>
      </c>
      <c r="N685" s="157">
        <f t="shared" si="145"/>
        <v>101</v>
      </c>
      <c r="O685" s="156">
        <f t="shared" si="147"/>
        <v>9578</v>
      </c>
      <c r="Q685" s="156"/>
    </row>
    <row r="686" spans="1:17" hidden="1">
      <c r="A686" s="161" t="str">
        <f t="shared" si="148"/>
        <v>27Workers Compensation Changes</v>
      </c>
      <c r="B686" s="161">
        <f t="shared" si="150"/>
        <v>1</v>
      </c>
      <c r="C686" s="163">
        <v>27</v>
      </c>
      <c r="D686" s="163" t="b">
        <v>1</v>
      </c>
      <c r="E686" s="161" t="s">
        <v>40</v>
      </c>
      <c r="F686" s="161" t="str">
        <f t="shared" si="149"/>
        <v>001</v>
      </c>
      <c r="G686" s="385">
        <v>101</v>
      </c>
      <c r="H686" s="161" t="str">
        <f t="shared" si="143"/>
        <v>011</v>
      </c>
      <c r="I686" s="161" t="str">
        <f t="shared" si="144"/>
        <v>001-011</v>
      </c>
      <c r="J686" s="162" t="s">
        <v>491</v>
      </c>
      <c r="K686" s="161" t="s">
        <v>454</v>
      </c>
      <c r="L686" s="420"/>
      <c r="M686" s="418">
        <v>4133</v>
      </c>
      <c r="N686" s="157">
        <f t="shared" si="145"/>
        <v>101</v>
      </c>
      <c r="O686" s="156">
        <f t="shared" si="147"/>
        <v>4133</v>
      </c>
      <c r="Q686" s="156"/>
    </row>
    <row r="687" spans="1:17" hidden="1">
      <c r="A687" s="161" t="str">
        <f t="shared" si="148"/>
        <v>89Workers Compensation Changes</v>
      </c>
      <c r="B687" s="161">
        <f t="shared" si="150"/>
        <v>1</v>
      </c>
      <c r="C687" s="160" t="s">
        <v>144</v>
      </c>
      <c r="D687" s="163" t="b">
        <v>1</v>
      </c>
      <c r="E687" s="161" t="s">
        <v>204</v>
      </c>
      <c r="F687" s="161" t="str">
        <f t="shared" si="149"/>
        <v>001</v>
      </c>
      <c r="G687" s="161" t="str">
        <f t="shared" ref="G687" si="151">IF(RIGHT(J687,3)="012","201",IF(RIGHT(J687,3)="232","123",IF(RIGHT(J687,3)="1E2","215",RIGHT(J687,3))))</f>
        <v>011</v>
      </c>
      <c r="H687" s="161" t="str">
        <f t="shared" si="143"/>
        <v>011</v>
      </c>
      <c r="I687" s="161" t="str">
        <f t="shared" si="144"/>
        <v>001-011</v>
      </c>
      <c r="J687" s="162" t="s">
        <v>491</v>
      </c>
      <c r="K687" s="161" t="s">
        <v>454</v>
      </c>
      <c r="L687" s="420"/>
      <c r="M687" s="418">
        <v>1591</v>
      </c>
      <c r="N687" s="157">
        <f t="shared" si="145"/>
        <v>101</v>
      </c>
      <c r="O687" s="156">
        <f t="shared" si="147"/>
        <v>1591</v>
      </c>
      <c r="Q687" s="156"/>
    </row>
    <row r="688" spans="1:17" hidden="1">
      <c r="A688" s="161" t="str">
        <f t="shared" si="148"/>
        <v>6Workers Compensation Changes</v>
      </c>
      <c r="B688" s="161">
        <f t="shared" si="150"/>
        <v>1</v>
      </c>
      <c r="C688" s="163">
        <v>6</v>
      </c>
      <c r="D688" s="163" t="b">
        <v>1</v>
      </c>
      <c r="E688" s="161" t="s">
        <v>19</v>
      </c>
      <c r="F688" s="161" t="str">
        <f t="shared" si="149"/>
        <v>001</v>
      </c>
      <c r="G688" s="385">
        <v>101</v>
      </c>
      <c r="H688" s="161" t="str">
        <f t="shared" si="143"/>
        <v>011</v>
      </c>
      <c r="I688" s="161" t="str">
        <f t="shared" si="144"/>
        <v>001-011</v>
      </c>
      <c r="J688" s="162" t="s">
        <v>491</v>
      </c>
      <c r="K688" s="161" t="s">
        <v>454</v>
      </c>
      <c r="L688" s="420"/>
      <c r="M688" s="418">
        <v>29115</v>
      </c>
      <c r="N688" s="157">
        <f t="shared" si="145"/>
        <v>101</v>
      </c>
      <c r="O688" s="156">
        <f t="shared" si="147"/>
        <v>29115</v>
      </c>
      <c r="Q688" s="156"/>
    </row>
    <row r="689" spans="1:23" hidden="1">
      <c r="A689" s="161" t="str">
        <f t="shared" si="148"/>
        <v>7Workers Compensation Changes</v>
      </c>
      <c r="B689" s="161">
        <f t="shared" si="150"/>
        <v>1</v>
      </c>
      <c r="C689" s="163">
        <v>7</v>
      </c>
      <c r="D689" s="163" t="b">
        <v>1</v>
      </c>
      <c r="E689" s="161" t="s">
        <v>20</v>
      </c>
      <c r="F689" s="161" t="str">
        <f t="shared" si="149"/>
        <v>001</v>
      </c>
      <c r="G689" s="385">
        <v>101</v>
      </c>
      <c r="H689" s="161" t="str">
        <f t="shared" si="143"/>
        <v>011</v>
      </c>
      <c r="I689" s="161" t="str">
        <f t="shared" si="144"/>
        <v>001-011</v>
      </c>
      <c r="J689" s="162" t="s">
        <v>491</v>
      </c>
      <c r="K689" s="161" t="s">
        <v>454</v>
      </c>
      <c r="L689" s="420"/>
      <c r="M689" s="418">
        <v>9431</v>
      </c>
      <c r="N689" s="157">
        <f t="shared" si="145"/>
        <v>101</v>
      </c>
      <c r="O689" s="156">
        <f t="shared" si="147"/>
        <v>9431</v>
      </c>
      <c r="Q689" s="156"/>
      <c r="R689" s="156"/>
    </row>
    <row r="690" spans="1:23" hidden="1">
      <c r="A690" s="161" t="str">
        <f t="shared" si="148"/>
        <v>4Workers Compensation Changes</v>
      </c>
      <c r="B690" s="161">
        <f t="shared" si="150"/>
        <v>1</v>
      </c>
      <c r="C690" s="163">
        <v>4</v>
      </c>
      <c r="D690" s="163" t="b">
        <v>1</v>
      </c>
      <c r="E690" s="161" t="s">
        <v>17</v>
      </c>
      <c r="F690" s="161" t="str">
        <f t="shared" si="149"/>
        <v>001</v>
      </c>
      <c r="G690" s="385">
        <v>101</v>
      </c>
      <c r="H690" s="161" t="str">
        <f t="shared" si="143"/>
        <v>011</v>
      </c>
      <c r="I690" s="161" t="str">
        <f t="shared" si="144"/>
        <v>001-011</v>
      </c>
      <c r="J690" s="162" t="s">
        <v>491</v>
      </c>
      <c r="K690" s="161" t="s">
        <v>454</v>
      </c>
      <c r="L690" s="420"/>
      <c r="M690" s="418">
        <v>15696</v>
      </c>
      <c r="N690" s="157">
        <f t="shared" si="145"/>
        <v>101</v>
      </c>
      <c r="O690" s="156">
        <f t="shared" si="147"/>
        <v>15696</v>
      </c>
      <c r="Q690" s="156"/>
      <c r="S690" s="156"/>
      <c r="T690" s="156"/>
      <c r="U690" s="156"/>
      <c r="V690" s="156"/>
      <c r="W690" s="156"/>
    </row>
    <row r="691" spans="1:23" hidden="1">
      <c r="A691" s="161" t="str">
        <f t="shared" si="148"/>
        <v>24Workers Compensation Changes</v>
      </c>
      <c r="B691" s="161">
        <f t="shared" si="150"/>
        <v>1</v>
      </c>
      <c r="C691" s="163">
        <v>24</v>
      </c>
      <c r="D691" s="163" t="b">
        <v>1</v>
      </c>
      <c r="E691" s="161" t="s">
        <v>37</v>
      </c>
      <c r="F691" s="161" t="str">
        <f t="shared" si="149"/>
        <v>001</v>
      </c>
      <c r="G691" s="385">
        <v>101</v>
      </c>
      <c r="H691" s="161" t="str">
        <f t="shared" si="143"/>
        <v>011</v>
      </c>
      <c r="I691" s="161" t="str">
        <f t="shared" si="144"/>
        <v>001-011</v>
      </c>
      <c r="J691" s="162" t="s">
        <v>491</v>
      </c>
      <c r="K691" s="161" t="s">
        <v>454</v>
      </c>
      <c r="L691" s="420"/>
      <c r="M691" s="418">
        <v>9707</v>
      </c>
      <c r="N691" s="157">
        <f t="shared" si="145"/>
        <v>101</v>
      </c>
      <c r="O691" s="156">
        <f t="shared" si="147"/>
        <v>9707</v>
      </c>
      <c r="Q691" s="156"/>
    </row>
    <row r="692" spans="1:23" hidden="1">
      <c r="A692" s="161" t="str">
        <f t="shared" si="148"/>
        <v>17Workers Compensation Changes</v>
      </c>
      <c r="B692" s="161">
        <f t="shared" si="150"/>
        <v>1</v>
      </c>
      <c r="C692" s="163">
        <v>17</v>
      </c>
      <c r="D692" s="163" t="b">
        <v>1</v>
      </c>
      <c r="E692" s="161" t="s">
        <v>30</v>
      </c>
      <c r="F692" s="161" t="str">
        <f t="shared" si="149"/>
        <v>001</v>
      </c>
      <c r="G692" s="385">
        <v>101</v>
      </c>
      <c r="H692" s="161" t="str">
        <f t="shared" si="143"/>
        <v>011</v>
      </c>
      <c r="I692" s="161" t="str">
        <f t="shared" si="144"/>
        <v>001-011</v>
      </c>
      <c r="J692" s="162" t="s">
        <v>491</v>
      </c>
      <c r="K692" s="161" t="s">
        <v>454</v>
      </c>
      <c r="L692" s="420"/>
      <c r="M692" s="418">
        <v>24054</v>
      </c>
      <c r="N692" s="157">
        <f t="shared" si="145"/>
        <v>101</v>
      </c>
      <c r="O692" s="156">
        <f t="shared" si="147"/>
        <v>24054</v>
      </c>
      <c r="Q692" s="156"/>
    </row>
    <row r="693" spans="1:23" hidden="1">
      <c r="A693" s="161" t="str">
        <f t="shared" si="148"/>
        <v>22Workers Compensation Changes</v>
      </c>
      <c r="B693" s="161">
        <f t="shared" si="150"/>
        <v>1</v>
      </c>
      <c r="C693" s="163">
        <v>22</v>
      </c>
      <c r="D693" s="163" t="b">
        <v>1</v>
      </c>
      <c r="E693" s="161" t="s">
        <v>35</v>
      </c>
      <c r="F693" s="161" t="str">
        <f t="shared" si="149"/>
        <v>001</v>
      </c>
      <c r="G693" s="385">
        <v>101</v>
      </c>
      <c r="H693" s="161" t="str">
        <f t="shared" si="143"/>
        <v>011</v>
      </c>
      <c r="I693" s="161" t="str">
        <f t="shared" si="144"/>
        <v>001-011</v>
      </c>
      <c r="J693" s="162" t="s">
        <v>491</v>
      </c>
      <c r="K693" s="161" t="s">
        <v>454</v>
      </c>
      <c r="L693" s="420"/>
      <c r="M693" s="418">
        <v>8089</v>
      </c>
      <c r="N693" s="157">
        <f t="shared" si="145"/>
        <v>101</v>
      </c>
      <c r="O693" s="156">
        <f t="shared" si="147"/>
        <v>8089</v>
      </c>
      <c r="Q693" s="156"/>
    </row>
    <row r="694" spans="1:23" hidden="1">
      <c r="A694" s="161" t="str">
        <f t="shared" si="148"/>
        <v>20Workers Compensation Changes</v>
      </c>
      <c r="B694" s="161">
        <f t="shared" si="150"/>
        <v>1</v>
      </c>
      <c r="C694" s="163">
        <v>20</v>
      </c>
      <c r="D694" s="163" t="b">
        <v>1</v>
      </c>
      <c r="E694" s="161" t="s">
        <v>33</v>
      </c>
      <c r="F694" s="161" t="str">
        <f t="shared" si="149"/>
        <v>001</v>
      </c>
      <c r="G694" s="385">
        <v>101</v>
      </c>
      <c r="H694" s="161" t="str">
        <f t="shared" si="143"/>
        <v>011</v>
      </c>
      <c r="I694" s="161" t="str">
        <f t="shared" si="144"/>
        <v>001-011</v>
      </c>
      <c r="J694" s="162" t="s">
        <v>491</v>
      </c>
      <c r="K694" s="161" t="s">
        <v>454</v>
      </c>
      <c r="L694" s="420"/>
      <c r="M694" s="418">
        <v>5917</v>
      </c>
      <c r="N694" s="157">
        <f t="shared" si="145"/>
        <v>101</v>
      </c>
      <c r="O694" s="156">
        <f t="shared" si="147"/>
        <v>5917</v>
      </c>
      <c r="Q694" s="156"/>
    </row>
    <row r="695" spans="1:23" hidden="1">
      <c r="A695" s="161" t="str">
        <f t="shared" si="148"/>
        <v>15Workers Compensation Changes</v>
      </c>
      <c r="B695" s="161">
        <f t="shared" si="150"/>
        <v>1</v>
      </c>
      <c r="C695" s="163">
        <v>15</v>
      </c>
      <c r="D695" s="163" t="b">
        <v>1</v>
      </c>
      <c r="E695" s="161" t="s">
        <v>28</v>
      </c>
      <c r="F695" s="161" t="str">
        <f t="shared" si="149"/>
        <v>001</v>
      </c>
      <c r="G695" s="385">
        <v>101</v>
      </c>
      <c r="H695" s="161" t="str">
        <f t="shared" si="143"/>
        <v>011</v>
      </c>
      <c r="I695" s="161" t="str">
        <f t="shared" si="144"/>
        <v>001-011</v>
      </c>
      <c r="J695" s="162" t="s">
        <v>491</v>
      </c>
      <c r="K695" s="161" t="s">
        <v>454</v>
      </c>
      <c r="L695" s="420"/>
      <c r="M695" s="418">
        <v>-2057</v>
      </c>
      <c r="N695" s="157">
        <f t="shared" si="145"/>
        <v>101</v>
      </c>
      <c r="O695" s="156">
        <f t="shared" si="147"/>
        <v>-2057</v>
      </c>
      <c r="Q695" s="156"/>
    </row>
    <row r="696" spans="1:23" hidden="1">
      <c r="A696" s="161" t="str">
        <f t="shared" si="148"/>
        <v>21Workers Compensation Changes</v>
      </c>
      <c r="B696" s="161">
        <f t="shared" si="150"/>
        <v>1</v>
      </c>
      <c r="C696" s="163">
        <v>21</v>
      </c>
      <c r="D696" s="163" t="b">
        <v>1</v>
      </c>
      <c r="E696" s="161" t="s">
        <v>34</v>
      </c>
      <c r="F696" s="161" t="str">
        <f t="shared" si="149"/>
        <v>001</v>
      </c>
      <c r="G696" s="385">
        <v>101</v>
      </c>
      <c r="H696" s="161" t="str">
        <f t="shared" si="143"/>
        <v>011</v>
      </c>
      <c r="I696" s="161" t="str">
        <f t="shared" si="144"/>
        <v>001-011</v>
      </c>
      <c r="J696" s="162" t="s">
        <v>491</v>
      </c>
      <c r="K696" s="161" t="s">
        <v>454</v>
      </c>
      <c r="L696" s="420"/>
      <c r="M696" s="418">
        <v>3951</v>
      </c>
      <c r="N696" s="157">
        <f t="shared" si="145"/>
        <v>101</v>
      </c>
      <c r="O696" s="156">
        <f t="shared" si="147"/>
        <v>3951</v>
      </c>
      <c r="Q696" s="156"/>
    </row>
    <row r="697" spans="1:23" hidden="1">
      <c r="A697" s="161" t="str">
        <f t="shared" si="148"/>
        <v>16Workers Compensation Changes</v>
      </c>
      <c r="B697" s="161">
        <f t="shared" si="150"/>
        <v>1</v>
      </c>
      <c r="C697" s="163">
        <v>16</v>
      </c>
      <c r="D697" s="163" t="b">
        <v>1</v>
      </c>
      <c r="E697" s="161" t="s">
        <v>29</v>
      </c>
      <c r="F697" s="161" t="str">
        <f t="shared" si="149"/>
        <v>001</v>
      </c>
      <c r="G697" s="385">
        <v>101</v>
      </c>
      <c r="H697" s="161" t="str">
        <f t="shared" si="143"/>
        <v>011</v>
      </c>
      <c r="I697" s="161" t="str">
        <f t="shared" si="144"/>
        <v>001-011</v>
      </c>
      <c r="J697" s="162" t="s">
        <v>491</v>
      </c>
      <c r="K697" s="161" t="s">
        <v>454</v>
      </c>
      <c r="L697" s="420"/>
      <c r="M697" s="418">
        <v>1963</v>
      </c>
      <c r="N697" s="157">
        <f t="shared" si="145"/>
        <v>101</v>
      </c>
      <c r="O697" s="156">
        <f t="shared" si="147"/>
        <v>1963</v>
      </c>
      <c r="Q697" s="156"/>
    </row>
    <row r="698" spans="1:23" hidden="1">
      <c r="A698" s="161" t="str">
        <f t="shared" si="148"/>
        <v>28Workforce Development Projects</v>
      </c>
      <c r="B698" s="161">
        <f t="shared" si="150"/>
        <v>1</v>
      </c>
      <c r="C698" s="163">
        <v>28</v>
      </c>
      <c r="D698" s="163" t="b">
        <v>1</v>
      </c>
      <c r="E698" s="161" t="s">
        <v>41</v>
      </c>
      <c r="F698" s="161" t="str">
        <f t="shared" si="149"/>
        <v>001</v>
      </c>
      <c r="G698" s="384">
        <v>101</v>
      </c>
      <c r="H698" s="161" t="str">
        <f t="shared" si="143"/>
        <v>011</v>
      </c>
      <c r="I698" s="161" t="str">
        <f t="shared" si="144"/>
        <v>001-011</v>
      </c>
      <c r="J698" s="162" t="s">
        <v>491</v>
      </c>
      <c r="K698" s="161" t="s">
        <v>64</v>
      </c>
      <c r="L698" s="418">
        <v>5000</v>
      </c>
      <c r="M698" s="418">
        <v>-5000</v>
      </c>
      <c r="N698" s="157">
        <v>101</v>
      </c>
      <c r="O698" s="156">
        <f t="shared" ref="O698:O716" si="152">SUM(L698:M698)</f>
        <v>0</v>
      </c>
      <c r="Q698" s="358"/>
    </row>
    <row r="699" spans="1:23" hidden="1">
      <c r="A699" s="161" t="str">
        <f t="shared" si="148"/>
        <v>00Workforce Development Projects</v>
      </c>
      <c r="B699" s="161">
        <f t="shared" si="150"/>
        <v>1</v>
      </c>
      <c r="C699" s="160" t="s">
        <v>180</v>
      </c>
      <c r="D699" s="163" t="b">
        <v>1</v>
      </c>
      <c r="E699" s="161" t="s">
        <v>181</v>
      </c>
      <c r="F699" s="161" t="str">
        <f t="shared" si="149"/>
        <v>001</v>
      </c>
      <c r="G699" s="385">
        <v>101</v>
      </c>
      <c r="H699" s="161" t="str">
        <f t="shared" si="143"/>
        <v>011</v>
      </c>
      <c r="I699" s="161" t="str">
        <f t="shared" si="144"/>
        <v>001-011</v>
      </c>
      <c r="J699" s="162" t="s">
        <v>491</v>
      </c>
      <c r="K699" s="161" t="s">
        <v>64</v>
      </c>
      <c r="L699" s="418">
        <v>48545</v>
      </c>
      <c r="M699" s="420">
        <f>1515400+5000+1000</f>
        <v>1521400</v>
      </c>
      <c r="N699" s="157">
        <f>VLOOKUP(H699,Approp,2,FALSE)</f>
        <v>101</v>
      </c>
      <c r="O699" s="156">
        <f t="shared" si="152"/>
        <v>1569945</v>
      </c>
      <c r="Q699" s="358"/>
    </row>
    <row r="700" spans="1:23" hidden="1">
      <c r="A700" s="161" t="str">
        <f t="shared" si="148"/>
        <v>89Workforce Development Projects</v>
      </c>
      <c r="B700" s="161">
        <f t="shared" si="150"/>
        <v>1</v>
      </c>
      <c r="C700" s="160" t="s">
        <v>144</v>
      </c>
      <c r="D700" s="163" t="b">
        <v>1</v>
      </c>
      <c r="E700" s="161" t="s">
        <v>204</v>
      </c>
      <c r="F700" s="161" t="str">
        <f t="shared" si="149"/>
        <v>001</v>
      </c>
      <c r="G700" s="161" t="str">
        <f t="shared" ref="G700" si="153">IF(RIGHT(J700,3)="012","201",IF(RIGHT(J700,3)="232","123",IF(RIGHT(J700,3)="1E2","215",RIGHT(J700,3))))</f>
        <v>011</v>
      </c>
      <c r="H700" s="161" t="str">
        <f t="shared" si="143"/>
        <v>011</v>
      </c>
      <c r="I700" s="161" t="str">
        <f t="shared" si="144"/>
        <v>001-011</v>
      </c>
      <c r="J700" s="162" t="s">
        <v>491</v>
      </c>
      <c r="K700" s="161" t="s">
        <v>64</v>
      </c>
      <c r="L700" s="418">
        <v>1000</v>
      </c>
      <c r="M700" s="418">
        <v>-1000</v>
      </c>
      <c r="N700" s="157">
        <v>101</v>
      </c>
      <c r="O700" s="156">
        <f t="shared" si="152"/>
        <v>0</v>
      </c>
      <c r="Q700" s="358"/>
      <c r="S700" s="156"/>
      <c r="T700" s="156"/>
      <c r="U700" s="156"/>
      <c r="V700" s="156"/>
      <c r="W700" s="156"/>
    </row>
    <row r="701" spans="1:23" hidden="1">
      <c r="A701" s="161" t="str">
        <f t="shared" ref="A701:A716" si="154">C701&amp;K701</f>
        <v>00Workforce Training/Aerospace</v>
      </c>
      <c r="B701" s="161">
        <f t="shared" si="150"/>
        <v>1</v>
      </c>
      <c r="C701" s="160" t="s">
        <v>180</v>
      </c>
      <c r="D701" s="163" t="b">
        <v>1</v>
      </c>
      <c r="E701" s="161" t="s">
        <v>181</v>
      </c>
      <c r="F701" s="161" t="str">
        <f t="shared" ref="F701:F716" si="155">LEFT(J701,3)</f>
        <v>001</v>
      </c>
      <c r="G701" s="385">
        <v>101</v>
      </c>
      <c r="H701" s="161" t="str">
        <f t="shared" si="143"/>
        <v>011</v>
      </c>
      <c r="I701" s="161" t="str">
        <f t="shared" si="144"/>
        <v>001-011</v>
      </c>
      <c r="J701" s="162" t="s">
        <v>491</v>
      </c>
      <c r="K701" s="161" t="s">
        <v>228</v>
      </c>
      <c r="L701" s="418">
        <v>0</v>
      </c>
      <c r="M701" s="420"/>
      <c r="N701" s="157">
        <f t="shared" ref="N701:N716" si="156">VLOOKUP(H701,Approp,2,FALSE)</f>
        <v>101</v>
      </c>
      <c r="O701" s="156">
        <f t="shared" si="152"/>
        <v>0</v>
      </c>
      <c r="Q701" s="358"/>
      <c r="S701" s="156"/>
      <c r="T701" s="156"/>
      <c r="U701" s="156"/>
      <c r="V701" s="156"/>
      <c r="W701" s="156"/>
    </row>
    <row r="702" spans="1:23" hidden="1">
      <c r="A702" s="161" t="str">
        <f t="shared" si="154"/>
        <v>89Workforce Training/Aerospace</v>
      </c>
      <c r="B702" s="161">
        <f t="shared" si="150"/>
        <v>1</v>
      </c>
      <c r="C702" s="160" t="s">
        <v>144</v>
      </c>
      <c r="D702" s="163" t="b">
        <v>1</v>
      </c>
      <c r="E702" s="161" t="s">
        <v>204</v>
      </c>
      <c r="F702" s="161" t="str">
        <f t="shared" si="155"/>
        <v>001</v>
      </c>
      <c r="G702" s="161" t="str">
        <f t="shared" ref="G702:G703" si="157">IF(RIGHT(J702,3)="012","201",IF(RIGHT(J702,3)="232","123",IF(RIGHT(J702,3)="1E2","215",RIGHT(J702,3))))</f>
        <v>011</v>
      </c>
      <c r="H702" s="161" t="str">
        <f t="shared" si="143"/>
        <v>011</v>
      </c>
      <c r="I702" s="161" t="str">
        <f t="shared" si="144"/>
        <v>001-011</v>
      </c>
      <c r="J702" s="162" t="s">
        <v>491</v>
      </c>
      <c r="K702" s="161" t="s">
        <v>228</v>
      </c>
      <c r="L702" s="418">
        <v>132000</v>
      </c>
      <c r="M702" s="420">
        <v>-132000</v>
      </c>
      <c r="N702" s="157">
        <f t="shared" si="156"/>
        <v>101</v>
      </c>
      <c r="O702" s="156">
        <f t="shared" si="152"/>
        <v>0</v>
      </c>
      <c r="Q702" s="156"/>
    </row>
    <row r="703" spans="1:23" hidden="1">
      <c r="A703" s="161" t="str">
        <f t="shared" si="154"/>
        <v>89Workforce Training/Aerospace</v>
      </c>
      <c r="B703" s="161">
        <f t="shared" ref="B703:B716" si="158">B702</f>
        <v>1</v>
      </c>
      <c r="C703" s="160" t="s">
        <v>144</v>
      </c>
      <c r="D703" s="163" t="b">
        <v>1</v>
      </c>
      <c r="E703" s="378" t="s">
        <v>204</v>
      </c>
      <c r="F703" s="378" t="str">
        <f t="shared" si="155"/>
        <v>001</v>
      </c>
      <c r="G703" s="161" t="str">
        <f t="shared" si="157"/>
        <v>011</v>
      </c>
      <c r="H703" s="378" t="str">
        <f t="shared" si="143"/>
        <v>011</v>
      </c>
      <c r="I703" s="378" t="str">
        <f t="shared" si="144"/>
        <v>001-011</v>
      </c>
      <c r="J703" s="411" t="s">
        <v>491</v>
      </c>
      <c r="K703" s="378" t="s">
        <v>228</v>
      </c>
      <c r="L703" s="421">
        <v>132000</v>
      </c>
      <c r="M703" s="425">
        <v>-132000</v>
      </c>
      <c r="N703" s="412">
        <f t="shared" si="156"/>
        <v>101</v>
      </c>
      <c r="O703" s="365">
        <f t="shared" si="152"/>
        <v>0</v>
      </c>
      <c r="Q703" s="156"/>
    </row>
    <row r="704" spans="1:23" hidden="1">
      <c r="A704" s="161" t="str">
        <f t="shared" si="154"/>
        <v>8WPEA Agreement  (001)</v>
      </c>
      <c r="B704" s="161">
        <f t="shared" si="158"/>
        <v>1</v>
      </c>
      <c r="C704" s="163">
        <v>8</v>
      </c>
      <c r="D704" s="163" t="b">
        <v>1</v>
      </c>
      <c r="E704" s="161" t="s">
        <v>21</v>
      </c>
      <c r="F704" s="161" t="str">
        <f t="shared" si="155"/>
        <v>001</v>
      </c>
      <c r="G704" s="385">
        <v>101</v>
      </c>
      <c r="H704" s="161" t="str">
        <f t="shared" si="143"/>
        <v>011</v>
      </c>
      <c r="I704" s="161" t="str">
        <f t="shared" si="144"/>
        <v>001-011</v>
      </c>
      <c r="J704" s="162" t="s">
        <v>491</v>
      </c>
      <c r="K704" s="281" t="s">
        <v>451</v>
      </c>
      <c r="M704" s="418">
        <v>158401</v>
      </c>
      <c r="N704" s="157">
        <f t="shared" si="156"/>
        <v>101</v>
      </c>
      <c r="O704" s="156">
        <f t="shared" si="152"/>
        <v>158401</v>
      </c>
      <c r="Q704" s="156"/>
    </row>
    <row r="705" spans="1:17" hidden="1">
      <c r="A705" s="161" t="str">
        <f t="shared" si="154"/>
        <v>30WPEA Agreement  (001)</v>
      </c>
      <c r="B705" s="161">
        <f t="shared" si="158"/>
        <v>1</v>
      </c>
      <c r="C705" s="163">
        <v>30</v>
      </c>
      <c r="D705" s="163" t="b">
        <v>1</v>
      </c>
      <c r="E705" s="161" t="s">
        <v>43</v>
      </c>
      <c r="F705" s="161" t="str">
        <f t="shared" si="155"/>
        <v>001</v>
      </c>
      <c r="G705" s="385">
        <v>101</v>
      </c>
      <c r="H705" s="161" t="str">
        <f t="shared" si="143"/>
        <v>011</v>
      </c>
      <c r="I705" s="161" t="str">
        <f t="shared" si="144"/>
        <v>001-011</v>
      </c>
      <c r="J705" s="162" t="s">
        <v>491</v>
      </c>
      <c r="K705" s="281" t="s">
        <v>451</v>
      </c>
      <c r="M705" s="418">
        <v>32302</v>
      </c>
      <c r="N705" s="157">
        <f t="shared" si="156"/>
        <v>101</v>
      </c>
      <c r="O705" s="156">
        <f t="shared" si="152"/>
        <v>32302</v>
      </c>
      <c r="Q705" s="156"/>
    </row>
    <row r="706" spans="1:17" hidden="1">
      <c r="A706" s="161" t="str">
        <f t="shared" si="154"/>
        <v>14WPEA Agreement  (001)</v>
      </c>
      <c r="B706" s="161">
        <f t="shared" si="158"/>
        <v>1</v>
      </c>
      <c r="C706" s="163">
        <v>14</v>
      </c>
      <c r="D706" s="163" t="b">
        <v>1</v>
      </c>
      <c r="E706" s="161" t="s">
        <v>27</v>
      </c>
      <c r="F706" s="161" t="str">
        <f t="shared" si="155"/>
        <v>001</v>
      </c>
      <c r="G706" s="385">
        <v>101</v>
      </c>
      <c r="H706" s="161" t="str">
        <f t="shared" ref="H706:H716" si="159">RIGHT(J706,3)</f>
        <v>011</v>
      </c>
      <c r="I706" s="161" t="str">
        <f t="shared" ref="I706:I716" si="160">F706&amp;"-"&amp;H706</f>
        <v>001-011</v>
      </c>
      <c r="J706" s="162" t="s">
        <v>491</v>
      </c>
      <c r="K706" s="281" t="s">
        <v>451</v>
      </c>
      <c r="M706" s="418">
        <v>257891</v>
      </c>
      <c r="N706" s="157">
        <f t="shared" si="156"/>
        <v>101</v>
      </c>
      <c r="O706" s="156">
        <f t="shared" si="152"/>
        <v>257891</v>
      </c>
      <c r="Q706" s="156"/>
    </row>
    <row r="707" spans="1:17" hidden="1">
      <c r="A707" s="161" t="str">
        <f t="shared" si="154"/>
        <v>19WPEA Agreement  (001)</v>
      </c>
      <c r="B707" s="161">
        <f t="shared" si="158"/>
        <v>1</v>
      </c>
      <c r="C707" s="163">
        <v>19</v>
      </c>
      <c r="D707" s="163" t="b">
        <v>1</v>
      </c>
      <c r="E707" s="161" t="s">
        <v>32</v>
      </c>
      <c r="F707" s="161" t="str">
        <f t="shared" si="155"/>
        <v>001</v>
      </c>
      <c r="G707" s="385">
        <v>101</v>
      </c>
      <c r="H707" s="161" t="str">
        <f t="shared" si="159"/>
        <v>011</v>
      </c>
      <c r="I707" s="161" t="str">
        <f t="shared" si="160"/>
        <v>001-011</v>
      </c>
      <c r="J707" s="162" t="s">
        <v>491</v>
      </c>
      <c r="K707" s="281" t="s">
        <v>451</v>
      </c>
      <c r="M707" s="418">
        <v>91113</v>
      </c>
      <c r="N707" s="157">
        <f t="shared" si="156"/>
        <v>101</v>
      </c>
      <c r="O707" s="156">
        <f t="shared" si="152"/>
        <v>91113</v>
      </c>
      <c r="Q707" s="156"/>
    </row>
    <row r="708" spans="1:17" hidden="1">
      <c r="A708" s="161" t="str">
        <f t="shared" si="154"/>
        <v>23WPEA Agreement  (001)</v>
      </c>
      <c r="B708" s="161">
        <f t="shared" si="158"/>
        <v>1</v>
      </c>
      <c r="C708" s="163">
        <v>23</v>
      </c>
      <c r="D708" s="163" t="b">
        <v>1</v>
      </c>
      <c r="E708" s="161" t="s">
        <v>36</v>
      </c>
      <c r="F708" s="161" t="str">
        <f t="shared" si="155"/>
        <v>001</v>
      </c>
      <c r="G708" s="385">
        <v>101</v>
      </c>
      <c r="H708" s="161" t="str">
        <f t="shared" si="159"/>
        <v>011</v>
      </c>
      <c r="I708" s="161" t="str">
        <f t="shared" si="160"/>
        <v>001-011</v>
      </c>
      <c r="J708" s="162" t="s">
        <v>491</v>
      </c>
      <c r="K708" s="281" t="s">
        <v>451</v>
      </c>
      <c r="M708" s="418">
        <v>179433</v>
      </c>
      <c r="N708" s="157">
        <f t="shared" si="156"/>
        <v>101</v>
      </c>
      <c r="O708" s="156">
        <f t="shared" si="152"/>
        <v>179433</v>
      </c>
      <c r="Q708" s="156"/>
    </row>
    <row r="709" spans="1:17" hidden="1">
      <c r="A709" s="161" t="str">
        <f t="shared" si="154"/>
        <v>2WPEA Agreement  (001)</v>
      </c>
      <c r="B709" s="161">
        <f t="shared" si="158"/>
        <v>1</v>
      </c>
      <c r="C709" s="163">
        <v>2</v>
      </c>
      <c r="D709" s="163" t="b">
        <v>1</v>
      </c>
      <c r="E709" s="161" t="s">
        <v>15</v>
      </c>
      <c r="F709" s="161" t="str">
        <f t="shared" si="155"/>
        <v>001</v>
      </c>
      <c r="G709" s="385">
        <v>101</v>
      </c>
      <c r="H709" s="161" t="str">
        <f t="shared" si="159"/>
        <v>011</v>
      </c>
      <c r="I709" s="161" t="str">
        <f t="shared" si="160"/>
        <v>001-011</v>
      </c>
      <c r="J709" s="162" t="s">
        <v>491</v>
      </c>
      <c r="K709" s="281" t="s">
        <v>451</v>
      </c>
      <c r="M709" s="418">
        <v>41292</v>
      </c>
      <c r="N709" s="157">
        <f t="shared" si="156"/>
        <v>101</v>
      </c>
      <c r="O709" s="156">
        <f t="shared" si="152"/>
        <v>41292</v>
      </c>
      <c r="Q709" s="156"/>
    </row>
    <row r="710" spans="1:17" hidden="1">
      <c r="A710" s="161" t="str">
        <f t="shared" si="154"/>
        <v>3WPEA Agreement  (001)</v>
      </c>
      <c r="B710" s="161">
        <f t="shared" si="158"/>
        <v>1</v>
      </c>
      <c r="C710" s="163">
        <v>3</v>
      </c>
      <c r="D710" s="163" t="b">
        <v>1</v>
      </c>
      <c r="E710" s="161" t="s">
        <v>16</v>
      </c>
      <c r="F710" s="161" t="str">
        <f t="shared" si="155"/>
        <v>001</v>
      </c>
      <c r="G710" s="385">
        <v>101</v>
      </c>
      <c r="H710" s="161" t="str">
        <f t="shared" si="159"/>
        <v>011</v>
      </c>
      <c r="I710" s="161" t="str">
        <f t="shared" si="160"/>
        <v>001-011</v>
      </c>
      <c r="J710" s="162" t="s">
        <v>491</v>
      </c>
      <c r="K710" s="281" t="s">
        <v>451</v>
      </c>
      <c r="M710" s="418">
        <v>117965</v>
      </c>
      <c r="N710" s="157">
        <f t="shared" si="156"/>
        <v>101</v>
      </c>
      <c r="O710" s="156">
        <f t="shared" si="152"/>
        <v>117965</v>
      </c>
      <c r="Q710" s="156"/>
    </row>
    <row r="711" spans="1:17" hidden="1">
      <c r="A711" s="161" t="str">
        <f t="shared" si="154"/>
        <v>11WPEA Agreement  (001)</v>
      </c>
      <c r="B711" s="161">
        <f t="shared" si="158"/>
        <v>1</v>
      </c>
      <c r="C711" s="163">
        <v>11</v>
      </c>
      <c r="D711" s="163" t="b">
        <v>1</v>
      </c>
      <c r="E711" s="161" t="s">
        <v>24</v>
      </c>
      <c r="F711" s="161" t="str">
        <f t="shared" si="155"/>
        <v>001</v>
      </c>
      <c r="G711" s="385">
        <v>101</v>
      </c>
      <c r="H711" s="161" t="str">
        <f t="shared" si="159"/>
        <v>011</v>
      </c>
      <c r="I711" s="161" t="str">
        <f t="shared" si="160"/>
        <v>001-011</v>
      </c>
      <c r="J711" s="162" t="s">
        <v>491</v>
      </c>
      <c r="K711" s="281" t="s">
        <v>451</v>
      </c>
      <c r="M711" s="418">
        <v>212691</v>
      </c>
      <c r="N711" s="157">
        <f t="shared" si="156"/>
        <v>101</v>
      </c>
      <c r="O711" s="156">
        <f t="shared" si="152"/>
        <v>212691</v>
      </c>
      <c r="Q711" s="156"/>
    </row>
    <row r="712" spans="1:17" ht="19.350000000000001" hidden="1" customHeight="1">
      <c r="A712" s="161" t="str">
        <f t="shared" si="154"/>
        <v>4WPEA Agreement  (001)</v>
      </c>
      <c r="B712" s="161">
        <f t="shared" si="158"/>
        <v>1</v>
      </c>
      <c r="C712" s="163">
        <v>4</v>
      </c>
      <c r="D712" s="163" t="b">
        <v>1</v>
      </c>
      <c r="E712" s="161" t="s">
        <v>17</v>
      </c>
      <c r="F712" s="161" t="str">
        <f t="shared" si="155"/>
        <v>001</v>
      </c>
      <c r="G712" s="385">
        <v>101</v>
      </c>
      <c r="H712" s="161" t="str">
        <f t="shared" si="159"/>
        <v>011</v>
      </c>
      <c r="I712" s="161" t="str">
        <f t="shared" si="160"/>
        <v>001-011</v>
      </c>
      <c r="J712" s="162" t="s">
        <v>491</v>
      </c>
      <c r="K712" s="281" t="s">
        <v>451</v>
      </c>
      <c r="M712" s="418">
        <v>92665</v>
      </c>
      <c r="N712" s="157">
        <f t="shared" si="156"/>
        <v>101</v>
      </c>
      <c r="O712" s="156">
        <f t="shared" si="152"/>
        <v>92665</v>
      </c>
      <c r="Q712" s="156"/>
    </row>
    <row r="713" spans="1:17" ht="19.350000000000001" hidden="1" customHeight="1">
      <c r="A713" s="161" t="str">
        <f t="shared" si="154"/>
        <v>20WPEA Agreement  (001)</v>
      </c>
      <c r="B713" s="161">
        <f t="shared" si="158"/>
        <v>1</v>
      </c>
      <c r="C713" s="163">
        <v>20</v>
      </c>
      <c r="D713" s="163" t="b">
        <v>1</v>
      </c>
      <c r="E713" s="161" t="s">
        <v>33</v>
      </c>
      <c r="F713" s="161" t="str">
        <f t="shared" si="155"/>
        <v>001</v>
      </c>
      <c r="G713" s="385">
        <v>101</v>
      </c>
      <c r="H713" s="161" t="str">
        <f t="shared" si="159"/>
        <v>011</v>
      </c>
      <c r="I713" s="161" t="str">
        <f t="shared" si="160"/>
        <v>001-011</v>
      </c>
      <c r="J713" s="162" t="s">
        <v>491</v>
      </c>
      <c r="K713" s="281" t="s">
        <v>451</v>
      </c>
      <c r="M713" s="418">
        <v>81054</v>
      </c>
      <c r="N713" s="157">
        <f t="shared" si="156"/>
        <v>101</v>
      </c>
      <c r="O713" s="156">
        <f t="shared" si="152"/>
        <v>81054</v>
      </c>
      <c r="Q713" s="156"/>
    </row>
    <row r="714" spans="1:17" ht="19.350000000000001" hidden="1" customHeight="1">
      <c r="A714" s="161" t="str">
        <f t="shared" si="154"/>
        <v>15WPEA Agreement  (001)</v>
      </c>
      <c r="B714" s="161">
        <f t="shared" si="158"/>
        <v>1</v>
      </c>
      <c r="C714" s="163">
        <v>15</v>
      </c>
      <c r="D714" s="163" t="b">
        <v>1</v>
      </c>
      <c r="E714" s="161" t="s">
        <v>28</v>
      </c>
      <c r="F714" s="161" t="str">
        <f t="shared" si="155"/>
        <v>001</v>
      </c>
      <c r="G714" s="385">
        <v>101</v>
      </c>
      <c r="H714" s="161" t="str">
        <f t="shared" si="159"/>
        <v>011</v>
      </c>
      <c r="I714" s="161" t="str">
        <f t="shared" si="160"/>
        <v>001-011</v>
      </c>
      <c r="J714" s="162" t="s">
        <v>491</v>
      </c>
      <c r="K714" s="281" t="s">
        <v>451</v>
      </c>
      <c r="M714" s="418">
        <v>68193</v>
      </c>
      <c r="N714" s="157">
        <f t="shared" si="156"/>
        <v>101</v>
      </c>
      <c r="O714" s="156">
        <f t="shared" si="152"/>
        <v>68193</v>
      </c>
      <c r="Q714" s="156"/>
    </row>
    <row r="715" spans="1:17" hidden="1">
      <c r="A715" s="161" t="str">
        <f t="shared" si="154"/>
        <v>9WPEA Agreement- Highline</v>
      </c>
      <c r="B715" s="161">
        <f t="shared" si="158"/>
        <v>1</v>
      </c>
      <c r="C715" s="163">
        <v>9</v>
      </c>
      <c r="D715" s="163" t="b">
        <v>1</v>
      </c>
      <c r="E715" s="161" t="s">
        <v>22</v>
      </c>
      <c r="F715" s="161" t="str">
        <f t="shared" si="155"/>
        <v>001</v>
      </c>
      <c r="G715" s="385">
        <v>101</v>
      </c>
      <c r="H715" s="161" t="str">
        <f t="shared" si="159"/>
        <v>011</v>
      </c>
      <c r="I715" s="161" t="str">
        <f t="shared" si="160"/>
        <v>001-011</v>
      </c>
      <c r="J715" s="162" t="s">
        <v>491</v>
      </c>
      <c r="K715" s="281" t="s">
        <v>442</v>
      </c>
      <c r="L715" s="418">
        <v>0</v>
      </c>
      <c r="M715" s="420">
        <v>145000</v>
      </c>
      <c r="N715" s="157">
        <f t="shared" si="156"/>
        <v>101</v>
      </c>
      <c r="O715" s="156">
        <f t="shared" si="152"/>
        <v>145000</v>
      </c>
      <c r="Q715" s="156"/>
    </row>
    <row r="716" spans="1:17" hidden="1">
      <c r="A716" s="161" t="str">
        <f t="shared" si="154"/>
        <v>16WPEA Agreement- Yakima (001)</v>
      </c>
      <c r="B716" s="161">
        <f t="shared" si="158"/>
        <v>1</v>
      </c>
      <c r="C716" s="163">
        <v>16</v>
      </c>
      <c r="D716" s="163" t="b">
        <v>1</v>
      </c>
      <c r="E716" s="161" t="s">
        <v>29</v>
      </c>
      <c r="F716" s="161" t="str">
        <f t="shared" si="155"/>
        <v>001</v>
      </c>
      <c r="G716" s="385">
        <v>101</v>
      </c>
      <c r="H716" s="161" t="str">
        <f t="shared" si="159"/>
        <v>011</v>
      </c>
      <c r="I716" s="161" t="str">
        <f t="shared" si="160"/>
        <v>001-011</v>
      </c>
      <c r="J716" s="162" t="s">
        <v>491</v>
      </c>
      <c r="K716" s="281" t="s">
        <v>443</v>
      </c>
      <c r="L716" s="418">
        <v>0</v>
      </c>
      <c r="M716" s="420">
        <v>272000</v>
      </c>
      <c r="N716" s="157">
        <f t="shared" si="156"/>
        <v>101</v>
      </c>
      <c r="O716" s="156">
        <f t="shared" si="152"/>
        <v>272000</v>
      </c>
      <c r="Q716" s="156"/>
    </row>
    <row r="717" spans="1:17" hidden="1">
      <c r="A717" s="161"/>
      <c r="B717" s="161"/>
      <c r="C717" s="160"/>
      <c r="D717" s="163"/>
      <c r="E717" s="161"/>
      <c r="F717" s="161"/>
      <c r="G717" s="385"/>
      <c r="H717" s="161"/>
      <c r="I717" s="161"/>
      <c r="J717" s="162"/>
      <c r="K717" s="161"/>
      <c r="Q717" s="156"/>
    </row>
    <row r="718" spans="1:17">
      <c r="A718" s="161"/>
      <c r="B718" s="161"/>
      <c r="C718" s="160"/>
      <c r="D718" s="163"/>
      <c r="E718" s="161"/>
      <c r="F718" s="161"/>
      <c r="G718" s="385"/>
      <c r="H718" s="161"/>
      <c r="I718" s="161"/>
      <c r="J718" s="162"/>
      <c r="K718" s="161"/>
      <c r="O718" s="165"/>
      <c r="Q718" s="156"/>
    </row>
    <row r="719" spans="1:17">
      <c r="A719" s="161"/>
      <c r="B719" s="161"/>
      <c r="C719" s="160"/>
      <c r="D719" s="163"/>
      <c r="E719" s="161"/>
      <c r="F719" s="161"/>
      <c r="G719" s="385"/>
      <c r="H719" s="161"/>
      <c r="I719" s="161"/>
      <c r="J719" s="162"/>
      <c r="K719" s="161"/>
      <c r="L719" s="418">
        <f>SUM(L2:L716)</f>
        <v>619313925</v>
      </c>
      <c r="M719" s="420">
        <f>SUM(M2:M716)</f>
        <v>63719075</v>
      </c>
      <c r="O719" s="156">
        <f>SUM(O2:O716)</f>
        <v>683033000</v>
      </c>
      <c r="Q719" s="156"/>
    </row>
    <row r="720" spans="1:17">
      <c r="A720" s="161"/>
      <c r="B720" s="161"/>
      <c r="C720" s="160"/>
      <c r="D720" s="163"/>
      <c r="E720" s="161"/>
      <c r="F720" s="161"/>
      <c r="G720" s="385"/>
      <c r="H720" s="161"/>
      <c r="I720" s="161"/>
      <c r="J720" s="162"/>
      <c r="K720" s="161"/>
      <c r="M720" s="420"/>
      <c r="Q720" s="156"/>
    </row>
    <row r="721" spans="1:17">
      <c r="A721" s="161"/>
      <c r="B721" s="161"/>
      <c r="C721" s="160"/>
      <c r="D721" s="163"/>
      <c r="E721" s="161"/>
      <c r="F721" s="161"/>
      <c r="G721" s="385"/>
      <c r="H721" s="161"/>
      <c r="I721" s="161"/>
      <c r="J721" s="162"/>
      <c r="K721" s="161"/>
      <c r="O721" s="165"/>
      <c r="Q721" s="156"/>
    </row>
    <row r="722" spans="1:17">
      <c r="A722" s="161"/>
      <c r="B722" s="161"/>
      <c r="C722" s="160"/>
      <c r="D722" s="163"/>
      <c r="E722" s="161"/>
      <c r="F722" s="161"/>
      <c r="G722" s="385"/>
      <c r="H722" s="161"/>
      <c r="I722" s="161"/>
      <c r="J722" s="162"/>
      <c r="K722" s="161"/>
      <c r="M722" s="420"/>
      <c r="Q722" s="156"/>
    </row>
    <row r="723" spans="1:17">
      <c r="F723" s="165"/>
      <c r="N723" s="158"/>
      <c r="O723" s="165"/>
      <c r="P723" s="165"/>
      <c r="Q723" s="156"/>
    </row>
    <row r="724" spans="1:17">
      <c r="K724" s="167"/>
      <c r="L724" s="422"/>
      <c r="M724" s="420"/>
      <c r="O724" s="166"/>
      <c r="P724" s="166"/>
      <c r="Q724" s="156"/>
    </row>
    <row r="725" spans="1:17">
      <c r="K725" s="154"/>
      <c r="L725" s="420"/>
      <c r="M725" s="423"/>
      <c r="Q725" s="156"/>
    </row>
    <row r="726" spans="1:17">
      <c r="K726" s="154"/>
      <c r="L726" s="420"/>
      <c r="Q726" s="156"/>
    </row>
    <row r="727" spans="1:17">
      <c r="P727" s="159"/>
      <c r="Q727" s="367"/>
    </row>
    <row r="730" spans="1:17" ht="12.75" customHeight="1">
      <c r="A730" s="159"/>
      <c r="L730" s="420"/>
      <c r="M730" s="420"/>
      <c r="N730" s="159"/>
    </row>
    <row r="731" spans="1:17" ht="12.75" customHeight="1">
      <c r="A731" s="159"/>
      <c r="L731" s="420"/>
      <c r="M731" s="420"/>
      <c r="N731" s="159"/>
    </row>
    <row r="732" spans="1:17" ht="12.75" customHeight="1">
      <c r="A732" s="159"/>
      <c r="L732" s="420"/>
      <c r="M732" s="420"/>
    </row>
    <row r="733" spans="1:17" ht="12.75" customHeight="1">
      <c r="A733" s="159"/>
      <c r="N733" s="159"/>
    </row>
    <row r="734" spans="1:17" ht="12.75" customHeight="1">
      <c r="A734" s="159"/>
      <c r="N734" s="159"/>
    </row>
    <row r="735" spans="1:17" ht="12.75" customHeight="1">
      <c r="A735" s="159"/>
      <c r="N735" s="159"/>
    </row>
    <row r="738" spans="12:25" ht="12.75" customHeight="1">
      <c r="L738" s="422"/>
      <c r="M738" s="422"/>
      <c r="N738" s="154"/>
    </row>
    <row r="739" spans="12:25" ht="12.75" customHeight="1">
      <c r="N739" s="154"/>
    </row>
    <row r="740" spans="12:25" ht="12.75" customHeight="1">
      <c r="N740" s="154"/>
    </row>
    <row r="741" spans="12:25" ht="12.75" customHeight="1">
      <c r="N741" s="154"/>
      <c r="Y741" s="375"/>
    </row>
    <row r="742" spans="12:25" ht="12.75" customHeight="1">
      <c r="N742" s="154"/>
      <c r="Y742" s="375"/>
    </row>
    <row r="743" spans="12:25" ht="12.75" customHeight="1">
      <c r="N743" s="154"/>
      <c r="Y743" s="375"/>
    </row>
    <row r="744" spans="12:25" ht="12.75" customHeight="1">
      <c r="N744" s="154"/>
      <c r="P744" s="159"/>
      <c r="Q744" s="156"/>
      <c r="Y744" s="375"/>
    </row>
    <row r="745" spans="12:25" ht="12.75" customHeight="1">
      <c r="Y745" s="375"/>
    </row>
    <row r="746" spans="12:25" ht="12.75" customHeight="1">
      <c r="P746" s="159"/>
      <c r="Y746" s="375"/>
    </row>
    <row r="747" spans="12:25" ht="12.75" customHeight="1">
      <c r="Y747" s="375"/>
    </row>
    <row r="748" spans="12:25" ht="12.75" customHeight="1">
      <c r="Q748" s="156"/>
      <c r="Y748" s="375"/>
    </row>
    <row r="749" spans="12:25" ht="12.75" customHeight="1">
      <c r="Y749" s="375"/>
    </row>
    <row r="750" spans="12:25" ht="12.75" customHeight="1">
      <c r="Y750" s="375"/>
    </row>
    <row r="751" spans="12:25" ht="12.75" customHeight="1">
      <c r="Y751" s="375"/>
    </row>
    <row r="752" spans="12:25" ht="12.75" customHeight="1">
      <c r="Y752" s="375"/>
    </row>
    <row r="753" spans="14:25" ht="12.75" customHeight="1">
      <c r="Y753" s="375"/>
    </row>
    <row r="754" spans="14:25" ht="12.75" customHeight="1">
      <c r="Y754" s="375"/>
    </row>
    <row r="755" spans="14:25" ht="12.75" customHeight="1">
      <c r="P755" s="159"/>
      <c r="Y755" s="375"/>
    </row>
    <row r="756" spans="14:25" ht="12.75" customHeight="1">
      <c r="P756" s="159"/>
      <c r="Y756" s="375"/>
    </row>
    <row r="757" spans="14:25" ht="12.75" customHeight="1">
      <c r="Y757" s="375"/>
    </row>
    <row r="758" spans="14:25" ht="12.75" customHeight="1">
      <c r="Y758" s="375"/>
    </row>
    <row r="759" spans="14:25" ht="12.75" customHeight="1">
      <c r="Y759" s="375"/>
    </row>
    <row r="762" spans="14:25" ht="12.75" customHeight="1">
      <c r="N762" s="383"/>
    </row>
    <row r="764" spans="14:25" ht="12.75" customHeight="1">
      <c r="O764" s="159"/>
      <c r="P764" s="159"/>
    </row>
    <row r="765" spans="14:25" ht="12.75" customHeight="1">
      <c r="O765" s="159"/>
      <c r="P765" s="159"/>
    </row>
    <row r="766" spans="14:25" ht="12.75" customHeight="1">
      <c r="O766" s="159"/>
      <c r="P766" s="159"/>
    </row>
  </sheetData>
  <autoFilter ref="A1:O717">
    <filterColumn colId="10">
      <filters>
        <filter val="Alt. Finance Project Debt Svc."/>
        <filter val="Base Allocation (ELTA)"/>
        <filter val="Base Allocation (GF-State)"/>
        <filter val="Compensation Tuition Backfill - State Support (CS1)"/>
        <filter val="General Wage Increase (GL9)"/>
      </filters>
    </filterColumn>
    <sortState ref="A2:O719">
      <sortCondition ref="K2:K719"/>
      <sortCondition ref="E2:E719"/>
    </sortState>
  </autoFilter>
  <phoneticPr fontId="0" type="noConversion"/>
  <printOptions gridLines="1"/>
  <pageMargins left="0" right="0" top="1" bottom="1" header="0.5" footer="0.5"/>
  <pageSetup scale="32" fitToHeight="0" orientation="landscape" r:id="rId2"/>
  <headerFooter alignWithMargins="0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42"/>
  <sheetViews>
    <sheetView zoomScale="130" zoomScaleNormal="130" workbookViewId="0">
      <selection activeCell="B6" sqref="B6:B35"/>
    </sheetView>
  </sheetViews>
  <sheetFormatPr defaultColWidth="9.140625" defaultRowHeight="11.25"/>
  <cols>
    <col min="1" max="1" width="18.140625" style="137" customWidth="1"/>
    <col min="2" max="5" width="9.42578125" style="143" customWidth="1"/>
    <col min="6" max="6" width="9.140625" style="143" customWidth="1"/>
    <col min="7" max="11" width="14" style="143" customWidth="1"/>
    <col min="12" max="12" width="10.42578125" style="143" customWidth="1"/>
    <col min="13" max="13" width="3.85546875" style="137" customWidth="1"/>
    <col min="14" max="14" width="8.140625" style="137" customWidth="1"/>
    <col min="15" max="15" width="9.42578125" style="137" customWidth="1"/>
    <col min="16" max="18" width="10.42578125" style="137" bestFit="1" customWidth="1"/>
    <col min="19" max="16384" width="9.140625" style="137"/>
  </cols>
  <sheetData>
    <row r="1" spans="1:25">
      <c r="A1" s="426" t="s">
        <v>7</v>
      </c>
      <c r="B1" s="435" t="s">
        <v>195</v>
      </c>
      <c r="Q1" s="143"/>
      <c r="R1" s="143"/>
      <c r="S1" s="143"/>
      <c r="T1" s="143"/>
      <c r="U1" s="143"/>
      <c r="V1" s="143"/>
      <c r="W1" s="143"/>
      <c r="X1" s="143"/>
      <c r="Y1" s="143"/>
    </row>
    <row r="2" spans="1:25">
      <c r="A2" s="426" t="s">
        <v>13</v>
      </c>
      <c r="B2" s="435" t="s">
        <v>195</v>
      </c>
      <c r="Q2" s="143"/>
      <c r="R2" s="143"/>
      <c r="S2" s="143"/>
      <c r="T2" s="143"/>
      <c r="U2" s="143"/>
      <c r="V2" s="143"/>
      <c r="W2" s="143"/>
      <c r="X2" s="143"/>
      <c r="Y2" s="143"/>
    </row>
    <row r="3" spans="1:25" ht="12.75">
      <c r="A3"/>
      <c r="B3" s="148"/>
      <c r="C3" s="148"/>
      <c r="D3" s="148"/>
      <c r="E3" s="148"/>
      <c r="F3" s="148"/>
      <c r="G3" s="148"/>
      <c r="H3" s="148"/>
      <c r="I3" s="148"/>
      <c r="Q3" s="148"/>
      <c r="R3" s="148"/>
      <c r="S3" s="148"/>
      <c r="T3" s="148"/>
      <c r="U3" s="148"/>
      <c r="V3" s="148"/>
      <c r="W3" s="143"/>
      <c r="X3" s="143"/>
      <c r="Y3" s="143"/>
    </row>
    <row r="4" spans="1:25" ht="12.75">
      <c r="A4" s="428" t="s">
        <v>194</v>
      </c>
      <c r="B4" s="429" t="s">
        <v>48</v>
      </c>
      <c r="C4" s="441"/>
      <c r="D4" s="441"/>
      <c r="E4" s="442"/>
      <c r="F4"/>
      <c r="G4"/>
      <c r="H4"/>
      <c r="I4"/>
      <c r="J4"/>
      <c r="K4"/>
      <c r="L4"/>
      <c r="Q4"/>
      <c r="R4"/>
      <c r="S4"/>
      <c r="T4"/>
      <c r="U4"/>
      <c r="V4"/>
      <c r="W4"/>
      <c r="X4"/>
      <c r="Y4"/>
    </row>
    <row r="5" spans="1:25" ht="12.75">
      <c r="A5" s="428" t="s">
        <v>12</v>
      </c>
      <c r="B5" s="430" t="s">
        <v>220</v>
      </c>
      <c r="C5" s="436" t="s">
        <v>229</v>
      </c>
      <c r="D5" s="436" t="s">
        <v>230</v>
      </c>
      <c r="E5" s="431" t="s">
        <v>193</v>
      </c>
      <c r="F5"/>
      <c r="G5"/>
      <c r="H5"/>
      <c r="I5"/>
      <c r="J5"/>
      <c r="K5"/>
      <c r="L5"/>
      <c r="Q5"/>
      <c r="R5"/>
      <c r="S5"/>
      <c r="T5"/>
      <c r="U5"/>
      <c r="V5"/>
      <c r="W5"/>
      <c r="X5"/>
      <c r="Y5"/>
    </row>
    <row r="6" spans="1:25" ht="12.75">
      <c r="A6" s="430" t="s">
        <v>41</v>
      </c>
      <c r="B6" s="437">
        <v>17047071</v>
      </c>
      <c r="C6" s="390">
        <v>1502560</v>
      </c>
      <c r="D6" s="390"/>
      <c r="E6" s="431">
        <v>18549631</v>
      </c>
      <c r="F6"/>
      <c r="G6"/>
      <c r="H6"/>
      <c r="I6"/>
      <c r="J6"/>
      <c r="K6"/>
      <c r="L6"/>
      <c r="Q6"/>
      <c r="R6"/>
      <c r="S6"/>
      <c r="T6"/>
      <c r="U6"/>
      <c r="V6"/>
      <c r="W6"/>
      <c r="X6"/>
      <c r="Y6"/>
    </row>
    <row r="7" spans="1:25" ht="12.75">
      <c r="A7" s="432" t="s">
        <v>21</v>
      </c>
      <c r="B7" s="438">
        <v>27497856</v>
      </c>
      <c r="C7" s="391">
        <v>2150891</v>
      </c>
      <c r="D7" s="391"/>
      <c r="E7" s="433">
        <v>29648747</v>
      </c>
      <c r="F7"/>
      <c r="G7"/>
      <c r="H7"/>
      <c r="I7"/>
      <c r="J7"/>
      <c r="K7"/>
      <c r="L7"/>
      <c r="Q7"/>
      <c r="R7"/>
      <c r="S7"/>
      <c r="T7"/>
      <c r="U7"/>
      <c r="V7"/>
      <c r="W7"/>
      <c r="X7"/>
      <c r="Y7"/>
    </row>
    <row r="8" spans="1:25" ht="12.75">
      <c r="A8" s="432" t="s">
        <v>38</v>
      </c>
      <c r="B8" s="438">
        <v>9297967</v>
      </c>
      <c r="C8" s="391">
        <v>934644</v>
      </c>
      <c r="D8" s="391">
        <v>1996296</v>
      </c>
      <c r="E8" s="433">
        <v>12228907</v>
      </c>
      <c r="F8"/>
      <c r="G8"/>
      <c r="H8"/>
      <c r="I8"/>
      <c r="J8"/>
      <c r="K8"/>
      <c r="L8"/>
      <c r="Q8"/>
      <c r="R8"/>
      <c r="S8"/>
      <c r="T8"/>
      <c r="U8"/>
      <c r="V8"/>
      <c r="W8"/>
      <c r="X8"/>
      <c r="Y8"/>
    </row>
    <row r="9" spans="1:25" ht="12.75">
      <c r="A9" s="432" t="s">
        <v>31</v>
      </c>
      <c r="B9" s="438">
        <v>8572202</v>
      </c>
      <c r="C9" s="391">
        <v>821108</v>
      </c>
      <c r="D9" s="391"/>
      <c r="E9" s="433">
        <v>9393310</v>
      </c>
      <c r="F9"/>
      <c r="G9"/>
      <c r="H9"/>
      <c r="I9"/>
      <c r="J9"/>
      <c r="K9"/>
      <c r="L9"/>
      <c r="Q9"/>
      <c r="R9"/>
      <c r="S9"/>
      <c r="T9"/>
      <c r="U9"/>
      <c r="V9"/>
      <c r="W9"/>
      <c r="X9"/>
      <c r="Y9"/>
    </row>
    <row r="10" spans="1:25" ht="12.75">
      <c r="A10" s="432" t="s">
        <v>43</v>
      </c>
      <c r="B10" s="438">
        <v>7834413</v>
      </c>
      <c r="C10" s="391">
        <v>1352982</v>
      </c>
      <c r="D10" s="391"/>
      <c r="E10" s="433">
        <v>9187395</v>
      </c>
      <c r="F10"/>
      <c r="G10"/>
      <c r="H10"/>
      <c r="I10"/>
      <c r="J10"/>
      <c r="K10"/>
      <c r="L10"/>
      <c r="N10"/>
      <c r="O10"/>
      <c r="P10"/>
      <c r="Q10"/>
      <c r="R10"/>
      <c r="S10"/>
      <c r="T10"/>
      <c r="U10"/>
      <c r="V10"/>
      <c r="W10"/>
      <c r="X10"/>
      <c r="Y10"/>
    </row>
    <row r="11" spans="1:25" ht="12.75">
      <c r="A11" s="432" t="s">
        <v>25</v>
      </c>
      <c r="B11" s="438">
        <v>9818361</v>
      </c>
      <c r="C11" s="391">
        <v>1153485</v>
      </c>
      <c r="D11" s="391"/>
      <c r="E11" s="433">
        <v>10971846</v>
      </c>
      <c r="F11"/>
      <c r="G11"/>
      <c r="H11"/>
      <c r="I11"/>
      <c r="J11"/>
      <c r="K11"/>
      <c r="L11"/>
      <c r="N11" s="426" t="s">
        <v>7</v>
      </c>
      <c r="O11" s="435" t="s">
        <v>195</v>
      </c>
      <c r="P11" s="143"/>
      <c r="Q11"/>
      <c r="R11"/>
      <c r="S11"/>
      <c r="T11"/>
      <c r="U11"/>
      <c r="V11"/>
      <c r="W11"/>
      <c r="X11"/>
      <c r="Y11"/>
    </row>
    <row r="12" spans="1:25" ht="12.75">
      <c r="A12" s="432" t="s">
        <v>27</v>
      </c>
      <c r="B12" s="438">
        <v>25869213</v>
      </c>
      <c r="C12" s="391">
        <v>2116638</v>
      </c>
      <c r="D12" s="391"/>
      <c r="E12" s="433">
        <v>27985851</v>
      </c>
      <c r="F12"/>
      <c r="G12"/>
      <c r="H12"/>
      <c r="I12"/>
      <c r="J12"/>
      <c r="K12"/>
      <c r="L12"/>
      <c r="N12" s="426" t="s">
        <v>13</v>
      </c>
      <c r="O12" s="435" t="s">
        <v>195</v>
      </c>
      <c r="P12" s="143"/>
      <c r="Q12"/>
      <c r="R12"/>
      <c r="S12"/>
      <c r="T12"/>
      <c r="U12"/>
      <c r="V12"/>
      <c r="W12"/>
      <c r="X12"/>
      <c r="Y12"/>
    </row>
    <row r="13" spans="1:25" ht="12.75">
      <c r="A13" s="432" t="s">
        <v>42</v>
      </c>
      <c r="B13" s="438">
        <v>16913074</v>
      </c>
      <c r="C13" s="391">
        <v>1216790</v>
      </c>
      <c r="D13" s="391"/>
      <c r="E13" s="433">
        <v>18129864</v>
      </c>
      <c r="F13"/>
      <c r="G13"/>
      <c r="H13"/>
      <c r="I13"/>
      <c r="J13"/>
      <c r="K13"/>
      <c r="L13"/>
      <c r="N13"/>
      <c r="O13" s="148"/>
      <c r="P13" s="148"/>
      <c r="Q13"/>
      <c r="R13"/>
      <c r="S13"/>
      <c r="T13"/>
      <c r="U13"/>
      <c r="V13"/>
      <c r="W13"/>
      <c r="X13"/>
      <c r="Y13"/>
    </row>
    <row r="14" spans="1:25" ht="12.75">
      <c r="A14" s="432" t="s">
        <v>32</v>
      </c>
      <c r="B14" s="438">
        <v>17710407</v>
      </c>
      <c r="C14" s="391">
        <v>1588670</v>
      </c>
      <c r="D14" s="391"/>
      <c r="E14" s="433">
        <v>19299077</v>
      </c>
      <c r="F14"/>
      <c r="G14"/>
      <c r="H14"/>
      <c r="I14"/>
      <c r="J14"/>
      <c r="K14"/>
      <c r="L14"/>
      <c r="N14" s="428" t="s">
        <v>194</v>
      </c>
      <c r="O14" s="431"/>
      <c r="P14"/>
      <c r="Q14"/>
      <c r="R14"/>
      <c r="S14"/>
      <c r="T14"/>
      <c r="U14"/>
      <c r="V14"/>
      <c r="W14"/>
      <c r="X14"/>
      <c r="Y14"/>
    </row>
    <row r="15" spans="1:25" ht="12.75">
      <c r="A15" s="432" t="s">
        <v>36</v>
      </c>
      <c r="B15" s="438">
        <v>24610060</v>
      </c>
      <c r="C15" s="391">
        <v>918970</v>
      </c>
      <c r="D15" s="391"/>
      <c r="E15" s="433">
        <v>25529030</v>
      </c>
      <c r="F15"/>
      <c r="G15"/>
      <c r="H15"/>
      <c r="I15"/>
      <c r="J15"/>
      <c r="K15"/>
      <c r="L15"/>
      <c r="N15" s="429" t="s">
        <v>48</v>
      </c>
      <c r="O15" s="431" t="s">
        <v>60</v>
      </c>
      <c r="P15"/>
      <c r="Q15"/>
      <c r="R15"/>
      <c r="S15"/>
      <c r="T15"/>
      <c r="U15"/>
      <c r="V15"/>
      <c r="W15"/>
      <c r="X15"/>
      <c r="Y15"/>
    </row>
    <row r="16" spans="1:25" ht="12.75">
      <c r="A16" s="432" t="s">
        <v>18</v>
      </c>
      <c r="B16" s="438">
        <v>19704342</v>
      </c>
      <c r="C16" s="391">
        <v>2812383</v>
      </c>
      <c r="D16" s="391"/>
      <c r="E16" s="433">
        <v>22516725</v>
      </c>
      <c r="F16"/>
      <c r="G16"/>
      <c r="H16"/>
      <c r="I16"/>
      <c r="J16"/>
      <c r="K16"/>
      <c r="L16"/>
      <c r="N16" s="430" t="s">
        <v>220</v>
      </c>
      <c r="O16" s="431">
        <v>626297000</v>
      </c>
      <c r="P16"/>
      <c r="Q16"/>
      <c r="R16"/>
      <c r="S16"/>
      <c r="T16"/>
      <c r="U16"/>
      <c r="V16"/>
      <c r="W16"/>
      <c r="X16"/>
      <c r="Y16"/>
    </row>
    <row r="17" spans="1:25" ht="12.75">
      <c r="A17" s="432" t="s">
        <v>15</v>
      </c>
      <c r="B17" s="438">
        <v>8192649</v>
      </c>
      <c r="C17" s="391">
        <v>710486</v>
      </c>
      <c r="D17" s="391"/>
      <c r="E17" s="433">
        <v>8903135</v>
      </c>
      <c r="F17"/>
      <c r="G17"/>
      <c r="H17"/>
      <c r="I17"/>
      <c r="J17"/>
      <c r="K17"/>
      <c r="L17"/>
      <c r="N17" s="432" t="s">
        <v>229</v>
      </c>
      <c r="O17" s="433">
        <v>47962000</v>
      </c>
      <c r="P17"/>
      <c r="Q17"/>
      <c r="R17"/>
      <c r="S17"/>
      <c r="T17"/>
      <c r="U17"/>
      <c r="V17"/>
      <c r="W17"/>
      <c r="X17"/>
      <c r="Y17"/>
    </row>
    <row r="18" spans="1:25" ht="12.75">
      <c r="A18" s="432" t="s">
        <v>23</v>
      </c>
      <c r="B18" s="438">
        <v>22406139</v>
      </c>
      <c r="C18" s="391">
        <v>1303346</v>
      </c>
      <c r="D18" s="391">
        <v>2020580</v>
      </c>
      <c r="E18" s="433">
        <v>25730065</v>
      </c>
      <c r="F18"/>
      <c r="G18"/>
      <c r="H18"/>
      <c r="I18"/>
      <c r="J18"/>
      <c r="K18"/>
      <c r="L18"/>
      <c r="N18" s="432" t="s">
        <v>230</v>
      </c>
      <c r="O18" s="433">
        <v>8774000</v>
      </c>
      <c r="P18"/>
      <c r="Q18"/>
      <c r="R18"/>
      <c r="S18"/>
      <c r="T18"/>
      <c r="U18"/>
      <c r="V18"/>
      <c r="W18"/>
      <c r="X18"/>
      <c r="Y18"/>
    </row>
    <row r="19" spans="1:25" ht="12.75">
      <c r="A19" s="432" t="s">
        <v>22</v>
      </c>
      <c r="B19" s="438">
        <v>21444506</v>
      </c>
      <c r="C19" s="391">
        <v>1168417</v>
      </c>
      <c r="D19" s="391"/>
      <c r="E19" s="433">
        <v>22612923</v>
      </c>
      <c r="F19"/>
      <c r="G19"/>
      <c r="H19"/>
      <c r="I19"/>
      <c r="J19"/>
      <c r="K19"/>
      <c r="L19"/>
      <c r="N19" s="434" t="s">
        <v>193</v>
      </c>
      <c r="O19" s="435">
        <v>683033000</v>
      </c>
      <c r="P19"/>
      <c r="Q19"/>
      <c r="R19"/>
      <c r="S19"/>
      <c r="T19"/>
      <c r="U19"/>
      <c r="V19"/>
      <c r="W19"/>
      <c r="X19"/>
      <c r="Y19"/>
    </row>
    <row r="20" spans="1:25" ht="12.75">
      <c r="A20" s="432" t="s">
        <v>39</v>
      </c>
      <c r="B20" s="438">
        <v>12001558</v>
      </c>
      <c r="C20" s="391">
        <v>1472287</v>
      </c>
      <c r="D20" s="391"/>
      <c r="E20" s="433">
        <v>13473845</v>
      </c>
      <c r="F20"/>
      <c r="G20"/>
      <c r="H20"/>
      <c r="I20"/>
      <c r="J20"/>
      <c r="K20"/>
      <c r="L20"/>
      <c r="N20"/>
      <c r="O20"/>
      <c r="P20"/>
      <c r="Q20"/>
      <c r="R20"/>
      <c r="S20"/>
      <c r="T20"/>
      <c r="U20"/>
      <c r="V20"/>
      <c r="W20"/>
      <c r="X20"/>
      <c r="Y20"/>
    </row>
    <row r="21" spans="1:25" ht="12.75">
      <c r="A21" s="432" t="s">
        <v>26</v>
      </c>
      <c r="B21" s="438">
        <v>10890688</v>
      </c>
      <c r="C21" s="391">
        <v>1065118</v>
      </c>
      <c r="D21" s="391">
        <v>2406175</v>
      </c>
      <c r="E21" s="433">
        <v>14361981</v>
      </c>
      <c r="F21"/>
      <c r="G21"/>
      <c r="H21"/>
      <c r="I21"/>
      <c r="J21"/>
      <c r="K21"/>
      <c r="L21"/>
      <c r="N21"/>
      <c r="O21"/>
      <c r="P21"/>
      <c r="Q21"/>
      <c r="R21"/>
      <c r="S21"/>
      <c r="T21"/>
      <c r="U21"/>
      <c r="V21"/>
      <c r="W21"/>
      <c r="X21"/>
      <c r="Y21"/>
    </row>
    <row r="22" spans="1:25" ht="12.75">
      <c r="A22" s="432" t="s">
        <v>16</v>
      </c>
      <c r="B22" s="438">
        <v>17947377</v>
      </c>
      <c r="C22" s="391">
        <v>1819396</v>
      </c>
      <c r="D22" s="391"/>
      <c r="E22" s="433">
        <v>19766773</v>
      </c>
      <c r="F22"/>
      <c r="G22"/>
      <c r="H22"/>
      <c r="I22"/>
      <c r="J22"/>
      <c r="K22"/>
      <c r="L22"/>
      <c r="N22"/>
      <c r="O22"/>
      <c r="P22"/>
      <c r="Q22"/>
      <c r="R22"/>
      <c r="S22"/>
      <c r="T22"/>
      <c r="U22"/>
      <c r="V22"/>
      <c r="W22"/>
      <c r="X22"/>
      <c r="Y22"/>
    </row>
    <row r="23" spans="1:25" ht="12.75">
      <c r="A23" s="432" t="s">
        <v>14</v>
      </c>
      <c r="B23" s="438">
        <v>9886535</v>
      </c>
      <c r="C23" s="391">
        <v>477819</v>
      </c>
      <c r="D23" s="391"/>
      <c r="E23" s="433">
        <v>10364354</v>
      </c>
      <c r="F23"/>
      <c r="G23"/>
      <c r="H23"/>
      <c r="I23"/>
      <c r="J23"/>
      <c r="K23"/>
      <c r="L23"/>
      <c r="N23"/>
      <c r="O23"/>
      <c r="P23"/>
      <c r="Q23"/>
      <c r="R23"/>
      <c r="S23"/>
      <c r="T23"/>
      <c r="U23"/>
      <c r="V23"/>
      <c r="W23"/>
      <c r="X23"/>
      <c r="Y23"/>
    </row>
    <row r="24" spans="1:25" ht="12.75">
      <c r="A24" s="432" t="s">
        <v>24</v>
      </c>
      <c r="B24" s="438">
        <v>21818306</v>
      </c>
      <c r="C24" s="391">
        <v>2527421</v>
      </c>
      <c r="D24" s="391"/>
      <c r="E24" s="433">
        <v>24345727</v>
      </c>
      <c r="F24"/>
      <c r="G24"/>
      <c r="H24"/>
      <c r="I24"/>
      <c r="J24"/>
      <c r="K24"/>
      <c r="L24"/>
      <c r="N24"/>
      <c r="O24"/>
      <c r="P24"/>
      <c r="Q24"/>
      <c r="R24"/>
      <c r="S24"/>
      <c r="T24"/>
      <c r="U24"/>
      <c r="V24"/>
      <c r="W24"/>
      <c r="X24"/>
      <c r="Y24"/>
    </row>
    <row r="25" spans="1:25" ht="12.75">
      <c r="A25" s="432" t="s">
        <v>40</v>
      </c>
      <c r="B25" s="438">
        <v>14271934</v>
      </c>
      <c r="C25" s="391">
        <v>1507446</v>
      </c>
      <c r="D25" s="391"/>
      <c r="E25" s="433">
        <v>15779380</v>
      </c>
      <c r="F25"/>
      <c r="G25"/>
      <c r="H25"/>
      <c r="I25"/>
      <c r="J25"/>
      <c r="K25"/>
      <c r="L25"/>
      <c r="N25"/>
      <c r="O25"/>
      <c r="P25"/>
      <c r="Q25"/>
      <c r="R25"/>
      <c r="S25"/>
      <c r="T25"/>
      <c r="U25"/>
      <c r="V25"/>
      <c r="W25"/>
      <c r="X25"/>
      <c r="Y25"/>
    </row>
    <row r="26" spans="1:25" ht="12.75">
      <c r="A26" s="432" t="s">
        <v>19</v>
      </c>
      <c r="B26" s="438">
        <v>62527895</v>
      </c>
      <c r="C26" s="391">
        <v>1195761</v>
      </c>
      <c r="D26" s="391"/>
      <c r="E26" s="433">
        <v>63723656</v>
      </c>
      <c r="F26"/>
      <c r="G26"/>
      <c r="H26"/>
      <c r="I26"/>
      <c r="J26"/>
      <c r="K26"/>
      <c r="L26"/>
      <c r="N26"/>
      <c r="O26"/>
      <c r="P26"/>
      <c r="Q26"/>
      <c r="R26"/>
      <c r="S26"/>
      <c r="T26"/>
      <c r="U26"/>
      <c r="V26"/>
      <c r="W26"/>
      <c r="X26"/>
      <c r="Y26"/>
    </row>
    <row r="27" spans="1:25" ht="12.75">
      <c r="A27" s="432" t="s">
        <v>20</v>
      </c>
      <c r="B27" s="438">
        <v>19575456</v>
      </c>
      <c r="C27" s="391">
        <v>459488</v>
      </c>
      <c r="D27" s="391"/>
      <c r="E27" s="433">
        <v>20034944</v>
      </c>
      <c r="F27"/>
      <c r="G27"/>
      <c r="H27"/>
      <c r="I27"/>
      <c r="J27"/>
      <c r="K27"/>
      <c r="L27"/>
      <c r="N27"/>
      <c r="O27"/>
      <c r="P27"/>
      <c r="Q27"/>
      <c r="R27"/>
      <c r="S27"/>
      <c r="T27"/>
      <c r="U27"/>
      <c r="V27"/>
      <c r="W27"/>
      <c r="X27"/>
      <c r="Y27"/>
    </row>
    <row r="28" spans="1:25" ht="12.75">
      <c r="A28" s="432" t="s">
        <v>17</v>
      </c>
      <c r="B28" s="438">
        <v>15571781</v>
      </c>
      <c r="C28" s="391">
        <v>1621555</v>
      </c>
      <c r="D28" s="391">
        <v>1963325</v>
      </c>
      <c r="E28" s="433">
        <v>19156661</v>
      </c>
      <c r="F28"/>
      <c r="G28"/>
      <c r="H28"/>
      <c r="I28"/>
      <c r="J28"/>
      <c r="K28"/>
      <c r="L28"/>
      <c r="N28"/>
      <c r="O28"/>
      <c r="P28"/>
      <c r="Q28"/>
      <c r="R28"/>
      <c r="S28"/>
      <c r="T28"/>
      <c r="U28"/>
      <c r="V28"/>
      <c r="W28"/>
      <c r="X28"/>
      <c r="Y28"/>
    </row>
    <row r="29" spans="1:25" ht="12.75">
      <c r="A29" s="432" t="s">
        <v>37</v>
      </c>
      <c r="B29" s="438">
        <v>14259347</v>
      </c>
      <c r="C29" s="391">
        <v>1140194</v>
      </c>
      <c r="D29" s="391"/>
      <c r="E29" s="433">
        <v>15399541</v>
      </c>
      <c r="F29"/>
      <c r="G29"/>
      <c r="H29"/>
      <c r="I29"/>
      <c r="J29"/>
      <c r="K29"/>
      <c r="L29"/>
      <c r="N29"/>
      <c r="O29"/>
      <c r="P29"/>
      <c r="Q29"/>
      <c r="R29"/>
      <c r="S29"/>
      <c r="T29"/>
      <c r="U29"/>
      <c r="V29"/>
      <c r="W29"/>
      <c r="X29"/>
      <c r="Y29"/>
    </row>
    <row r="30" spans="1:25" ht="12.75">
      <c r="A30" s="432" t="s">
        <v>30</v>
      </c>
      <c r="B30" s="438">
        <v>50120207</v>
      </c>
      <c r="C30" s="391">
        <v>3242870</v>
      </c>
      <c r="D30" s="391"/>
      <c r="E30" s="433">
        <v>53363077</v>
      </c>
      <c r="F30"/>
      <c r="G30"/>
      <c r="H30"/>
      <c r="I30"/>
      <c r="J30"/>
      <c r="K30"/>
      <c r="L30"/>
      <c r="N30"/>
      <c r="O30"/>
      <c r="P30"/>
      <c r="Q30"/>
      <c r="R30"/>
      <c r="S30"/>
      <c r="T30"/>
      <c r="U30"/>
      <c r="V30"/>
      <c r="W30"/>
      <c r="X30"/>
      <c r="Y30"/>
    </row>
    <row r="31" spans="1:25" ht="12.75">
      <c r="A31" s="432" t="s">
        <v>35</v>
      </c>
      <c r="B31" s="438">
        <v>18065072</v>
      </c>
      <c r="C31" s="391">
        <v>1640578</v>
      </c>
      <c r="D31" s="391"/>
      <c r="E31" s="433">
        <v>19705650</v>
      </c>
      <c r="F31"/>
      <c r="G31"/>
      <c r="H31"/>
      <c r="I31"/>
      <c r="J31"/>
      <c r="K31"/>
      <c r="L31"/>
      <c r="N31"/>
      <c r="O31"/>
      <c r="P31"/>
      <c r="Q31"/>
      <c r="R31"/>
      <c r="S31"/>
      <c r="T31"/>
      <c r="U31"/>
      <c r="V31"/>
      <c r="W31"/>
      <c r="X31"/>
      <c r="Y31"/>
    </row>
    <row r="32" spans="1:25" ht="12.75">
      <c r="A32" s="432" t="s">
        <v>33</v>
      </c>
      <c r="B32" s="438">
        <v>14501472</v>
      </c>
      <c r="C32" s="391">
        <v>699358</v>
      </c>
      <c r="D32" s="391"/>
      <c r="E32" s="433">
        <v>15200830</v>
      </c>
      <c r="F32"/>
      <c r="G32"/>
      <c r="H32"/>
      <c r="I32"/>
      <c r="J32"/>
      <c r="K32"/>
      <c r="L32"/>
      <c r="N32"/>
      <c r="O32"/>
      <c r="P32"/>
      <c r="Q32"/>
      <c r="R32"/>
      <c r="S32"/>
      <c r="T32"/>
      <c r="U32"/>
      <c r="V32"/>
      <c r="W32"/>
      <c r="X32"/>
      <c r="Y32"/>
    </row>
    <row r="33" spans="1:25" ht="12.75">
      <c r="A33" s="432" t="s">
        <v>28</v>
      </c>
      <c r="B33" s="438">
        <v>10674805</v>
      </c>
      <c r="C33" s="391">
        <v>1322513</v>
      </c>
      <c r="D33" s="391"/>
      <c r="E33" s="433">
        <v>11997318</v>
      </c>
      <c r="F33"/>
      <c r="G33"/>
      <c r="H33"/>
      <c r="I33"/>
      <c r="J33"/>
      <c r="K33"/>
      <c r="L33"/>
      <c r="N33"/>
      <c r="O33"/>
      <c r="P33"/>
      <c r="Q33"/>
      <c r="R33"/>
      <c r="S33"/>
      <c r="T33"/>
      <c r="U33"/>
      <c r="V33"/>
      <c r="W33"/>
      <c r="X33"/>
      <c r="Y33"/>
    </row>
    <row r="34" spans="1:25" ht="12.75">
      <c r="A34" s="432" t="s">
        <v>34</v>
      </c>
      <c r="B34" s="438">
        <v>10035456</v>
      </c>
      <c r="C34" s="391">
        <v>1163276</v>
      </c>
      <c r="D34" s="391"/>
      <c r="E34" s="433">
        <v>11198732</v>
      </c>
      <c r="F34"/>
      <c r="G34"/>
      <c r="H34"/>
      <c r="I34"/>
      <c r="J34"/>
      <c r="K34"/>
      <c r="L34"/>
      <c r="N34"/>
      <c r="O34"/>
      <c r="P34"/>
      <c r="Q34"/>
      <c r="R34"/>
      <c r="S34"/>
      <c r="T34"/>
      <c r="U34"/>
      <c r="V34"/>
      <c r="W34"/>
      <c r="X34"/>
      <c r="Y34"/>
    </row>
    <row r="35" spans="1:25" ht="12.75">
      <c r="A35" s="432" t="s">
        <v>29</v>
      </c>
      <c r="B35" s="438">
        <v>16450351</v>
      </c>
      <c r="C35" s="391">
        <v>1202902</v>
      </c>
      <c r="D35" s="391"/>
      <c r="E35" s="433">
        <v>17653253</v>
      </c>
      <c r="F35"/>
      <c r="G35"/>
      <c r="H35"/>
      <c r="I35"/>
      <c r="J35"/>
      <c r="K35"/>
      <c r="L35"/>
      <c r="N35"/>
      <c r="O35"/>
      <c r="P35"/>
      <c r="Q35"/>
      <c r="R35"/>
      <c r="S35"/>
      <c r="T35"/>
      <c r="U35"/>
      <c r="V35"/>
      <c r="W35"/>
      <c r="X35"/>
      <c r="Y35"/>
    </row>
    <row r="36" spans="1:25" ht="12.75">
      <c r="A36" s="432" t="s">
        <v>204</v>
      </c>
      <c r="B36" s="438">
        <v>16461328</v>
      </c>
      <c r="C36" s="391">
        <v>173300</v>
      </c>
      <c r="D36" s="391"/>
      <c r="E36" s="433">
        <v>16634628</v>
      </c>
      <c r="F36"/>
      <c r="G36"/>
      <c r="H36"/>
      <c r="I36"/>
      <c r="J36"/>
      <c r="K36"/>
      <c r="L36"/>
      <c r="N36"/>
      <c r="O36"/>
      <c r="P36"/>
      <c r="Q36"/>
      <c r="R36"/>
      <c r="S36"/>
      <c r="T36"/>
      <c r="U36"/>
      <c r="V36"/>
      <c r="W36"/>
      <c r="X36"/>
      <c r="Y36"/>
    </row>
    <row r="37" spans="1:25" ht="12.75">
      <c r="A37" s="432" t="s">
        <v>205</v>
      </c>
      <c r="B37" s="438">
        <v>2450540</v>
      </c>
      <c r="C37" s="391">
        <v>3370000</v>
      </c>
      <c r="D37" s="391"/>
      <c r="E37" s="433">
        <v>5820540</v>
      </c>
      <c r="F37"/>
      <c r="G37"/>
      <c r="H37"/>
      <c r="I37"/>
      <c r="J37"/>
      <c r="K37"/>
      <c r="L37"/>
      <c r="N37"/>
      <c r="O37"/>
      <c r="P37"/>
      <c r="Q37"/>
      <c r="R37"/>
      <c r="S37"/>
      <c r="T37"/>
      <c r="U37"/>
      <c r="V37"/>
      <c r="W37"/>
      <c r="X37"/>
      <c r="Y37"/>
    </row>
    <row r="38" spans="1:25" ht="12.75">
      <c r="A38" s="432" t="s">
        <v>181</v>
      </c>
      <c r="B38" s="438">
        <v>51868632</v>
      </c>
      <c r="C38" s="391">
        <v>2109348</v>
      </c>
      <c r="D38" s="391">
        <v>387624</v>
      </c>
      <c r="E38" s="433">
        <v>54365604</v>
      </c>
      <c r="F38"/>
      <c r="G38"/>
      <c r="H38"/>
      <c r="I38"/>
      <c r="J38"/>
      <c r="K38"/>
      <c r="L38"/>
      <c r="N38"/>
      <c r="O38"/>
      <c r="P38"/>
      <c r="Q38"/>
      <c r="R38"/>
      <c r="S38"/>
      <c r="T38"/>
      <c r="U38"/>
      <c r="V38"/>
      <c r="W38"/>
      <c r="X38"/>
      <c r="Y38"/>
    </row>
    <row r="39" spans="1:25" ht="12.75">
      <c r="A39" s="434" t="s">
        <v>193</v>
      </c>
      <c r="B39" s="439">
        <v>626297000</v>
      </c>
      <c r="C39" s="440">
        <v>47962000</v>
      </c>
      <c r="D39" s="440">
        <v>8774000</v>
      </c>
      <c r="E39" s="435">
        <v>683033000</v>
      </c>
      <c r="F39"/>
      <c r="G39"/>
      <c r="H39"/>
      <c r="I39"/>
      <c r="J39"/>
      <c r="K39"/>
      <c r="L39"/>
      <c r="N39"/>
      <c r="O39"/>
      <c r="P39"/>
      <c r="Q39"/>
      <c r="R39"/>
      <c r="S39"/>
      <c r="T39"/>
      <c r="U39"/>
      <c r="V39"/>
      <c r="W39"/>
      <c r="X39"/>
      <c r="Y39"/>
    </row>
    <row r="40" spans="1:25" ht="12.75">
      <c r="A40"/>
      <c r="B40"/>
      <c r="C40"/>
      <c r="D40"/>
      <c r="E40"/>
      <c r="F40"/>
      <c r="G40" s="140"/>
      <c r="H40" s="140"/>
      <c r="I40" s="140"/>
      <c r="J40" s="140"/>
      <c r="K40" s="140"/>
      <c r="L40" s="140"/>
    </row>
    <row r="41" spans="1:25">
      <c r="A41" s="138" t="s">
        <v>197</v>
      </c>
      <c r="B41" s="139">
        <f>626297000</f>
        <v>626297000</v>
      </c>
      <c r="C41" s="139">
        <f>47962000</f>
        <v>47962000</v>
      </c>
      <c r="D41" s="139">
        <v>8774000</v>
      </c>
      <c r="E41" s="139">
        <f>SUM(B41:D41)</f>
        <v>683033000</v>
      </c>
      <c r="G41" s="204"/>
      <c r="H41" s="204"/>
      <c r="I41" s="204"/>
      <c r="J41" s="204"/>
      <c r="K41" s="204"/>
      <c r="L41" s="204"/>
    </row>
    <row r="42" spans="1:25">
      <c r="A42" s="138" t="s">
        <v>198</v>
      </c>
      <c r="B42" s="139">
        <f>B41-B39</f>
        <v>0</v>
      </c>
      <c r="C42" s="139">
        <f>C41-C39</f>
        <v>0</v>
      </c>
      <c r="D42" s="139">
        <f>D41-D39</f>
        <v>0</v>
      </c>
      <c r="E42" s="139">
        <f>E41-E39</f>
        <v>0</v>
      </c>
      <c r="G42" s="204"/>
      <c r="H42" s="204"/>
      <c r="I42" s="204"/>
      <c r="J42" s="204"/>
      <c r="K42" s="204"/>
      <c r="L42" s="204"/>
    </row>
  </sheetData>
  <pageMargins left="0.7" right="0.7" top="0.75" bottom="0.75" header="0.3" footer="0.3"/>
  <pageSetup orientation="portrait"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G43"/>
  <sheetViews>
    <sheetView topLeftCell="A25" zoomScaleNormal="100" workbookViewId="0">
      <selection activeCell="F43" sqref="F43"/>
    </sheetView>
  </sheetViews>
  <sheetFormatPr defaultColWidth="9.140625" defaultRowHeight="12.75"/>
  <cols>
    <col min="1" max="1" width="25.85546875" style="23" customWidth="1"/>
    <col min="2" max="3" width="9.140625" style="102" customWidth="1"/>
    <col min="4" max="5" width="11.85546875" style="102" customWidth="1"/>
    <col min="6" max="6" width="9.140625" style="23"/>
    <col min="7" max="7" width="9.5703125" style="23" customWidth="1"/>
    <col min="8" max="16384" width="9.140625" style="23"/>
  </cols>
  <sheetData>
    <row r="1" spans="1:7">
      <c r="B1" s="483" t="s">
        <v>328</v>
      </c>
      <c r="C1" s="484"/>
      <c r="D1" s="487" t="s">
        <v>329</v>
      </c>
      <c r="E1" s="488"/>
      <c r="F1" s="491" t="s">
        <v>330</v>
      </c>
      <c r="G1" s="484"/>
    </row>
    <row r="2" spans="1:7" ht="13.5" thickBot="1">
      <c r="B2" s="485"/>
      <c r="C2" s="486"/>
      <c r="D2" s="489"/>
      <c r="E2" s="490"/>
      <c r="F2" s="492"/>
      <c r="G2" s="486"/>
    </row>
    <row r="3" spans="1:7" ht="13.5" thickBot="1">
      <c r="A3" s="238" t="s">
        <v>2</v>
      </c>
      <c r="B3" s="250" t="s">
        <v>331</v>
      </c>
      <c r="C3" s="251" t="s">
        <v>11</v>
      </c>
      <c r="D3" s="245" t="s">
        <v>331</v>
      </c>
      <c r="E3" s="236" t="s">
        <v>11</v>
      </c>
      <c r="F3" s="260" t="s">
        <v>331</v>
      </c>
      <c r="G3" s="261" t="s">
        <v>11</v>
      </c>
    </row>
    <row r="4" spans="1:7">
      <c r="A4" s="144"/>
      <c r="B4" s="252"/>
      <c r="C4" s="253"/>
      <c r="D4" s="246"/>
      <c r="E4" s="244"/>
      <c r="F4" s="262"/>
      <c r="G4" s="263"/>
    </row>
    <row r="5" spans="1:7">
      <c r="A5" s="239" t="s">
        <v>41</v>
      </c>
      <c r="B5" s="254">
        <f>'Attachment Three'!I9</f>
        <v>4705</v>
      </c>
      <c r="C5" s="255">
        <f>Bates!C10</f>
        <v>4705</v>
      </c>
      <c r="D5" s="246">
        <f>'Attachment Three'!O9</f>
        <v>62</v>
      </c>
      <c r="E5" s="243">
        <f>Bates!E10</f>
        <v>62</v>
      </c>
      <c r="F5" s="262">
        <f>'Attachment Three'!Q9</f>
        <v>4767</v>
      </c>
      <c r="G5" s="255">
        <f>Bates!G10</f>
        <v>4767</v>
      </c>
    </row>
    <row r="6" spans="1:7">
      <c r="A6" s="144" t="s">
        <v>21</v>
      </c>
      <c r="B6" s="254">
        <f>'Attachment Three'!I10</f>
        <v>7285</v>
      </c>
      <c r="C6" s="255">
        <f>Bellevue!C10</f>
        <v>7285</v>
      </c>
      <c r="D6" s="246">
        <f>'Attachment Three'!O10</f>
        <v>0</v>
      </c>
      <c r="E6" s="243">
        <f>Bellevue!E10</f>
        <v>0</v>
      </c>
      <c r="F6" s="262">
        <f>'Attachment Three'!Q10</f>
        <v>7285</v>
      </c>
      <c r="G6" s="255">
        <f>Bellevue!G10</f>
        <v>7285</v>
      </c>
    </row>
    <row r="7" spans="1:7">
      <c r="A7" s="144" t="s">
        <v>38</v>
      </c>
      <c r="B7" s="254">
        <f>'Attachment Three'!I11</f>
        <v>1783</v>
      </c>
      <c r="C7" s="255">
        <f>Bellingham!C$10</f>
        <v>1783</v>
      </c>
      <c r="D7" s="246">
        <f>'Attachment Three'!O11</f>
        <v>77</v>
      </c>
      <c r="E7" s="243">
        <f>Bellingham!E$10</f>
        <v>77</v>
      </c>
      <c r="F7" s="262">
        <f>'Attachment Three'!Q11</f>
        <v>1860</v>
      </c>
      <c r="G7" s="255">
        <f>Bellingham!G$10</f>
        <v>1860</v>
      </c>
    </row>
    <row r="8" spans="1:7">
      <c r="A8" s="144" t="s">
        <v>31</v>
      </c>
      <c r="B8" s="254">
        <f>'Attachment Three'!I12</f>
        <v>1667</v>
      </c>
      <c r="C8" s="255">
        <f>'Big Bend'!C10</f>
        <v>1667</v>
      </c>
      <c r="D8" s="246">
        <f>'Attachment Three'!O12</f>
        <v>42</v>
      </c>
      <c r="E8" s="243">
        <f>'Big Bend'!E10</f>
        <v>42</v>
      </c>
      <c r="F8" s="262">
        <f>'Attachment Three'!Q12</f>
        <v>1709</v>
      </c>
      <c r="G8" s="255">
        <f>'Big Bend'!G10</f>
        <v>1709</v>
      </c>
    </row>
    <row r="9" spans="1:7">
      <c r="A9" s="144" t="s">
        <v>43</v>
      </c>
      <c r="B9" s="254">
        <f>'Attachment Three'!I13</f>
        <v>1481</v>
      </c>
      <c r="C9" s="255">
        <f>Cascadia!C$10</f>
        <v>1481</v>
      </c>
      <c r="D9" s="246">
        <f>'Attachment Three'!O13</f>
        <v>0</v>
      </c>
      <c r="E9" s="243">
        <f>Cascadia!E$10</f>
        <v>0</v>
      </c>
      <c r="F9" s="262">
        <f>'Attachment Three'!Q13</f>
        <v>1481</v>
      </c>
      <c r="G9" s="255">
        <f>Cascadia!G$10</f>
        <v>1481</v>
      </c>
    </row>
    <row r="10" spans="1:7">
      <c r="A10" s="144" t="s">
        <v>25</v>
      </c>
      <c r="B10" s="254">
        <f>'Attachment Three'!I14</f>
        <v>2219</v>
      </c>
      <c r="C10" s="255">
        <f>Centralia!C$10</f>
        <v>2219</v>
      </c>
      <c r="D10" s="246">
        <f>'Attachment Three'!O14</f>
        <v>0</v>
      </c>
      <c r="E10" s="243">
        <f>Centralia!E$10</f>
        <v>0</v>
      </c>
      <c r="F10" s="262">
        <f>'Attachment Three'!Q14</f>
        <v>2219</v>
      </c>
      <c r="G10" s="255">
        <f>Centralia!G$10</f>
        <v>2219</v>
      </c>
    </row>
    <row r="11" spans="1:7">
      <c r="A11" s="144" t="s">
        <v>27</v>
      </c>
      <c r="B11" s="254">
        <f>'Attachment Three'!I15</f>
        <v>6877</v>
      </c>
      <c r="C11" s="255">
        <f>Clark!C$10</f>
        <v>6877</v>
      </c>
      <c r="D11" s="246">
        <f>'Attachment Three'!O15</f>
        <v>40</v>
      </c>
      <c r="E11" s="243">
        <f>Clark!E$10</f>
        <v>40</v>
      </c>
      <c r="F11" s="262">
        <f>'Attachment Three'!Q15</f>
        <v>6917</v>
      </c>
      <c r="G11" s="255">
        <f>Clark!G$10</f>
        <v>6917</v>
      </c>
    </row>
    <row r="12" spans="1:7">
      <c r="A12" s="144" t="s">
        <v>42</v>
      </c>
      <c r="B12" s="254">
        <f>'Attachment Three'!I16</f>
        <v>4168</v>
      </c>
      <c r="C12" s="255">
        <f>'Clover Park'!C10</f>
        <v>4168</v>
      </c>
      <c r="D12" s="246">
        <f>'Attachment Three'!O16</f>
        <v>77</v>
      </c>
      <c r="E12" s="243">
        <f>'Clover Park'!E10</f>
        <v>77</v>
      </c>
      <c r="F12" s="262">
        <f>'Attachment Three'!Q16</f>
        <v>4245</v>
      </c>
      <c r="G12" s="255">
        <f>'Clover Park'!G10</f>
        <v>4245</v>
      </c>
    </row>
    <row r="13" spans="1:7">
      <c r="A13" s="144" t="s">
        <v>32</v>
      </c>
      <c r="B13" s="254">
        <f>'Attachment Three'!I17</f>
        <v>4822</v>
      </c>
      <c r="C13" s="255">
        <f>'Columbia Basin'!C10</f>
        <v>4822</v>
      </c>
      <c r="D13" s="246">
        <f>'Attachment Three'!O17</f>
        <v>0</v>
      </c>
      <c r="E13" s="243">
        <f>'Columbia Basin'!E10</f>
        <v>0</v>
      </c>
      <c r="F13" s="262">
        <f>'Attachment Three'!Q17</f>
        <v>4822</v>
      </c>
      <c r="G13" s="255">
        <f>'Columbia Basin'!G10</f>
        <v>4822</v>
      </c>
    </row>
    <row r="14" spans="1:7">
      <c r="A14" s="144" t="s">
        <v>36</v>
      </c>
      <c r="B14" s="254">
        <f>'Attachment Three'!I18</f>
        <v>5037</v>
      </c>
      <c r="C14" s="255">
        <f>Edmonds!C$10</f>
        <v>5037</v>
      </c>
      <c r="D14" s="246">
        <f>'Attachment Three'!O18</f>
        <v>65</v>
      </c>
      <c r="E14" s="243">
        <f>Edmonds!E$10</f>
        <v>65</v>
      </c>
      <c r="F14" s="262">
        <f>'Attachment Three'!Q18</f>
        <v>5102</v>
      </c>
      <c r="G14" s="255">
        <f>Edmonds!G$10</f>
        <v>5102</v>
      </c>
    </row>
    <row r="15" spans="1:7">
      <c r="A15" s="144" t="s">
        <v>18</v>
      </c>
      <c r="B15" s="254">
        <f>'Attachment Three'!I19</f>
        <v>4839</v>
      </c>
      <c r="C15" s="255">
        <f>Everett!C$10</f>
        <v>4839</v>
      </c>
      <c r="D15" s="246">
        <f>'Attachment Three'!O19</f>
        <v>143</v>
      </c>
      <c r="E15" s="243">
        <f>Everett!E$10</f>
        <v>143</v>
      </c>
      <c r="F15" s="262">
        <f>'Attachment Three'!Q19</f>
        <v>4982</v>
      </c>
      <c r="G15" s="255">
        <f>Everett!G$10</f>
        <v>4982</v>
      </c>
    </row>
    <row r="16" spans="1:7">
      <c r="A16" s="144" t="s">
        <v>15</v>
      </c>
      <c r="B16" s="254">
        <f>'Attachment Three'!I20</f>
        <v>1706</v>
      </c>
      <c r="C16" s="255">
        <f>'Grays Harbor'!C10</f>
        <v>1706</v>
      </c>
      <c r="D16" s="246">
        <f>'Attachment Three'!O20</f>
        <v>0</v>
      </c>
      <c r="E16" s="243">
        <f>'Grays Harbor'!E10</f>
        <v>0</v>
      </c>
      <c r="F16" s="262">
        <f>'Attachment Three'!Q20</f>
        <v>1706</v>
      </c>
      <c r="G16" s="255">
        <f>'Grays Harbor'!G10</f>
        <v>1706</v>
      </c>
    </row>
    <row r="17" spans="1:7">
      <c r="A17" s="144" t="s">
        <v>23</v>
      </c>
      <c r="B17" s="254">
        <f>'Attachment Three'!I21</f>
        <v>5476</v>
      </c>
      <c r="C17" s="255">
        <f>'Green River'!C10</f>
        <v>5476</v>
      </c>
      <c r="D17" s="246">
        <f>'Attachment Three'!O21</f>
        <v>39</v>
      </c>
      <c r="E17" s="243">
        <f>'Green River'!E10</f>
        <v>39</v>
      </c>
      <c r="F17" s="262">
        <f>'Attachment Three'!Q21</f>
        <v>5515</v>
      </c>
      <c r="G17" s="255">
        <f>'Green River'!G10</f>
        <v>5515</v>
      </c>
    </row>
    <row r="18" spans="1:7">
      <c r="A18" s="144" t="s">
        <v>22</v>
      </c>
      <c r="B18" s="254">
        <f>'Attachment Three'!I22</f>
        <v>5900</v>
      </c>
      <c r="C18" s="255">
        <f>Highline!C10</f>
        <v>5900</v>
      </c>
      <c r="D18" s="246">
        <f>'Attachment Three'!O22</f>
        <v>20</v>
      </c>
      <c r="E18" s="243">
        <f>Highline!E10</f>
        <v>20</v>
      </c>
      <c r="F18" s="262">
        <f>'Attachment Three'!Q22</f>
        <v>5920</v>
      </c>
      <c r="G18" s="255">
        <f>Highline!G10</f>
        <v>5920</v>
      </c>
    </row>
    <row r="19" spans="1:7">
      <c r="A19" s="144" t="s">
        <v>39</v>
      </c>
      <c r="B19" s="254">
        <f>'Attachment Three'!I23</f>
        <v>2915</v>
      </c>
      <c r="C19" s="255">
        <f>'Lake WA'!C10</f>
        <v>2915</v>
      </c>
      <c r="D19" s="246">
        <f>'Attachment Three'!O23</f>
        <v>45</v>
      </c>
      <c r="E19" s="243">
        <f>'Lake WA'!E10</f>
        <v>45</v>
      </c>
      <c r="F19" s="262">
        <f>'Attachment Three'!Q23</f>
        <v>2960</v>
      </c>
      <c r="G19" s="255">
        <f>'Lake WA'!G10</f>
        <v>2960</v>
      </c>
    </row>
    <row r="20" spans="1:7">
      <c r="A20" s="144" t="s">
        <v>26</v>
      </c>
      <c r="B20" s="254">
        <f>'Attachment Three'!I24</f>
        <v>2496</v>
      </c>
      <c r="C20" s="255">
        <f>'Lower Columbia'!C10</f>
        <v>2496</v>
      </c>
      <c r="D20" s="246">
        <f>'Attachment Three'!O24</f>
        <v>0</v>
      </c>
      <c r="E20" s="243">
        <f>'Lower Columbia'!E10</f>
        <v>0</v>
      </c>
      <c r="F20" s="262">
        <f>'Attachment Three'!Q24</f>
        <v>2496</v>
      </c>
      <c r="G20" s="255">
        <f>'Lower Columbia'!G10</f>
        <v>2496</v>
      </c>
    </row>
    <row r="21" spans="1:7">
      <c r="A21" s="144" t="s">
        <v>16</v>
      </c>
      <c r="B21" s="254">
        <f>'Attachment Three'!I25</f>
        <v>4764</v>
      </c>
      <c r="C21" s="255">
        <f>Olympic!C10</f>
        <v>4764</v>
      </c>
      <c r="D21" s="246">
        <f>'Attachment Three'!O25</f>
        <v>61</v>
      </c>
      <c r="E21" s="243">
        <f>Olympic!E10</f>
        <v>61</v>
      </c>
      <c r="F21" s="262">
        <f>'Attachment Three'!Q25</f>
        <v>4825</v>
      </c>
      <c r="G21" s="255">
        <f>Olympic!G10</f>
        <v>4825</v>
      </c>
    </row>
    <row r="22" spans="1:7">
      <c r="A22" s="144" t="s">
        <v>14</v>
      </c>
      <c r="B22" s="254">
        <f>'Attachment Three'!I26</f>
        <v>1685</v>
      </c>
      <c r="C22" s="255">
        <f>Peninsula!C10</f>
        <v>1685</v>
      </c>
      <c r="D22" s="246">
        <f>'Attachment Three'!O26</f>
        <v>38</v>
      </c>
      <c r="E22" s="243">
        <f>Peninsula!E10</f>
        <v>38</v>
      </c>
      <c r="F22" s="262">
        <f>'Attachment Three'!Q26</f>
        <v>1723</v>
      </c>
      <c r="G22" s="255">
        <f>Peninsula!G10</f>
        <v>1723</v>
      </c>
    </row>
    <row r="23" spans="1:7">
      <c r="A23" s="144" t="s">
        <v>24</v>
      </c>
      <c r="B23" s="254">
        <f>'Attachment Three'!I27</f>
        <v>5587</v>
      </c>
      <c r="C23" s="255">
        <f>Pierce!C10</f>
        <v>5587</v>
      </c>
      <c r="D23" s="246">
        <f>'Attachment Three'!O27</f>
        <v>0</v>
      </c>
      <c r="E23" s="243">
        <f>Pierce!E10</f>
        <v>0</v>
      </c>
      <c r="F23" s="262">
        <f>'Attachment Three'!Q27</f>
        <v>5587</v>
      </c>
      <c r="G23" s="255">
        <f>Pierce!G10</f>
        <v>5587</v>
      </c>
    </row>
    <row r="24" spans="1:7">
      <c r="A24" s="144" t="s">
        <v>40</v>
      </c>
      <c r="B24" s="254">
        <f>'Attachment Three'!I28</f>
        <v>3783</v>
      </c>
      <c r="C24" s="255">
        <f>Renton!C10</f>
        <v>3783</v>
      </c>
      <c r="D24" s="246">
        <f>'Attachment Three'!O28</f>
        <v>39</v>
      </c>
      <c r="E24" s="243">
        <f>Renton!E10</f>
        <v>39</v>
      </c>
      <c r="F24" s="262">
        <f>'Attachment Three'!Q28</f>
        <v>3822</v>
      </c>
      <c r="G24" s="255">
        <f>Renton!G10</f>
        <v>3822</v>
      </c>
    </row>
    <row r="25" spans="1:7">
      <c r="A25" s="240" t="s">
        <v>19</v>
      </c>
      <c r="B25" s="254">
        <f>'Attachment Three'!I29</f>
        <v>14543</v>
      </c>
      <c r="C25" s="255">
        <f>Seattle!C10</f>
        <v>14543</v>
      </c>
      <c r="D25" s="246">
        <f>'Attachment Three'!O29</f>
        <v>174</v>
      </c>
      <c r="E25" s="243">
        <f>Seattle!E10</f>
        <v>174</v>
      </c>
      <c r="F25" s="262">
        <f>'Attachment Three'!Q29</f>
        <v>14717</v>
      </c>
      <c r="G25" s="255">
        <f>Seattle!G10</f>
        <v>14717</v>
      </c>
    </row>
    <row r="26" spans="1:7">
      <c r="A26" s="144" t="s">
        <v>20</v>
      </c>
      <c r="B26" s="254">
        <f>'Attachment Three'!I30</f>
        <v>5055</v>
      </c>
      <c r="C26" s="255">
        <f>Shoreline!C10</f>
        <v>5055</v>
      </c>
      <c r="D26" s="246">
        <f>'Attachment Three'!O30</f>
        <v>20</v>
      </c>
      <c r="E26" s="243">
        <f>Shoreline!E10</f>
        <v>20</v>
      </c>
      <c r="F26" s="262">
        <f>'Attachment Three'!Q30</f>
        <v>5075</v>
      </c>
      <c r="G26" s="255">
        <f>Shoreline!G10</f>
        <v>5075</v>
      </c>
    </row>
    <row r="27" spans="1:7">
      <c r="A27" s="144" t="s">
        <v>17</v>
      </c>
      <c r="B27" s="254">
        <f>'Attachment Three'!I31</f>
        <v>3802</v>
      </c>
      <c r="C27" s="255">
        <f>Skagit!C10</f>
        <v>3802</v>
      </c>
      <c r="D27" s="246">
        <f>'Attachment Three'!O31</f>
        <v>27</v>
      </c>
      <c r="E27" s="243">
        <f>Skagit!E10</f>
        <v>27</v>
      </c>
      <c r="F27" s="262">
        <f>'Attachment Three'!Q31</f>
        <v>3829</v>
      </c>
      <c r="G27" s="255">
        <f>Skagit!G10</f>
        <v>3829</v>
      </c>
    </row>
    <row r="28" spans="1:7">
      <c r="A28" s="239" t="s">
        <v>37</v>
      </c>
      <c r="B28" s="254">
        <f>'Attachment Three'!I32</f>
        <v>3433</v>
      </c>
      <c r="C28" s="255">
        <f>'So Puget Sound'!C10</f>
        <v>3433</v>
      </c>
      <c r="D28" s="246">
        <f>'Attachment Three'!O32</f>
        <v>15</v>
      </c>
      <c r="E28" s="243">
        <f>'So Puget Sound'!E10</f>
        <v>15</v>
      </c>
      <c r="F28" s="262">
        <f>'Attachment Three'!Q32</f>
        <v>3448</v>
      </c>
      <c r="G28" s="255">
        <f>'So Puget Sound'!G10</f>
        <v>3448</v>
      </c>
    </row>
    <row r="29" spans="1:7">
      <c r="A29" s="240" t="s">
        <v>30</v>
      </c>
      <c r="B29" s="254">
        <f>'Attachment Three'!I33</f>
        <v>13601</v>
      </c>
      <c r="C29" s="255">
        <f>Spokane!C10</f>
        <v>13601</v>
      </c>
      <c r="D29" s="246">
        <f>'Attachment Three'!O33</f>
        <v>40</v>
      </c>
      <c r="E29" s="243">
        <f>Spokane!E10</f>
        <v>40</v>
      </c>
      <c r="F29" s="262">
        <f>'Attachment Three'!Q33</f>
        <v>13641</v>
      </c>
      <c r="G29" s="255">
        <f>Spokane!G10</f>
        <v>13641</v>
      </c>
    </row>
    <row r="30" spans="1:7">
      <c r="A30" s="144" t="s">
        <v>35</v>
      </c>
      <c r="B30" s="254">
        <f>'Attachment Three'!I34</f>
        <v>4477</v>
      </c>
      <c r="C30" s="255">
        <f>Tacoma!C10</f>
        <v>4477</v>
      </c>
      <c r="D30" s="246">
        <f>'Attachment Three'!O34</f>
        <v>25</v>
      </c>
      <c r="E30" s="243">
        <f>Tacoma!E10</f>
        <v>25</v>
      </c>
      <c r="F30" s="262">
        <f>'Attachment Three'!Q34</f>
        <v>4502</v>
      </c>
      <c r="G30" s="255">
        <f>Tacoma!G10</f>
        <v>4502</v>
      </c>
    </row>
    <row r="31" spans="1:7">
      <c r="A31" s="144" t="s">
        <v>33</v>
      </c>
      <c r="B31" s="254">
        <f>'Attachment Three'!I35</f>
        <v>2982</v>
      </c>
      <c r="C31" s="255">
        <f>'Walla Walla'!C10</f>
        <v>2982</v>
      </c>
      <c r="D31" s="246">
        <f>'Attachment Three'!O35</f>
        <v>0</v>
      </c>
      <c r="E31" s="243">
        <f>'Walla Walla'!E10</f>
        <v>0</v>
      </c>
      <c r="F31" s="262">
        <f>'Attachment Three'!Q35</f>
        <v>2982</v>
      </c>
      <c r="G31" s="255">
        <f>'Walla Walla'!G10</f>
        <v>2982</v>
      </c>
    </row>
    <row r="32" spans="1:7">
      <c r="A32" s="144" t="s">
        <v>28</v>
      </c>
      <c r="B32" s="254">
        <f>'Attachment Three'!I36</f>
        <v>2482</v>
      </c>
      <c r="C32" s="255">
        <f>Wenatchee!C10</f>
        <v>2482</v>
      </c>
      <c r="D32" s="246">
        <f>'Attachment Three'!O36</f>
        <v>20</v>
      </c>
      <c r="E32" s="243">
        <f>Wenatchee!E10</f>
        <v>20</v>
      </c>
      <c r="F32" s="262">
        <f>'Attachment Three'!Q36</f>
        <v>2502</v>
      </c>
      <c r="G32" s="255">
        <f>Wenatchee!G10</f>
        <v>2502</v>
      </c>
    </row>
    <row r="33" spans="1:7">
      <c r="A33" s="144" t="s">
        <v>34</v>
      </c>
      <c r="B33" s="254">
        <f>'Attachment Three'!I37</f>
        <v>2414</v>
      </c>
      <c r="C33" s="255">
        <f>Whatcom!C10</f>
        <v>2414</v>
      </c>
      <c r="D33" s="246">
        <f>'Attachment Three'!O37</f>
        <v>0</v>
      </c>
      <c r="E33" s="243">
        <f>Whatcom!E10</f>
        <v>0</v>
      </c>
      <c r="F33" s="262">
        <f>'Attachment Three'!Q37</f>
        <v>2414</v>
      </c>
      <c r="G33" s="255">
        <f>Whatcom!G10</f>
        <v>2414</v>
      </c>
    </row>
    <row r="34" spans="1:7">
      <c r="A34" s="144" t="s">
        <v>29</v>
      </c>
      <c r="B34" s="254">
        <f>'Attachment Three'!I38</f>
        <v>3969</v>
      </c>
      <c r="C34" s="255">
        <f>Yakima!C10</f>
        <v>3969</v>
      </c>
      <c r="D34" s="246">
        <f>'Attachment Three'!O38</f>
        <v>0</v>
      </c>
      <c r="E34" s="243">
        <f>Yakima!E10</f>
        <v>0</v>
      </c>
      <c r="F34" s="262">
        <f>'Attachment Three'!Q38</f>
        <v>3969</v>
      </c>
      <c r="G34" s="255">
        <f>Yakima!G10</f>
        <v>3969</v>
      </c>
    </row>
    <row r="35" spans="1:7">
      <c r="A35" s="144"/>
      <c r="B35" s="254"/>
      <c r="C35" s="255"/>
      <c r="D35" s="246"/>
      <c r="E35" s="244"/>
      <c r="F35" s="262"/>
      <c r="G35" s="263"/>
    </row>
    <row r="36" spans="1:7">
      <c r="A36" s="241" t="s">
        <v>63</v>
      </c>
      <c r="B36" s="256">
        <f t="shared" ref="B36:G36" si="0">SUM(B5:B34)</f>
        <v>135953</v>
      </c>
      <c r="C36" s="257">
        <f t="shared" si="0"/>
        <v>135953</v>
      </c>
      <c r="D36" s="247">
        <f t="shared" si="0"/>
        <v>1069</v>
      </c>
      <c r="E36" s="248">
        <f t="shared" si="0"/>
        <v>1069</v>
      </c>
      <c r="F36" s="264">
        <f t="shared" si="0"/>
        <v>137022</v>
      </c>
      <c r="G36" s="265">
        <f t="shared" si="0"/>
        <v>137022</v>
      </c>
    </row>
    <row r="37" spans="1:7">
      <c r="A37" s="144"/>
      <c r="B37" s="254"/>
      <c r="C37" s="255"/>
      <c r="D37" s="246"/>
      <c r="E37" s="244"/>
      <c r="F37" s="262"/>
      <c r="G37" s="263"/>
    </row>
    <row r="38" spans="1:7">
      <c r="A38" s="144" t="s">
        <v>205</v>
      </c>
      <c r="B38" s="254">
        <f>'Attachment Three'!I40</f>
        <v>464</v>
      </c>
      <c r="C38" s="255">
        <f>'SBCTC Program'!C10</f>
        <v>464</v>
      </c>
      <c r="D38" s="246">
        <f>'Attachment Three'!O40</f>
        <v>0</v>
      </c>
      <c r="E38" s="243">
        <f>'SBCTC Program'!E10</f>
        <v>0</v>
      </c>
      <c r="F38" s="262">
        <f>'Attachment Three'!Q40</f>
        <v>464</v>
      </c>
      <c r="G38" s="255">
        <f>'SBCTC Program'!G10</f>
        <v>464</v>
      </c>
    </row>
    <row r="39" spans="1:7">
      <c r="A39" s="144"/>
      <c r="B39" s="254"/>
      <c r="C39" s="255"/>
      <c r="D39" s="246"/>
      <c r="E39" s="244"/>
      <c r="F39" s="262"/>
      <c r="G39" s="263"/>
    </row>
    <row r="40" spans="1:7">
      <c r="A40" s="241" t="s">
        <v>62</v>
      </c>
      <c r="B40" s="256">
        <f t="shared" ref="B40:G40" si="1">SUM(B36:B38)</f>
        <v>136417</v>
      </c>
      <c r="C40" s="257">
        <f t="shared" si="1"/>
        <v>136417</v>
      </c>
      <c r="D40" s="247">
        <f t="shared" si="1"/>
        <v>1069</v>
      </c>
      <c r="E40" s="248">
        <f t="shared" si="1"/>
        <v>1069</v>
      </c>
      <c r="F40" s="264">
        <f t="shared" si="1"/>
        <v>137486</v>
      </c>
      <c r="G40" s="265">
        <f t="shared" si="1"/>
        <v>137486</v>
      </c>
    </row>
    <row r="41" spans="1:7">
      <c r="A41" s="144"/>
      <c r="B41" s="254"/>
      <c r="C41" s="255"/>
      <c r="D41" s="246"/>
      <c r="E41" s="244"/>
      <c r="F41" s="262"/>
      <c r="G41" s="263"/>
    </row>
    <row r="42" spans="1:7">
      <c r="A42" s="144" t="s">
        <v>152</v>
      </c>
      <c r="B42" s="254">
        <f>'Attachment Three'!I41</f>
        <v>0</v>
      </c>
      <c r="C42" s="255" t="e">
        <f>#REF!</f>
        <v>#REF!</v>
      </c>
      <c r="D42" s="246">
        <f>'Attachment Three'!O41</f>
        <v>2571</v>
      </c>
      <c r="E42" s="243" t="e">
        <f>#REF!</f>
        <v>#REF!</v>
      </c>
      <c r="F42" s="262">
        <f>'Attachment Three'!Q41</f>
        <v>2571</v>
      </c>
      <c r="G42" s="263" t="e">
        <f>#REF!</f>
        <v>#REF!</v>
      </c>
    </row>
    <row r="43" spans="1:7" ht="13.5" thickBot="1">
      <c r="A43" s="242" t="s">
        <v>4</v>
      </c>
      <c r="B43" s="258">
        <f>SUM(B40:B41)</f>
        <v>136417</v>
      </c>
      <c r="C43" s="259" t="e">
        <f>SUM(C40:C42)</f>
        <v>#REF!</v>
      </c>
      <c r="D43" s="249">
        <f>SUM(D40:D41)</f>
        <v>1069</v>
      </c>
      <c r="E43" s="237" t="e">
        <f>SUM(E40:E42)</f>
        <v>#REF!</v>
      </c>
      <c r="F43" s="266">
        <f>SUM(F40:F42)</f>
        <v>140057</v>
      </c>
      <c r="G43" s="267" t="e">
        <f>SUM(G40:G42)</f>
        <v>#REF!</v>
      </c>
    </row>
  </sheetData>
  <mergeCells count="3">
    <mergeCell ref="B1:C2"/>
    <mergeCell ref="D1:E2"/>
    <mergeCell ref="F1:G2"/>
  </mergeCells>
  <conditionalFormatting sqref="C5">
    <cfRule type="cellIs" dxfId="99" priority="9" stopIfTrue="1" operator="notEqual">
      <formula>B5</formula>
    </cfRule>
  </conditionalFormatting>
  <conditionalFormatting sqref="C6:C34">
    <cfRule type="cellIs" dxfId="98" priority="8" stopIfTrue="1" operator="notEqual">
      <formula>B6</formula>
    </cfRule>
  </conditionalFormatting>
  <conditionalFormatting sqref="C38">
    <cfRule type="cellIs" dxfId="97" priority="7" stopIfTrue="1" operator="notEqual">
      <formula>B38</formula>
    </cfRule>
  </conditionalFormatting>
  <conditionalFormatting sqref="G38">
    <cfRule type="cellIs" dxfId="96" priority="1" stopIfTrue="1" operator="notEqual">
      <formula>F38</formula>
    </cfRule>
  </conditionalFormatting>
  <conditionalFormatting sqref="E5">
    <cfRule type="cellIs" dxfId="95" priority="6" stopIfTrue="1" operator="notEqual">
      <formula>D5</formula>
    </cfRule>
  </conditionalFormatting>
  <conditionalFormatting sqref="E6:E34">
    <cfRule type="cellIs" dxfId="94" priority="5" stopIfTrue="1" operator="notEqual">
      <formula>D6</formula>
    </cfRule>
  </conditionalFormatting>
  <conditionalFormatting sqref="G5">
    <cfRule type="cellIs" dxfId="93" priority="4" stopIfTrue="1" operator="notEqual">
      <formula>F5</formula>
    </cfRule>
  </conditionalFormatting>
  <conditionalFormatting sqref="G6:G34">
    <cfRule type="cellIs" dxfId="92" priority="3" stopIfTrue="1" operator="notEqual">
      <formula>F6</formula>
    </cfRule>
  </conditionalFormatting>
  <conditionalFormatting sqref="E38">
    <cfRule type="cellIs" dxfId="91" priority="2" stopIfTrue="1" operator="notEqual">
      <formula>D38</formula>
    </cfRule>
  </conditionalFormatting>
  <pageMargins left="0.75" right="0.75" top="1" bottom="1" header="0.5" footer="0.5"/>
  <pageSetup orientation="portrait" r:id="rId1"/>
  <headerFooter alignWithMargins="0">
    <oddFooter>&amp;L&amp;"Calibri,Regular"&amp;F\&amp;A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D53"/>
  <sheetViews>
    <sheetView topLeftCell="A4" zoomScale="80" zoomScaleNormal="80" workbookViewId="0">
      <pane ySplit="2" topLeftCell="A24" activePane="bottomLeft" state="frozen"/>
      <selection activeCell="M674" sqref="M674"/>
      <selection pane="bottomLeft" activeCell="A42" sqref="A42"/>
    </sheetView>
  </sheetViews>
  <sheetFormatPr defaultColWidth="9.140625" defaultRowHeight="11.25"/>
  <cols>
    <col min="1" max="1" width="21.42578125" style="137" customWidth="1"/>
    <col min="2" max="12" width="16.140625" style="143" customWidth="1"/>
    <col min="13" max="14" width="16.140625" style="137" customWidth="1"/>
    <col min="15" max="15" width="10.5703125" style="137" customWidth="1"/>
    <col min="16" max="17" width="8.85546875" style="137" customWidth="1"/>
    <col min="18" max="18" width="10.5703125" style="137" customWidth="1"/>
    <col min="19" max="19" width="9.42578125" style="137" customWidth="1"/>
    <col min="20" max="20" width="12" style="137" customWidth="1"/>
    <col min="21" max="21" width="9.5703125" style="137" customWidth="1"/>
    <col min="22" max="22" width="10.42578125" style="137" customWidth="1"/>
    <col min="23" max="23" width="11.140625" style="137" bestFit="1" customWidth="1"/>
    <col min="24" max="16384" width="9.140625" style="137"/>
  </cols>
  <sheetData>
    <row r="1" spans="1:30">
      <c r="A1" s="426" t="s">
        <v>7</v>
      </c>
      <c r="B1" s="435" t="s">
        <v>195</v>
      </c>
      <c r="V1" s="143"/>
      <c r="W1" s="143"/>
      <c r="X1" s="143"/>
      <c r="Y1" s="143"/>
      <c r="Z1" s="143"/>
      <c r="AA1" s="143"/>
      <c r="AB1" s="143"/>
      <c r="AC1" s="143"/>
      <c r="AD1" s="143"/>
    </row>
    <row r="2" spans="1:30">
      <c r="A2" s="426" t="s">
        <v>13</v>
      </c>
      <c r="B2" s="435" t="s">
        <v>195</v>
      </c>
      <c r="V2" s="143"/>
      <c r="W2" s="143"/>
      <c r="X2" s="143"/>
      <c r="Y2" s="143"/>
      <c r="Z2" s="143"/>
      <c r="AA2" s="143"/>
      <c r="AB2" s="143"/>
      <c r="AC2" s="143"/>
      <c r="AD2" s="143"/>
    </row>
    <row r="3" spans="1:30" ht="12.75">
      <c r="A3"/>
      <c r="B3" s="148"/>
      <c r="C3" s="148"/>
      <c r="D3" s="148"/>
      <c r="E3" s="148"/>
      <c r="F3" s="148"/>
      <c r="G3" s="148"/>
      <c r="H3" s="148"/>
      <c r="I3" s="148"/>
      <c r="V3" s="148"/>
      <c r="W3" s="148"/>
      <c r="X3" s="148"/>
      <c r="Y3" s="148"/>
      <c r="Z3" s="148"/>
      <c r="AA3" s="148"/>
      <c r="AB3" s="143"/>
      <c r="AC3" s="143"/>
      <c r="AD3" s="143"/>
    </row>
    <row r="4" spans="1:30" ht="51">
      <c r="A4" s="428" t="s">
        <v>194</v>
      </c>
      <c r="B4" s="429" t="s">
        <v>50</v>
      </c>
      <c r="C4" s="441"/>
      <c r="D4" s="441"/>
      <c r="E4" s="441"/>
      <c r="F4" s="441"/>
      <c r="G4" s="441"/>
      <c r="H4" s="441"/>
      <c r="I4" s="441"/>
      <c r="J4" s="441"/>
      <c r="K4" s="441"/>
      <c r="L4" s="441"/>
      <c r="M4" s="441"/>
      <c r="N4" s="441"/>
      <c r="O4" s="442"/>
      <c r="P4"/>
      <c r="Q4"/>
      <c r="R4"/>
      <c r="S4"/>
      <c r="T4" s="402" t="s">
        <v>768</v>
      </c>
      <c r="U4" s="403" t="s">
        <v>769</v>
      </c>
      <c r="V4" s="402" t="s">
        <v>770</v>
      </c>
      <c r="W4"/>
      <c r="X4"/>
      <c r="Y4"/>
      <c r="Z4"/>
      <c r="AA4"/>
      <c r="AB4"/>
      <c r="AC4"/>
      <c r="AD4"/>
    </row>
    <row r="5" spans="1:30" ht="12.75">
      <c r="A5" s="428" t="s">
        <v>12</v>
      </c>
      <c r="B5" s="430" t="s">
        <v>492</v>
      </c>
      <c r="C5" s="436" t="s">
        <v>482</v>
      </c>
      <c r="D5" s="444" t="s">
        <v>196</v>
      </c>
      <c r="E5" s="445" t="s">
        <v>210</v>
      </c>
      <c r="F5" s="436" t="s">
        <v>480</v>
      </c>
      <c r="G5" s="444" t="s">
        <v>264</v>
      </c>
      <c r="H5" s="436" t="s">
        <v>466</v>
      </c>
      <c r="I5" s="436" t="s">
        <v>463</v>
      </c>
      <c r="J5" s="436" t="s">
        <v>489</v>
      </c>
      <c r="K5" s="436" t="s">
        <v>469</v>
      </c>
      <c r="L5" s="436" t="s">
        <v>472</v>
      </c>
      <c r="M5" s="436" t="s">
        <v>475</v>
      </c>
      <c r="N5" s="436" t="s">
        <v>478</v>
      </c>
      <c r="O5" s="431" t="s">
        <v>193</v>
      </c>
      <c r="P5"/>
      <c r="Q5"/>
      <c r="R5"/>
      <c r="S5"/>
      <c r="T5"/>
      <c r="V5"/>
      <c r="W5"/>
      <c r="X5"/>
      <c r="Y5"/>
      <c r="Z5"/>
      <c r="AA5"/>
      <c r="AB5"/>
      <c r="AC5"/>
      <c r="AD5"/>
    </row>
    <row r="6" spans="1:30" ht="12.75">
      <c r="A6" s="430" t="s">
        <v>41</v>
      </c>
      <c r="B6" s="437">
        <v>15889340</v>
      </c>
      <c r="C6" s="390">
        <v>1083391</v>
      </c>
      <c r="D6" s="450">
        <v>1502560</v>
      </c>
      <c r="E6" s="452"/>
      <c r="F6" s="390"/>
      <c r="G6" s="450"/>
      <c r="H6" s="390">
        <v>74340</v>
      </c>
      <c r="I6" s="390"/>
      <c r="J6" s="390"/>
      <c r="K6" s="390"/>
      <c r="L6" s="390"/>
      <c r="M6" s="390"/>
      <c r="N6" s="390"/>
      <c r="O6" s="431">
        <v>18549631</v>
      </c>
      <c r="P6"/>
      <c r="Q6"/>
      <c r="R6"/>
      <c r="S6"/>
      <c r="T6" s="390">
        <f>GETPIVOTDATA("total",$A$4,"NAME","Bates")-GETPIVOTDATA("total",$A$4,"NAME","Bates","Fund &amp; Approp","08A-3E0")-GETPIVOTDATA("total",$A$4,"NAME","Bates","Fund &amp; Approp","060-BA0")-GETPIVOTDATA("total",$A$4,"NAME","Bates","Fund &amp; Approp","08A-430")</f>
        <v>17047071</v>
      </c>
      <c r="U6" s="390">
        <f>GETPIVOTDATA("total",$A$4,"NAME","Bates","Fund &amp; Approp","08A-3E0")+GETPIVOTDATA("total",$A$4,"NAME","Bates","Fund &amp; Approp","08A-430")</f>
        <v>1502560</v>
      </c>
      <c r="V6" s="390">
        <f>GETPIVOTDATA("total",$A$4,"NAME","Bates","Fund &amp; Approp","060-BA0")</f>
        <v>0</v>
      </c>
      <c r="W6" s="390">
        <f>SUM(T6:V6)</f>
        <v>18549631</v>
      </c>
      <c r="X6"/>
      <c r="Y6"/>
      <c r="Z6"/>
      <c r="AA6"/>
      <c r="AB6"/>
      <c r="AC6"/>
      <c r="AD6"/>
    </row>
    <row r="7" spans="1:30" ht="12.75">
      <c r="A7" s="447" t="s">
        <v>21</v>
      </c>
      <c r="B7" s="448">
        <v>25651840</v>
      </c>
      <c r="C7" s="392">
        <v>990159</v>
      </c>
      <c r="D7" s="451">
        <v>2150891</v>
      </c>
      <c r="E7" s="453"/>
      <c r="F7" s="392"/>
      <c r="G7" s="451"/>
      <c r="H7" s="392">
        <v>105857</v>
      </c>
      <c r="I7" s="392"/>
      <c r="J7" s="392"/>
      <c r="K7" s="392"/>
      <c r="L7" s="392">
        <v>750000</v>
      </c>
      <c r="M7" s="392"/>
      <c r="N7" s="392"/>
      <c r="O7" s="449">
        <v>29648747</v>
      </c>
      <c r="P7"/>
      <c r="Q7"/>
      <c r="R7"/>
      <c r="S7"/>
      <c r="T7" s="392">
        <f>GETPIVOTDATA("total",$A$4,"NAME","Bellevue")-GETPIVOTDATA("total",$A$4,"NAME","Bellevue","Fund &amp; Approp","08A-3E0")</f>
        <v>27497856</v>
      </c>
      <c r="U7" s="392">
        <f>GETPIVOTDATA("total",$A$4,"NAME","Bellevue","Fund &amp; Approp","08A-3E0")</f>
        <v>2150891</v>
      </c>
      <c r="V7" s="392"/>
      <c r="W7" s="392"/>
      <c r="X7"/>
      <c r="Y7"/>
      <c r="Z7"/>
      <c r="AA7"/>
      <c r="AB7"/>
      <c r="AC7"/>
      <c r="AD7"/>
    </row>
    <row r="8" spans="1:30" ht="12.75">
      <c r="A8" s="432" t="s">
        <v>38</v>
      </c>
      <c r="B8" s="438">
        <v>9102338</v>
      </c>
      <c r="C8" s="391">
        <v>159547</v>
      </c>
      <c r="D8" s="451">
        <v>934644</v>
      </c>
      <c r="E8" s="453">
        <v>1996296</v>
      </c>
      <c r="F8" s="391"/>
      <c r="G8" s="451"/>
      <c r="H8" s="391">
        <v>36082</v>
      </c>
      <c r="I8" s="391"/>
      <c r="J8" s="391"/>
      <c r="K8" s="391"/>
      <c r="L8" s="391"/>
      <c r="M8" s="391"/>
      <c r="N8" s="391"/>
      <c r="O8" s="433">
        <v>12228907</v>
      </c>
      <c r="P8"/>
      <c r="Q8"/>
      <c r="R8"/>
      <c r="S8"/>
      <c r="T8" s="391"/>
      <c r="U8" s="391"/>
      <c r="V8" s="391"/>
      <c r="W8" s="391"/>
      <c r="X8"/>
      <c r="Y8"/>
      <c r="Z8"/>
      <c r="AA8"/>
      <c r="AB8"/>
      <c r="AC8"/>
      <c r="AD8"/>
    </row>
    <row r="9" spans="1:30" ht="12.75">
      <c r="A9" s="447" t="s">
        <v>31</v>
      </c>
      <c r="B9" s="448">
        <v>8349088</v>
      </c>
      <c r="C9" s="392">
        <v>223114</v>
      </c>
      <c r="D9" s="451">
        <v>821108</v>
      </c>
      <c r="E9" s="453"/>
      <c r="F9" s="392"/>
      <c r="G9" s="451"/>
      <c r="H9" s="392">
        <v>0</v>
      </c>
      <c r="I9" s="392"/>
      <c r="J9" s="392"/>
      <c r="K9" s="392"/>
      <c r="L9" s="392"/>
      <c r="M9" s="392"/>
      <c r="N9" s="392"/>
      <c r="O9" s="449">
        <v>9393310</v>
      </c>
      <c r="P9"/>
      <c r="Q9"/>
      <c r="R9"/>
      <c r="S9"/>
      <c r="T9" s="392"/>
      <c r="U9" s="392"/>
      <c r="V9" s="392"/>
      <c r="W9" s="392"/>
      <c r="X9"/>
      <c r="Y9"/>
      <c r="Z9"/>
      <c r="AA9"/>
      <c r="AB9"/>
      <c r="AC9"/>
      <c r="AD9"/>
    </row>
    <row r="10" spans="1:30" ht="12.75">
      <c r="A10" s="432" t="s">
        <v>43</v>
      </c>
      <c r="B10" s="438">
        <v>7696177</v>
      </c>
      <c r="C10" s="391">
        <v>134120</v>
      </c>
      <c r="D10" s="451">
        <v>1352982</v>
      </c>
      <c r="E10" s="453"/>
      <c r="F10" s="391"/>
      <c r="G10" s="451"/>
      <c r="H10" s="391">
        <v>4116</v>
      </c>
      <c r="I10" s="391"/>
      <c r="J10" s="391"/>
      <c r="K10" s="391"/>
      <c r="L10" s="391"/>
      <c r="M10" s="391"/>
      <c r="N10" s="391"/>
      <c r="O10" s="433">
        <v>9187395</v>
      </c>
      <c r="P10"/>
      <c r="Q10"/>
      <c r="R10"/>
      <c r="S10"/>
      <c r="T10" s="391"/>
      <c r="U10" s="391"/>
      <c r="V10" s="391"/>
      <c r="W10" s="391"/>
      <c r="X10"/>
      <c r="Y10"/>
      <c r="Z10"/>
      <c r="AA10"/>
      <c r="AB10"/>
      <c r="AC10"/>
      <c r="AD10"/>
    </row>
    <row r="11" spans="1:30" ht="12.75">
      <c r="A11" s="447" t="s">
        <v>25</v>
      </c>
      <c r="B11" s="448">
        <v>9283197</v>
      </c>
      <c r="C11" s="392">
        <v>490097</v>
      </c>
      <c r="D11" s="451">
        <v>1153485</v>
      </c>
      <c r="E11" s="453"/>
      <c r="F11" s="392"/>
      <c r="G11" s="451"/>
      <c r="H11" s="392">
        <v>45067</v>
      </c>
      <c r="I11" s="392"/>
      <c r="J11" s="392"/>
      <c r="K11" s="392"/>
      <c r="L11" s="392"/>
      <c r="M11" s="392"/>
      <c r="N11" s="392"/>
      <c r="O11" s="449">
        <v>10971846</v>
      </c>
      <c r="P11"/>
      <c r="Q11"/>
      <c r="R11"/>
      <c r="S11"/>
      <c r="T11" s="392"/>
      <c r="U11" s="392"/>
      <c r="V11" s="392"/>
      <c r="W11" s="392"/>
      <c r="X11"/>
      <c r="Y11"/>
      <c r="Z11"/>
      <c r="AA11"/>
      <c r="AB11"/>
      <c r="AC11"/>
      <c r="AD11"/>
    </row>
    <row r="12" spans="1:30" ht="12.75">
      <c r="A12" s="432" t="s">
        <v>27</v>
      </c>
      <c r="B12" s="438">
        <v>25324558</v>
      </c>
      <c r="C12" s="391">
        <v>532475</v>
      </c>
      <c r="D12" s="451">
        <v>2116638</v>
      </c>
      <c r="E12" s="453"/>
      <c r="F12" s="391"/>
      <c r="G12" s="451"/>
      <c r="H12" s="391">
        <v>12180</v>
      </c>
      <c r="I12" s="391"/>
      <c r="J12" s="391"/>
      <c r="K12" s="391"/>
      <c r="L12" s="391"/>
      <c r="M12" s="391"/>
      <c r="N12" s="391"/>
      <c r="O12" s="433">
        <v>27985851</v>
      </c>
      <c r="P12"/>
      <c r="Q12"/>
      <c r="R12"/>
      <c r="S12"/>
      <c r="T12" s="391"/>
      <c r="U12" s="391"/>
      <c r="V12" s="391"/>
      <c r="W12" s="391"/>
      <c r="X12"/>
      <c r="Y12"/>
      <c r="Z12"/>
      <c r="AA12"/>
      <c r="AB12"/>
      <c r="AC12"/>
      <c r="AD12"/>
    </row>
    <row r="13" spans="1:30" ht="12.75">
      <c r="A13" s="447" t="s">
        <v>42</v>
      </c>
      <c r="B13" s="448">
        <v>16114137</v>
      </c>
      <c r="C13" s="392">
        <v>765555</v>
      </c>
      <c r="D13" s="451">
        <v>1216790</v>
      </c>
      <c r="E13" s="453"/>
      <c r="F13" s="392"/>
      <c r="G13" s="451"/>
      <c r="H13" s="392">
        <v>33382</v>
      </c>
      <c r="I13" s="392"/>
      <c r="J13" s="392"/>
      <c r="K13" s="392"/>
      <c r="L13" s="392"/>
      <c r="M13" s="392"/>
      <c r="N13" s="392"/>
      <c r="O13" s="449">
        <v>18129864</v>
      </c>
      <c r="P13"/>
      <c r="Q13"/>
      <c r="R13"/>
      <c r="S13"/>
      <c r="T13" s="392"/>
      <c r="U13" s="392"/>
      <c r="V13" s="392"/>
      <c r="W13" s="392"/>
      <c r="X13"/>
      <c r="Y13"/>
      <c r="Z13"/>
      <c r="AA13"/>
      <c r="AB13"/>
      <c r="AC13"/>
      <c r="AD13"/>
    </row>
    <row r="14" spans="1:30" ht="12.75">
      <c r="A14" s="432" t="s">
        <v>32</v>
      </c>
      <c r="B14" s="438">
        <v>16695581</v>
      </c>
      <c r="C14" s="391">
        <v>956256</v>
      </c>
      <c r="D14" s="451">
        <v>1588670</v>
      </c>
      <c r="E14" s="453"/>
      <c r="F14" s="391"/>
      <c r="G14" s="451"/>
      <c r="H14" s="391">
        <v>0</v>
      </c>
      <c r="I14" s="391"/>
      <c r="J14" s="391">
        <v>58570</v>
      </c>
      <c r="K14" s="391"/>
      <c r="L14" s="391"/>
      <c r="M14" s="391"/>
      <c r="N14" s="391"/>
      <c r="O14" s="433">
        <v>19299077</v>
      </c>
      <c r="P14"/>
      <c r="Q14"/>
      <c r="R14"/>
      <c r="S14"/>
      <c r="T14" s="391"/>
      <c r="U14" s="391"/>
      <c r="V14" s="391"/>
      <c r="W14" s="391"/>
      <c r="X14"/>
      <c r="Y14"/>
      <c r="Z14"/>
      <c r="AA14"/>
      <c r="AB14"/>
      <c r="AC14"/>
      <c r="AD14"/>
    </row>
    <row r="15" spans="1:30" ht="12.75">
      <c r="A15" s="447" t="s">
        <v>36</v>
      </c>
      <c r="B15" s="448">
        <v>22685723</v>
      </c>
      <c r="C15" s="392">
        <v>765555</v>
      </c>
      <c r="D15" s="451">
        <v>918970</v>
      </c>
      <c r="E15" s="453"/>
      <c r="F15" s="392"/>
      <c r="G15" s="451"/>
      <c r="H15" s="392">
        <v>20212</v>
      </c>
      <c r="I15" s="392"/>
      <c r="J15" s="392">
        <v>58570</v>
      </c>
      <c r="K15" s="392">
        <v>1080000</v>
      </c>
      <c r="L15" s="392"/>
      <c r="M15" s="392"/>
      <c r="N15" s="392"/>
      <c r="O15" s="449">
        <v>25529030</v>
      </c>
      <c r="P15"/>
      <c r="Q15"/>
      <c r="R15"/>
      <c r="S15"/>
      <c r="T15" s="392"/>
      <c r="U15" s="392"/>
      <c r="V15" s="392"/>
      <c r="W15" s="392"/>
      <c r="X15"/>
      <c r="Y15"/>
      <c r="Z15"/>
      <c r="AA15"/>
      <c r="AB15"/>
      <c r="AC15"/>
      <c r="AD15"/>
    </row>
    <row r="16" spans="1:30" ht="12.75">
      <c r="A16" s="432" t="s">
        <v>18</v>
      </c>
      <c r="B16" s="438">
        <v>19076105</v>
      </c>
      <c r="C16" s="391">
        <v>528237</v>
      </c>
      <c r="D16" s="451">
        <v>2812383</v>
      </c>
      <c r="E16" s="453"/>
      <c r="F16" s="391">
        <v>100000</v>
      </c>
      <c r="G16" s="451"/>
      <c r="H16" s="391">
        <v>0</v>
      </c>
      <c r="I16" s="391"/>
      <c r="J16" s="391"/>
      <c r="K16" s="391"/>
      <c r="L16" s="391"/>
      <c r="M16" s="391"/>
      <c r="N16" s="391"/>
      <c r="O16" s="433">
        <v>22516725</v>
      </c>
      <c r="P16"/>
      <c r="Q16"/>
      <c r="R16"/>
      <c r="S16"/>
      <c r="T16" s="391"/>
      <c r="U16" s="391"/>
      <c r="V16" s="391"/>
      <c r="W16" s="391"/>
      <c r="X16"/>
      <c r="Y16"/>
      <c r="Z16"/>
      <c r="AA16"/>
      <c r="AB16"/>
      <c r="AC16"/>
      <c r="AD16"/>
    </row>
    <row r="17" spans="1:30" ht="12.75">
      <c r="A17" s="447" t="s">
        <v>15</v>
      </c>
      <c r="B17" s="448">
        <v>7520326</v>
      </c>
      <c r="C17" s="392">
        <v>672323</v>
      </c>
      <c r="D17" s="451">
        <v>710486</v>
      </c>
      <c r="E17" s="453"/>
      <c r="F17" s="392"/>
      <c r="G17" s="451"/>
      <c r="H17" s="392">
        <v>0</v>
      </c>
      <c r="I17" s="392"/>
      <c r="J17" s="392"/>
      <c r="K17" s="392"/>
      <c r="L17" s="392"/>
      <c r="M17" s="392"/>
      <c r="N17" s="392"/>
      <c r="O17" s="449">
        <v>8903135</v>
      </c>
      <c r="P17"/>
      <c r="Q17"/>
      <c r="R17"/>
      <c r="S17"/>
      <c r="T17" s="392"/>
      <c r="U17" s="392"/>
      <c r="V17" s="392"/>
      <c r="W17" s="392"/>
      <c r="X17"/>
      <c r="Y17"/>
      <c r="Z17"/>
      <c r="AA17"/>
      <c r="AB17"/>
      <c r="AC17"/>
      <c r="AD17"/>
    </row>
    <row r="18" spans="1:30" ht="12.75">
      <c r="A18" s="432" t="s">
        <v>23</v>
      </c>
      <c r="B18" s="438">
        <v>21263419</v>
      </c>
      <c r="C18" s="391">
        <v>1142720</v>
      </c>
      <c r="D18" s="451">
        <v>1303346</v>
      </c>
      <c r="E18" s="453">
        <v>2020580</v>
      </c>
      <c r="F18" s="391"/>
      <c r="G18" s="451"/>
      <c r="H18" s="391">
        <v>0</v>
      </c>
      <c r="I18" s="391"/>
      <c r="J18" s="391"/>
      <c r="K18" s="391"/>
      <c r="L18" s="391"/>
      <c r="M18" s="391"/>
      <c r="N18" s="391"/>
      <c r="O18" s="433">
        <v>25730065</v>
      </c>
      <c r="P18"/>
      <c r="Q18"/>
      <c r="R18"/>
      <c r="S18"/>
      <c r="T18" s="391"/>
      <c r="U18" s="391"/>
      <c r="V18" s="391"/>
      <c r="W18" s="391"/>
      <c r="X18"/>
      <c r="Y18"/>
      <c r="Z18"/>
      <c r="AA18"/>
      <c r="AB18"/>
      <c r="AC18"/>
      <c r="AD18"/>
    </row>
    <row r="19" spans="1:30" ht="12.75">
      <c r="A19" s="447" t="s">
        <v>22</v>
      </c>
      <c r="B19" s="448">
        <v>20510198</v>
      </c>
      <c r="C19" s="392">
        <v>875738</v>
      </c>
      <c r="D19" s="451">
        <v>1168417</v>
      </c>
      <c r="E19" s="453"/>
      <c r="F19" s="392"/>
      <c r="G19" s="451"/>
      <c r="H19" s="392">
        <v>0</v>
      </c>
      <c r="I19" s="392"/>
      <c r="J19" s="392">
        <v>58570</v>
      </c>
      <c r="K19" s="392"/>
      <c r="L19" s="392"/>
      <c r="M19" s="392"/>
      <c r="N19" s="392"/>
      <c r="O19" s="449">
        <v>22612923</v>
      </c>
      <c r="P19"/>
      <c r="Q19"/>
      <c r="R19"/>
      <c r="S19"/>
      <c r="T19" s="392"/>
      <c r="U19" s="392"/>
      <c r="V19" s="392"/>
      <c r="W19" s="392"/>
      <c r="X19"/>
      <c r="Y19"/>
      <c r="Z19"/>
      <c r="AA19"/>
      <c r="AB19"/>
      <c r="AC19"/>
      <c r="AD19"/>
    </row>
    <row r="20" spans="1:30" ht="12.75">
      <c r="A20" s="432" t="s">
        <v>39</v>
      </c>
      <c r="B20" s="438">
        <v>11502986</v>
      </c>
      <c r="C20" s="391">
        <v>498572</v>
      </c>
      <c r="D20" s="451">
        <v>1472287</v>
      </c>
      <c r="E20" s="453"/>
      <c r="F20" s="391"/>
      <c r="G20" s="451"/>
      <c r="H20" s="391">
        <v>0</v>
      </c>
      <c r="I20" s="391"/>
      <c r="J20" s="391"/>
      <c r="K20" s="391"/>
      <c r="L20" s="391"/>
      <c r="M20" s="391"/>
      <c r="N20" s="391"/>
      <c r="O20" s="433">
        <v>13473845</v>
      </c>
      <c r="P20"/>
      <c r="Q20"/>
      <c r="R20"/>
      <c r="S20"/>
      <c r="T20" s="391"/>
      <c r="U20" s="391"/>
      <c r="V20" s="391"/>
      <c r="W20" s="391"/>
      <c r="X20"/>
      <c r="Y20"/>
      <c r="Z20"/>
      <c r="AA20"/>
      <c r="AB20"/>
      <c r="AC20"/>
      <c r="AD20"/>
    </row>
    <row r="21" spans="1:30" ht="12.75">
      <c r="A21" s="447" t="s">
        <v>26</v>
      </c>
      <c r="B21" s="448">
        <v>10684525</v>
      </c>
      <c r="C21" s="392">
        <v>206163</v>
      </c>
      <c r="D21" s="451">
        <v>1065118</v>
      </c>
      <c r="E21" s="453">
        <v>2406175</v>
      </c>
      <c r="F21" s="392"/>
      <c r="G21" s="451"/>
      <c r="H21" s="392">
        <v>0</v>
      </c>
      <c r="I21" s="392"/>
      <c r="J21" s="392"/>
      <c r="K21" s="392"/>
      <c r="L21" s="392"/>
      <c r="M21" s="392"/>
      <c r="N21" s="392"/>
      <c r="O21" s="449">
        <v>14361981</v>
      </c>
      <c r="P21"/>
      <c r="Q21"/>
      <c r="R21"/>
      <c r="S21"/>
      <c r="T21" s="392"/>
      <c r="U21" s="392"/>
      <c r="V21" s="392"/>
      <c r="W21" s="392"/>
      <c r="X21"/>
      <c r="Y21"/>
      <c r="Z21"/>
      <c r="AA21"/>
      <c r="AB21"/>
      <c r="AC21"/>
      <c r="AD21"/>
    </row>
    <row r="22" spans="1:30" ht="12.75">
      <c r="A22" s="432" t="s">
        <v>16</v>
      </c>
      <c r="B22" s="438">
        <v>17140204</v>
      </c>
      <c r="C22" s="391">
        <v>748603</v>
      </c>
      <c r="D22" s="451">
        <v>1819396</v>
      </c>
      <c r="E22" s="453"/>
      <c r="F22" s="391"/>
      <c r="G22" s="451"/>
      <c r="H22" s="391">
        <v>0</v>
      </c>
      <c r="I22" s="391"/>
      <c r="J22" s="391">
        <v>58570</v>
      </c>
      <c r="K22" s="391"/>
      <c r="L22" s="391"/>
      <c r="M22" s="391"/>
      <c r="N22" s="391"/>
      <c r="O22" s="433">
        <v>19766773</v>
      </c>
      <c r="P22"/>
      <c r="Q22"/>
      <c r="R22"/>
      <c r="S22"/>
      <c r="T22" s="391"/>
      <c r="U22" s="391"/>
      <c r="V22" s="391"/>
      <c r="W22" s="391"/>
      <c r="X22"/>
      <c r="Y22"/>
      <c r="Z22"/>
      <c r="AA22"/>
      <c r="AB22"/>
      <c r="AC22"/>
      <c r="AD22"/>
    </row>
    <row r="23" spans="1:30" ht="12.75">
      <c r="A23" s="447" t="s">
        <v>14</v>
      </c>
      <c r="B23" s="438">
        <v>9231164</v>
      </c>
      <c r="C23" s="391">
        <v>655371</v>
      </c>
      <c r="D23" s="451">
        <v>477819</v>
      </c>
      <c r="E23" s="453"/>
      <c r="F23" s="391"/>
      <c r="G23" s="451"/>
      <c r="H23" s="391">
        <v>0</v>
      </c>
      <c r="I23" s="391"/>
      <c r="J23" s="391"/>
      <c r="K23" s="391"/>
      <c r="L23" s="391"/>
      <c r="M23" s="391"/>
      <c r="N23" s="391"/>
      <c r="O23" s="433">
        <v>10364354</v>
      </c>
      <c r="P23"/>
      <c r="Q23"/>
      <c r="R23"/>
      <c r="S23"/>
      <c r="T23" s="392"/>
      <c r="U23" s="392"/>
      <c r="V23" s="392"/>
      <c r="W23" s="392"/>
      <c r="X23"/>
      <c r="Y23"/>
      <c r="Z23"/>
      <c r="AA23"/>
      <c r="AB23"/>
      <c r="AC23"/>
      <c r="AD23"/>
    </row>
    <row r="24" spans="1:30" ht="12.75">
      <c r="A24" s="432" t="s">
        <v>24</v>
      </c>
      <c r="B24" s="438">
        <v>21013243</v>
      </c>
      <c r="C24" s="391">
        <v>738638</v>
      </c>
      <c r="D24" s="451">
        <v>2527421</v>
      </c>
      <c r="E24" s="453"/>
      <c r="F24" s="391"/>
      <c r="G24" s="451"/>
      <c r="H24" s="391">
        <v>66425</v>
      </c>
      <c r="I24" s="391"/>
      <c r="J24" s="391"/>
      <c r="K24" s="391"/>
      <c r="L24" s="391"/>
      <c r="M24" s="391"/>
      <c r="N24" s="391"/>
      <c r="O24" s="433">
        <v>24345727</v>
      </c>
      <c r="P24"/>
      <c r="Q24"/>
      <c r="R24"/>
      <c r="S24"/>
      <c r="T24" s="391"/>
      <c r="U24" s="391"/>
      <c r="V24" s="391"/>
      <c r="W24" s="391"/>
      <c r="X24"/>
      <c r="Y24"/>
      <c r="Z24"/>
      <c r="AA24"/>
      <c r="AB24"/>
      <c r="AC24"/>
      <c r="AD24"/>
    </row>
    <row r="25" spans="1:30" ht="12.75">
      <c r="A25" s="447" t="s">
        <v>40</v>
      </c>
      <c r="B25" s="448">
        <v>13434337</v>
      </c>
      <c r="C25" s="392">
        <v>837597</v>
      </c>
      <c r="D25" s="451">
        <v>1507446</v>
      </c>
      <c r="E25" s="453"/>
      <c r="F25" s="392"/>
      <c r="G25" s="451"/>
      <c r="H25" s="392">
        <v>0</v>
      </c>
      <c r="I25" s="392"/>
      <c r="J25" s="392"/>
      <c r="K25" s="392"/>
      <c r="L25" s="392"/>
      <c r="M25" s="392"/>
      <c r="N25" s="392"/>
      <c r="O25" s="449">
        <v>15779380</v>
      </c>
      <c r="P25"/>
      <c r="Q25"/>
      <c r="R25"/>
      <c r="S25"/>
      <c r="T25" s="392"/>
      <c r="U25" s="392"/>
      <c r="V25" s="392"/>
      <c r="W25" s="392"/>
      <c r="X25"/>
      <c r="Y25"/>
      <c r="Z25"/>
      <c r="AA25"/>
      <c r="AB25"/>
      <c r="AC25"/>
      <c r="AD25"/>
    </row>
    <row r="26" spans="1:30" ht="12.75">
      <c r="A26" s="432" t="s">
        <v>19</v>
      </c>
      <c r="B26" s="438">
        <v>59518819</v>
      </c>
      <c r="C26" s="391">
        <v>2525506</v>
      </c>
      <c r="D26" s="451">
        <v>1195761</v>
      </c>
      <c r="E26" s="453"/>
      <c r="F26" s="391"/>
      <c r="G26" s="451"/>
      <c r="H26" s="391">
        <v>0</v>
      </c>
      <c r="I26" s="391"/>
      <c r="J26" s="391">
        <v>58570</v>
      </c>
      <c r="K26" s="391"/>
      <c r="L26" s="391"/>
      <c r="M26" s="391">
        <v>425000</v>
      </c>
      <c r="N26" s="391"/>
      <c r="O26" s="433">
        <v>63723656</v>
      </c>
      <c r="P26"/>
      <c r="Q26"/>
      <c r="R26"/>
      <c r="S26"/>
      <c r="T26" s="391"/>
      <c r="U26" s="391"/>
      <c r="V26" s="391"/>
      <c r="W26" s="391"/>
      <c r="X26"/>
      <c r="Y26"/>
      <c r="Z26"/>
      <c r="AA26"/>
      <c r="AB26"/>
      <c r="AC26"/>
      <c r="AD26"/>
    </row>
    <row r="27" spans="1:30" ht="12.75">
      <c r="A27" s="447" t="s">
        <v>20</v>
      </c>
      <c r="B27" s="448">
        <v>18941274</v>
      </c>
      <c r="C27" s="392">
        <v>634182</v>
      </c>
      <c r="D27" s="451">
        <v>459488</v>
      </c>
      <c r="E27" s="453"/>
      <c r="F27" s="392"/>
      <c r="G27" s="451"/>
      <c r="H27" s="392">
        <v>0</v>
      </c>
      <c r="I27" s="392"/>
      <c r="J27" s="392"/>
      <c r="K27" s="392"/>
      <c r="L27" s="392"/>
      <c r="M27" s="392"/>
      <c r="N27" s="392"/>
      <c r="O27" s="449">
        <v>20034944</v>
      </c>
      <c r="P27"/>
      <c r="Q27"/>
      <c r="R27"/>
      <c r="S27"/>
      <c r="T27" s="392"/>
      <c r="U27" s="392"/>
      <c r="V27" s="392"/>
      <c r="W27" s="392"/>
      <c r="X27"/>
      <c r="Y27"/>
      <c r="Z27"/>
      <c r="AA27"/>
      <c r="AB27"/>
      <c r="AC27"/>
      <c r="AD27"/>
    </row>
    <row r="28" spans="1:30" ht="12.75">
      <c r="A28" s="432" t="s">
        <v>17</v>
      </c>
      <c r="B28" s="438">
        <v>15124063</v>
      </c>
      <c r="C28" s="391">
        <v>447718</v>
      </c>
      <c r="D28" s="451">
        <v>1621555</v>
      </c>
      <c r="E28" s="453">
        <v>1963325</v>
      </c>
      <c r="F28" s="391"/>
      <c r="G28" s="451"/>
      <c r="H28" s="391">
        <v>0</v>
      </c>
      <c r="I28" s="391"/>
      <c r="J28" s="391"/>
      <c r="K28" s="391"/>
      <c r="L28" s="391"/>
      <c r="M28" s="391"/>
      <c r="N28" s="391"/>
      <c r="O28" s="433">
        <v>19156661</v>
      </c>
      <c r="P28"/>
      <c r="Q28"/>
      <c r="R28"/>
      <c r="S28"/>
      <c r="T28" s="391"/>
      <c r="U28" s="391"/>
      <c r="V28" s="391"/>
      <c r="W28" s="391"/>
      <c r="X28"/>
      <c r="Y28"/>
      <c r="Z28"/>
      <c r="AA28"/>
      <c r="AB28"/>
      <c r="AC28"/>
      <c r="AD28"/>
    </row>
    <row r="29" spans="1:30" ht="12.75">
      <c r="A29" s="447" t="s">
        <v>37</v>
      </c>
      <c r="B29" s="448">
        <v>13938763</v>
      </c>
      <c r="C29" s="392">
        <v>320584</v>
      </c>
      <c r="D29" s="451">
        <v>1140194</v>
      </c>
      <c r="E29" s="453"/>
      <c r="F29" s="392"/>
      <c r="G29" s="451"/>
      <c r="H29" s="392">
        <v>0</v>
      </c>
      <c r="I29" s="392"/>
      <c r="J29" s="392"/>
      <c r="K29" s="392"/>
      <c r="L29" s="392"/>
      <c r="M29" s="392"/>
      <c r="N29" s="392"/>
      <c r="O29" s="449">
        <v>15399541</v>
      </c>
      <c r="P29"/>
      <c r="Q29"/>
      <c r="R29"/>
      <c r="S29"/>
      <c r="T29" s="392"/>
      <c r="U29" s="392"/>
      <c r="V29" s="392"/>
      <c r="W29" s="392"/>
      <c r="X29"/>
      <c r="Y29"/>
      <c r="Z29"/>
      <c r="AA29"/>
      <c r="AB29"/>
      <c r="AC29"/>
      <c r="AD29"/>
    </row>
    <row r="30" spans="1:30" ht="12.75">
      <c r="A30" s="432" t="s">
        <v>30</v>
      </c>
      <c r="B30" s="438">
        <v>49007316</v>
      </c>
      <c r="C30" s="391">
        <v>980193</v>
      </c>
      <c r="D30" s="451">
        <v>3242870</v>
      </c>
      <c r="E30" s="453"/>
      <c r="F30" s="391"/>
      <c r="G30" s="451"/>
      <c r="H30" s="391">
        <v>132698</v>
      </c>
      <c r="I30" s="391"/>
      <c r="J30" s="391"/>
      <c r="K30" s="391"/>
      <c r="L30" s="391"/>
      <c r="M30" s="391"/>
      <c r="N30" s="391"/>
      <c r="O30" s="433">
        <v>53363077</v>
      </c>
      <c r="P30"/>
      <c r="Q30"/>
      <c r="R30"/>
      <c r="S30"/>
      <c r="T30" s="391"/>
      <c r="U30" s="391"/>
      <c r="V30" s="391"/>
      <c r="W30" s="391"/>
      <c r="X30"/>
      <c r="Y30"/>
      <c r="Z30"/>
      <c r="AA30"/>
      <c r="AB30"/>
      <c r="AC30"/>
      <c r="AD30"/>
    </row>
    <row r="31" spans="1:30" ht="12.75">
      <c r="A31" s="447" t="s">
        <v>35</v>
      </c>
      <c r="B31" s="448">
        <v>17235950</v>
      </c>
      <c r="C31" s="392">
        <v>829122</v>
      </c>
      <c r="D31" s="451">
        <v>1640578</v>
      </c>
      <c r="E31" s="453"/>
      <c r="F31" s="392"/>
      <c r="G31" s="451"/>
      <c r="H31" s="392">
        <v>0</v>
      </c>
      <c r="I31" s="392"/>
      <c r="J31" s="392"/>
      <c r="K31" s="392"/>
      <c r="L31" s="392"/>
      <c r="M31" s="392"/>
      <c r="N31" s="392"/>
      <c r="O31" s="449">
        <v>19705650</v>
      </c>
      <c r="P31"/>
      <c r="Q31"/>
      <c r="R31"/>
      <c r="S31"/>
      <c r="T31" s="392"/>
      <c r="U31" s="392"/>
      <c r="V31" s="392"/>
      <c r="W31" s="392"/>
      <c r="X31"/>
      <c r="Y31"/>
      <c r="Z31"/>
      <c r="AA31"/>
      <c r="AB31"/>
      <c r="AC31"/>
      <c r="AD31"/>
    </row>
    <row r="32" spans="1:30" ht="12.75">
      <c r="A32" s="432" t="s">
        <v>33</v>
      </c>
      <c r="B32" s="438">
        <v>13405368</v>
      </c>
      <c r="C32" s="391">
        <v>1096104</v>
      </c>
      <c r="D32" s="451">
        <v>699358</v>
      </c>
      <c r="E32" s="453"/>
      <c r="F32" s="391"/>
      <c r="G32" s="451"/>
      <c r="H32" s="391">
        <v>0</v>
      </c>
      <c r="I32" s="391"/>
      <c r="J32" s="391"/>
      <c r="K32" s="391"/>
      <c r="L32" s="391"/>
      <c r="M32" s="391"/>
      <c r="N32" s="391"/>
      <c r="O32" s="433">
        <v>15200830</v>
      </c>
      <c r="P32"/>
      <c r="Q32"/>
      <c r="R32"/>
      <c r="S32"/>
      <c r="T32" s="391"/>
      <c r="U32" s="391"/>
      <c r="V32" s="391"/>
      <c r="W32" s="391"/>
      <c r="X32"/>
      <c r="Y32"/>
      <c r="Z32"/>
      <c r="AA32"/>
      <c r="AB32"/>
      <c r="AC32"/>
      <c r="AD32"/>
    </row>
    <row r="33" spans="1:30" s="336" customFormat="1" ht="12.75">
      <c r="A33" s="447" t="s">
        <v>28</v>
      </c>
      <c r="B33" s="448">
        <v>10184290</v>
      </c>
      <c r="C33" s="392">
        <v>477383</v>
      </c>
      <c r="D33" s="451">
        <v>1322513</v>
      </c>
      <c r="E33" s="453"/>
      <c r="F33" s="392"/>
      <c r="G33" s="451"/>
      <c r="H33" s="392">
        <v>13132</v>
      </c>
      <c r="I33" s="392"/>
      <c r="J33" s="392"/>
      <c r="K33" s="392"/>
      <c r="L33" s="392"/>
      <c r="M33" s="392"/>
      <c r="N33" s="392"/>
      <c r="O33" s="449">
        <v>11997318</v>
      </c>
      <c r="P33"/>
      <c r="Q33"/>
      <c r="R33"/>
      <c r="S33"/>
      <c r="T33" s="392"/>
      <c r="U33" s="392"/>
      <c r="V33" s="392"/>
      <c r="W33" s="392"/>
      <c r="X33" s="335"/>
      <c r="Y33" s="335"/>
      <c r="Z33" s="335"/>
      <c r="AA33" s="335"/>
      <c r="AB33" s="335"/>
      <c r="AC33" s="335"/>
      <c r="AD33" s="335"/>
    </row>
    <row r="34" spans="1:30" ht="12.75">
      <c r="A34" s="432" t="s">
        <v>34</v>
      </c>
      <c r="B34" s="438">
        <v>9857262</v>
      </c>
      <c r="C34" s="391">
        <v>168023</v>
      </c>
      <c r="D34" s="451">
        <v>1163276</v>
      </c>
      <c r="E34" s="453"/>
      <c r="F34" s="391"/>
      <c r="G34" s="451"/>
      <c r="H34" s="391">
        <v>10171</v>
      </c>
      <c r="I34" s="391"/>
      <c r="J34" s="391"/>
      <c r="K34" s="391"/>
      <c r="L34" s="391"/>
      <c r="M34" s="391"/>
      <c r="N34" s="391"/>
      <c r="O34" s="433">
        <v>11198732</v>
      </c>
      <c r="P34"/>
      <c r="Q34"/>
      <c r="R34"/>
      <c r="S34"/>
      <c r="T34" s="391"/>
      <c r="U34" s="391"/>
      <c r="V34" s="391"/>
      <c r="W34" s="391"/>
      <c r="X34"/>
      <c r="Y34"/>
      <c r="Z34"/>
      <c r="AA34"/>
      <c r="AB34"/>
      <c r="AC34"/>
      <c r="AD34"/>
    </row>
    <row r="35" spans="1:30" ht="12.75">
      <c r="A35" s="447" t="s">
        <v>29</v>
      </c>
      <c r="B35" s="448">
        <v>16038298</v>
      </c>
      <c r="C35" s="392">
        <v>341771</v>
      </c>
      <c r="D35" s="451">
        <v>1202902</v>
      </c>
      <c r="E35" s="453"/>
      <c r="F35" s="392"/>
      <c r="G35" s="451"/>
      <c r="H35" s="392">
        <v>11712</v>
      </c>
      <c r="I35" s="392"/>
      <c r="J35" s="392">
        <v>58570</v>
      </c>
      <c r="K35" s="392"/>
      <c r="L35" s="392"/>
      <c r="M35" s="392"/>
      <c r="N35" s="392"/>
      <c r="O35" s="449">
        <v>17653253</v>
      </c>
      <c r="P35"/>
      <c r="Q35"/>
      <c r="R35"/>
      <c r="S35"/>
      <c r="T35" s="392"/>
      <c r="U35" s="392"/>
      <c r="V35" s="392"/>
      <c r="W35" s="392"/>
      <c r="X35"/>
      <c r="Y35"/>
      <c r="Z35"/>
      <c r="AA35"/>
      <c r="AB35"/>
      <c r="AC35"/>
      <c r="AD35"/>
    </row>
    <row r="36" spans="1:30" ht="12.75">
      <c r="A36" s="432" t="s">
        <v>204</v>
      </c>
      <c r="B36" s="438">
        <v>16461328</v>
      </c>
      <c r="C36" s="391"/>
      <c r="D36" s="451">
        <v>118300</v>
      </c>
      <c r="E36" s="453"/>
      <c r="F36" s="391"/>
      <c r="G36" s="451">
        <v>55000</v>
      </c>
      <c r="H36" s="391"/>
      <c r="I36" s="391"/>
      <c r="J36" s="391"/>
      <c r="K36" s="391"/>
      <c r="L36" s="391"/>
      <c r="M36" s="391"/>
      <c r="N36" s="391"/>
      <c r="O36" s="433">
        <v>16634628</v>
      </c>
      <c r="P36"/>
      <c r="Q36"/>
      <c r="R36"/>
      <c r="S36"/>
      <c r="T36" s="391"/>
      <c r="U36" s="391"/>
      <c r="V36" s="391"/>
      <c r="W36" s="391"/>
      <c r="X36"/>
      <c r="Y36"/>
      <c r="Z36"/>
      <c r="AA36"/>
      <c r="AB36"/>
      <c r="AC36"/>
      <c r="AD36"/>
    </row>
    <row r="37" spans="1:30" ht="12.75">
      <c r="A37" s="447" t="s">
        <v>205</v>
      </c>
      <c r="B37" s="448">
        <v>2391960</v>
      </c>
      <c r="C37" s="392"/>
      <c r="D37" s="451">
        <v>700000</v>
      </c>
      <c r="E37" s="453"/>
      <c r="F37" s="392"/>
      <c r="G37" s="451">
        <v>2670000</v>
      </c>
      <c r="H37" s="392"/>
      <c r="I37" s="392"/>
      <c r="J37" s="392">
        <v>58580</v>
      </c>
      <c r="K37" s="392"/>
      <c r="L37" s="392"/>
      <c r="M37" s="392"/>
      <c r="N37" s="392"/>
      <c r="O37" s="449">
        <v>5820540</v>
      </c>
      <c r="P37"/>
      <c r="Q37"/>
      <c r="R37"/>
      <c r="S37"/>
      <c r="T37" s="392"/>
      <c r="U37" s="392"/>
      <c r="V37" s="392"/>
      <c r="W37" s="392"/>
      <c r="X37"/>
      <c r="Y37"/>
      <c r="Z37"/>
      <c r="AA37"/>
      <c r="AB37"/>
      <c r="AC37"/>
      <c r="AD37"/>
    </row>
    <row r="38" spans="1:30" ht="12.75">
      <c r="A38" s="432" t="s">
        <v>181</v>
      </c>
      <c r="B38" s="438">
        <v>17925823</v>
      </c>
      <c r="C38" s="391">
        <v>12436183</v>
      </c>
      <c r="D38" s="451">
        <v>2109348</v>
      </c>
      <c r="E38" s="453">
        <v>387624</v>
      </c>
      <c r="F38" s="391"/>
      <c r="G38" s="451"/>
      <c r="H38" s="391">
        <v>4684626</v>
      </c>
      <c r="I38" s="391">
        <v>16672000</v>
      </c>
      <c r="J38" s="391"/>
      <c r="K38" s="391"/>
      <c r="L38" s="391"/>
      <c r="M38" s="391"/>
      <c r="N38" s="391">
        <v>150000</v>
      </c>
      <c r="O38" s="433">
        <v>54365604</v>
      </c>
      <c r="P38"/>
      <c r="Q38"/>
      <c r="R38"/>
      <c r="S38"/>
      <c r="T38" s="391"/>
      <c r="U38" s="391"/>
      <c r="V38" s="391"/>
      <c r="W38" s="391"/>
      <c r="X38"/>
      <c r="Y38"/>
      <c r="Z38"/>
      <c r="AA38"/>
      <c r="AB38"/>
      <c r="AC38"/>
      <c r="AD38"/>
    </row>
    <row r="39" spans="1:30" ht="12.75">
      <c r="A39" s="434" t="s">
        <v>193</v>
      </c>
      <c r="B39" s="439">
        <v>568199000</v>
      </c>
      <c r="C39" s="440">
        <v>33261000</v>
      </c>
      <c r="D39" s="443">
        <v>45237000</v>
      </c>
      <c r="E39" s="446">
        <v>8774000</v>
      </c>
      <c r="F39" s="440">
        <v>100000</v>
      </c>
      <c r="G39" s="443">
        <v>2725000</v>
      </c>
      <c r="H39" s="440">
        <v>5250000</v>
      </c>
      <c r="I39" s="440">
        <v>16672000</v>
      </c>
      <c r="J39" s="440">
        <v>410000</v>
      </c>
      <c r="K39" s="440">
        <v>1080000</v>
      </c>
      <c r="L39" s="440">
        <v>750000</v>
      </c>
      <c r="M39" s="440">
        <v>425000</v>
      </c>
      <c r="N39" s="440">
        <v>150000</v>
      </c>
      <c r="O39" s="435">
        <v>683033000</v>
      </c>
      <c r="P39"/>
      <c r="Q39"/>
      <c r="R39"/>
      <c r="S39"/>
      <c r="T39" s="390"/>
      <c r="U39" s="390"/>
      <c r="V39" s="390"/>
      <c r="W39" s="390"/>
      <c r="X39"/>
      <c r="Y39"/>
      <c r="Z39"/>
      <c r="AA39"/>
      <c r="AB39"/>
      <c r="AC39"/>
      <c r="AD39"/>
    </row>
    <row r="40" spans="1:30" ht="12.75">
      <c r="A40"/>
      <c r="B40" s="376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T40" s="368"/>
      <c r="U40" s="368"/>
      <c r="V40" s="368"/>
    </row>
    <row r="41" spans="1:30">
      <c r="A41" s="138" t="s">
        <v>197</v>
      </c>
      <c r="B41" s="139">
        <f>568199000</f>
        <v>568199000</v>
      </c>
      <c r="C41" s="139">
        <v>33261000</v>
      </c>
      <c r="D41" s="139">
        <f>45237000</f>
        <v>45237000</v>
      </c>
      <c r="E41" s="139">
        <v>8774000</v>
      </c>
      <c r="F41" s="139">
        <v>100000</v>
      </c>
      <c r="G41" s="139">
        <v>2725000</v>
      </c>
      <c r="H41" s="139">
        <v>5250000</v>
      </c>
      <c r="I41" s="139">
        <v>16672000</v>
      </c>
      <c r="J41" s="139">
        <v>410000</v>
      </c>
      <c r="K41" s="139">
        <v>1080000</v>
      </c>
      <c r="L41" s="139">
        <v>750000</v>
      </c>
      <c r="M41" s="139">
        <v>425000</v>
      </c>
      <c r="N41" s="139">
        <v>150000</v>
      </c>
      <c r="O41" s="139">
        <v>683033000</v>
      </c>
      <c r="P41" s="139">
        <v>0</v>
      </c>
      <c r="Q41" s="139" t="s">
        <v>403</v>
      </c>
      <c r="R41" s="143" t="s">
        <v>403</v>
      </c>
      <c r="T41" s="368">
        <v>0</v>
      </c>
      <c r="U41" s="368"/>
      <c r="V41" s="368"/>
    </row>
    <row r="42" spans="1:30">
      <c r="A42" s="138" t="s">
        <v>198</v>
      </c>
      <c r="B42" s="139">
        <f t="shared" ref="B42:H42" si="0">B41-B39</f>
        <v>0</v>
      </c>
      <c r="C42" s="139">
        <f t="shared" si="0"/>
        <v>0</v>
      </c>
      <c r="D42" s="139">
        <f t="shared" si="0"/>
        <v>0</v>
      </c>
      <c r="E42" s="139">
        <f t="shared" si="0"/>
        <v>0</v>
      </c>
      <c r="F42" s="139">
        <f t="shared" si="0"/>
        <v>0</v>
      </c>
      <c r="G42" s="139">
        <f t="shared" si="0"/>
        <v>0</v>
      </c>
      <c r="H42" s="139">
        <f t="shared" si="0"/>
        <v>0</v>
      </c>
      <c r="I42" s="139">
        <f t="shared" ref="I42" si="1">I41-I39</f>
        <v>0</v>
      </c>
      <c r="J42" s="139">
        <f t="shared" ref="J42" si="2">J41-J39</f>
        <v>0</v>
      </c>
      <c r="K42" s="139">
        <f t="shared" ref="K42" si="3">K41-K39</f>
        <v>0</v>
      </c>
      <c r="L42" s="139">
        <f t="shared" ref="L42:P42" si="4">L41-L39</f>
        <v>0</v>
      </c>
      <c r="M42" s="139">
        <f t="shared" si="4"/>
        <v>0</v>
      </c>
      <c r="N42" s="139">
        <f t="shared" si="4"/>
        <v>0</v>
      </c>
      <c r="O42" s="139">
        <f t="shared" si="4"/>
        <v>0</v>
      </c>
      <c r="P42" s="139">
        <f t="shared" si="4"/>
        <v>0</v>
      </c>
      <c r="Q42" s="139" t="s">
        <v>403</v>
      </c>
      <c r="R42" s="143" t="s">
        <v>403</v>
      </c>
      <c r="T42" s="368"/>
      <c r="U42" s="368"/>
      <c r="V42" s="368"/>
    </row>
    <row r="43" spans="1:30" ht="12.75">
      <c r="Q43"/>
      <c r="R43"/>
      <c r="T43" s="368"/>
      <c r="U43" s="404"/>
      <c r="V43" s="404"/>
    </row>
    <row r="44" spans="1:30">
      <c r="U44" s="426" t="s">
        <v>7</v>
      </c>
      <c r="V44" s="435" t="s">
        <v>195</v>
      </c>
    </row>
    <row r="45" spans="1:30">
      <c r="U45" s="426" t="s">
        <v>13</v>
      </c>
      <c r="V45" s="435" t="s">
        <v>195</v>
      </c>
    </row>
    <row r="46" spans="1:30" ht="12.75">
      <c r="U46"/>
      <c r="V46" s="148"/>
    </row>
    <row r="47" spans="1:30">
      <c r="U47" s="428" t="s">
        <v>194</v>
      </c>
      <c r="V47" s="431"/>
    </row>
    <row r="48" spans="1:30">
      <c r="U48" s="429" t="s">
        <v>48</v>
      </c>
      <c r="V48" s="431" t="s">
        <v>60</v>
      </c>
    </row>
    <row r="49" spans="21:24">
      <c r="U49" s="430" t="s">
        <v>220</v>
      </c>
      <c r="V49" s="431">
        <v>626297000</v>
      </c>
      <c r="W49" s="368"/>
      <c r="X49" s="368"/>
    </row>
    <row r="50" spans="21:24">
      <c r="U50" s="432" t="s">
        <v>229</v>
      </c>
      <c r="V50" s="433">
        <v>47962000</v>
      </c>
    </row>
    <row r="51" spans="21:24">
      <c r="U51" s="432" t="s">
        <v>230</v>
      </c>
      <c r="V51" s="433">
        <v>8774000</v>
      </c>
    </row>
    <row r="52" spans="21:24">
      <c r="U52" s="434" t="s">
        <v>193</v>
      </c>
      <c r="V52" s="435">
        <v>683033000</v>
      </c>
    </row>
    <row r="53" spans="21:24" ht="12.75">
      <c r="U53"/>
      <c r="V53"/>
    </row>
  </sheetData>
  <pageMargins left="0.7" right="0.7" top="0.75" bottom="0.75" header="0.3" footer="0.3"/>
  <pageSetup orientation="portrait"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9</vt:i4>
      </vt:variant>
    </vt:vector>
  </HeadingPairs>
  <TitlesOfParts>
    <vt:vector size="56" baseType="lpstr">
      <vt:lpstr>afrs vs fms approps</vt:lpstr>
      <vt:lpstr>Grants Check 2</vt:lpstr>
      <vt:lpstr>CurrentGrantData</vt:lpstr>
      <vt:lpstr>District Check</vt:lpstr>
      <vt:lpstr>Grants Check</vt:lpstr>
      <vt:lpstr>Alloc Sched Data</vt:lpstr>
      <vt:lpstr>Balance by Fund</vt:lpstr>
      <vt:lpstr>FTE Check</vt:lpstr>
      <vt:lpstr>Balance by Fund-Appn</vt:lpstr>
      <vt:lpstr>Other Resources Data</vt:lpstr>
      <vt:lpstr>Balance by Program</vt:lpstr>
      <vt:lpstr>district</vt:lpstr>
      <vt:lpstr>Alloc Data FUND</vt:lpstr>
      <vt:lpstr>Attachment One</vt:lpstr>
      <vt:lpstr>Attachment Three</vt:lpstr>
      <vt:lpstr>Bates</vt:lpstr>
      <vt:lpstr>Bellevue</vt:lpstr>
      <vt:lpstr>Bellingham</vt:lpstr>
      <vt:lpstr>Big Bend</vt:lpstr>
      <vt:lpstr>Cascadia</vt:lpstr>
      <vt:lpstr>Centralia</vt:lpstr>
      <vt:lpstr>Clark</vt:lpstr>
      <vt:lpstr>Clover Park</vt:lpstr>
      <vt:lpstr>Columbia Basin</vt:lpstr>
      <vt:lpstr>Edmonds</vt:lpstr>
      <vt:lpstr>Everett</vt:lpstr>
      <vt:lpstr>Grays Harbor</vt:lpstr>
      <vt:lpstr>Green River</vt:lpstr>
      <vt:lpstr>Highline</vt:lpstr>
      <vt:lpstr>Lake WA</vt:lpstr>
      <vt:lpstr>Lower Columbia</vt:lpstr>
      <vt:lpstr>Olympic</vt:lpstr>
      <vt:lpstr>Peninsula</vt:lpstr>
      <vt:lpstr>Pierce</vt:lpstr>
      <vt:lpstr>Renton</vt:lpstr>
      <vt:lpstr>Seattle</vt:lpstr>
      <vt:lpstr>Shoreline</vt:lpstr>
      <vt:lpstr>Skagit</vt:lpstr>
      <vt:lpstr>So Puget Sound</vt:lpstr>
      <vt:lpstr>Spokane</vt:lpstr>
      <vt:lpstr>Tacoma</vt:lpstr>
      <vt:lpstr>Walla Walla</vt:lpstr>
      <vt:lpstr>Wenatchee</vt:lpstr>
      <vt:lpstr>Whatcom</vt:lpstr>
      <vt:lpstr>Yakima</vt:lpstr>
      <vt:lpstr>SBCTC Admin</vt:lpstr>
      <vt:lpstr>SBCTC Program</vt:lpstr>
      <vt:lpstr>AddRes</vt:lpstr>
      <vt:lpstr>AllocSched</vt:lpstr>
      <vt:lpstr>'FTE Check'!Approp</vt:lpstr>
      <vt:lpstr>Approp</vt:lpstr>
      <vt:lpstr>District</vt:lpstr>
      <vt:lpstr>'Attachment One'!Print_Area</vt:lpstr>
      <vt:lpstr>'Attachment Three'!Print_Area</vt:lpstr>
      <vt:lpstr>'Alloc Sched Data'!Print_Titles</vt:lpstr>
      <vt:lpstr>Student</vt:lpstr>
    </vt:vector>
  </TitlesOfParts>
  <Company>SBCTC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Lynda Ridgeway;Brian Myhre</dc:creator>
  <cp:lastModifiedBy>Kim Cook</cp:lastModifiedBy>
  <cp:lastPrinted>2015-08-20T17:25:58Z</cp:lastPrinted>
  <dcterms:created xsi:type="dcterms:W3CDTF">2001-07-13T16:59:16Z</dcterms:created>
  <dcterms:modified xsi:type="dcterms:W3CDTF">2017-01-10T00:37:38Z</dcterms:modified>
</cp:coreProperties>
</file>